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mercurio\OBRAS PUBLICAS\1. DIRECCIÓN DE PLANEACIÓN\03. Contratación\6. CONTRATACION 2026\4. Selección Abreviada\Menor Cuantía\Mto. Tanques de agua\"/>
    </mc:Choice>
  </mc:AlternateContent>
  <bookViews>
    <workbookView xWindow="-120" yWindow="-120" windowWidth="29040" windowHeight="15720" tabRatio="847"/>
  </bookViews>
  <sheets>
    <sheet name="PRESUPUESTO" sheetId="95" r:id="rId1"/>
    <sheet name="RESUMEN " sheetId="73" state="hidden" r:id="rId2"/>
    <sheet name="ARU DEFINITIVO" sheetId="75" r:id="rId3"/>
    <sheet name="CALCULO PRESTACIONES Y SALA " sheetId="76" state="hidden" r:id="rId4"/>
    <sheet name="CRONOGRAMA" sheetId="94" r:id="rId5"/>
    <sheet name="FLUJO DE CAJA" sheetId="77" r:id="rId6"/>
    <sheet name="CALCULO PRESTACIONES Y SALARIOS" sheetId="8" r:id="rId7"/>
    <sheet name="1 RIESGOS" sheetId="78" r:id="rId8"/>
    <sheet name="2 POLITICA" sheetId="79" r:id="rId9"/>
    <sheet name="3 ECONOMICO" sheetId="80" r:id="rId10"/>
    <sheet name="3.1 CALCULO ECONOMICO" sheetId="91" state="hidden" r:id="rId11"/>
    <sheet name="INDICES CAMACOL" sheetId="93" state="hidden" r:id="rId12"/>
    <sheet name="4 OPERACIONALES" sheetId="81" r:id="rId13"/>
    <sheet name="4.1 Calculos Operacionales" sheetId="82" r:id="rId14"/>
    <sheet name="5 FINANCIEROS" sheetId="83" r:id="rId15"/>
    <sheet name="5.1 Calculo Financiero" sheetId="84" r:id="rId16"/>
    <sheet name="6 NATURALEZA" sheetId="85" r:id="rId17"/>
    <sheet name="6.1 Calculo Naturaleza" sheetId="86" r:id="rId18"/>
    <sheet name="6.2 Calculo Naturaleza" sheetId="87" r:id="rId19"/>
    <sheet name="7 Ambientales" sheetId="88" r:id="rId20"/>
    <sheet name="7.1 GESTION SOCIAMBIENTAL" sheetId="89" r:id="rId21"/>
    <sheet name="7.2 PLAN DE MANEJO DE TRANSITO" sheetId="90" r:id="rId22"/>
    <sheet name="Memorias de calculo" sheetId="33" state="hidden" r:id="rId23"/>
    <sheet name="RESUMEN" sheetId="9" state="hidden"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a">#REF!</definedName>
    <definedName name="aaaaaa">#REF!</definedName>
    <definedName name="ALTA">3</definedName>
    <definedName name="Años_préstamo">#REF!</definedName>
    <definedName name="apu">#REF!</definedName>
    <definedName name="_xlnm.Print_Area" localSheetId="7">'1 RIESGOS'!$A$1:$D$19</definedName>
    <definedName name="_xlnm.Print_Area" localSheetId="8">'2 POLITICA'!$A$1:$I$42</definedName>
    <definedName name="_xlnm.Print_Area" localSheetId="12">'4 OPERACIONALES'!$A$1:$H$39</definedName>
    <definedName name="_xlnm.Print_Area" localSheetId="13">'4.1 Calculos Operacionales'!$A$1:$G$45</definedName>
    <definedName name="_xlnm.Print_Area" localSheetId="15">'5.1 Calculo Financiero'!$A$1:$G$31</definedName>
    <definedName name="_xlnm.Print_Area" localSheetId="16">'6 NATURALEZA'!$A$1:$I$56</definedName>
    <definedName name="_xlnm.Print_Area" localSheetId="18">'6.2 Calculo Naturaleza'!$A$1:$G$43</definedName>
    <definedName name="_xlnm.Print_Area" localSheetId="19">'7 Ambientales'!$A$1:$H$38</definedName>
    <definedName name="_xlnm.Print_Area" localSheetId="20">'7.1 GESTION SOCIAMBIENTAL'!$A$1:$I$74</definedName>
    <definedName name="_xlnm.Print_Area" localSheetId="21">'7.2 PLAN DE MANEJO DE TRANSITO'!$A$1:$H$78</definedName>
    <definedName name="_xlnm.Print_Area" localSheetId="2">'ARU DEFINITIVO'!$A$1:$G$69</definedName>
    <definedName name="_xlnm.Print_Area" localSheetId="6">'CALCULO PRESTACIONES Y SALARIOS'!$A$45:$Q$64</definedName>
    <definedName name="_xlnm.Print_Area" localSheetId="4">CRONOGRAMA!$A$1:$G$13</definedName>
    <definedName name="_xlnm.Print_Area" localSheetId="5">'FLUJO DE CAJA'!$A$1:$H$33</definedName>
    <definedName name="_xlnm.Print_Area" localSheetId="0">PRESUPUESTO!$A$2:$F$36</definedName>
    <definedName name="_xlnm.Print_Area" localSheetId="1">'RESUMEN '!$A$1:$C$31</definedName>
    <definedName name="_xlnm.Print_Area">#REF!</definedName>
    <definedName name="ARU">'[1]ARU DEFINITIVO'!$J$62</definedName>
    <definedName name="asas">#REF!</definedName>
    <definedName name="B">#N/A</definedName>
    <definedName name="BAJA">1</definedName>
    <definedName name="_xlnm.Database" localSheetId="0">#REF!</definedName>
    <definedName name="_xlnm.Database">#REF!</definedName>
    <definedName name="BuiltIn_Print_Area" localSheetId="0">#REF!</definedName>
    <definedName name="BuiltIn_Print_Area">#REF!</definedName>
    <definedName name="BuiltIn_Print_Area___0" localSheetId="0">#REF!</definedName>
    <definedName name="BuiltIn_Print_Area___0">#REF!</definedName>
    <definedName name="BuiltIn_Print_Titles" localSheetId="0">#REF!</definedName>
    <definedName name="BuiltIn_Print_Titles">#REF!</definedName>
    <definedName name="CANT_IT_APU">IFERROR(VLOOKUP(#REF!,[2]PRESUPUESTO!$D:$L,7,FALSE),"")</definedName>
    <definedName name="CANT_TOT">[3]PRESUPUESTO!$L:$L</definedName>
    <definedName name="CANT_TOT_PPTO" localSheetId="10">IFERROR(SUMPRODUCT([4]PRESUPUESTO!$I1:$J1,--(MOD(COLUMN([4]PRESUPUESTO!$I1:$J1),2)=0)),0)</definedName>
    <definedName name="CANT_TOT_PPTO" localSheetId="15">IFERROR(SUMPRODUCT([5]PRESUPUESTO!$I1:$J1,--(MOD(COLUMN([5]PRESUPUESTO!$I1:$J1),2)=0)),0)</definedName>
    <definedName name="CANT_TOT_PPTO" localSheetId="2">IFERROR(SUMPRODUCT([5]PRESUPUESTO!$I1:$J1,--(MOD(COLUMN([5]PRESUPUESTO!$I1:$J1),2)=0)),0)</definedName>
    <definedName name="CANT_TOT_PPTO">IFERROR(SUMPRODUCT(#REF!,--(MOD(COLUMN(#REF!),2)=0)),0)</definedName>
    <definedName name="CANT_Z_PPTO" localSheetId="10">IF(AND([4]PRESUPUESTO!$B1="15",[4]PRESUPUESTO!A$4="Urbanismo",[4]PRESUPUESTO!#REF!&lt;&gt;""),"",IF(AND([4]PRESUPUESTO!$B1="16",[4]PRESUPUESTO!A$4="Urbanismo",[4]PRESUPUESTO!#REF!&lt;&gt;""),1,IF(AND([4]PRESUPUESTO!$B1="14",[4]PRESUPUESTO!A$4="Urbanismo"),"",IF(AND([4]PRESUPUESTO!#REF!="18-04",[4]PRESUPUESTO!A$4="Urbanismo"),"",IFERROR(VLOOKUP([4]PRESUPUESTO!$C1,INDIRECT("CO_"&amp;[4]PRESUPUESTO!A$4),7,FALSE),0)))))</definedName>
    <definedName name="CANT_Z_PPTO" localSheetId="15">IF(AND([5]PRESUPUESTO!$B1="15",[5]PRESUPUESTO!A$4="Urbanismo",[5]PRESUPUESTO!#REF!&lt;&gt;""),"",IF(AND([5]PRESUPUESTO!$B1="16",[5]PRESUPUESTO!A$4="Urbanismo",[5]PRESUPUESTO!#REF!&lt;&gt;""),1,IF(AND([5]PRESUPUESTO!$B1="14",[5]PRESUPUESTO!A$4="Urbanismo"),"",IF(AND([5]PRESUPUESTO!#REF!="18-04",[5]PRESUPUESTO!A$4="Urbanismo"),"",IFERROR(VLOOKUP([5]PRESUPUESTO!$C1,INDIRECT("CO_"&amp;[5]PRESUPUESTO!A$4),7,FALSE),0)))))</definedName>
    <definedName name="CANT_Z_PPTO" localSheetId="2">IF(AND([5]PRESUPUESTO!$B1="15",[5]PRESUPUESTO!A$4="Urbanismo",[5]PRESUPUESTO!#REF!&lt;&gt;""),"",IF(AND([5]PRESUPUESTO!$B1="16",[5]PRESUPUESTO!A$4="Urbanismo",[5]PRESUPUESTO!#REF!&lt;&gt;""),1,IF(AND([5]PRESUPUESTO!$B1="14",[5]PRESUPUESTO!A$4="Urbanismo"),"",IF(AND([5]PRESUPUESTO!#REF!="18-04",[5]PRESUPUESTO!A$4="Urbanismo"),"",IFERROR(VLOOKUP([5]PRESUPUESTO!$C1,INDIRECT("CO_"&amp;[5]PRESUPUESTO!A$4),7,FALSE),0)))))</definedName>
    <definedName name="CANT_Z_PPTO">IF(AND(#REF!="15",#REF!="Urbanismo",#REF!&lt;&gt;""),"",IF(AND(#REF!="16",#REF!="Urbanismo",#REF!&lt;&gt;""),1,IF(AND(#REF!="14",#REF!="Urbanismo"),"",IF(AND(#REF!="18-04",#REF!="Urbanismo"),"",IFERROR(VLOOKUP(#REF!,INDIRECT("CO_"&amp;#REF!),7,FALSE),0)))))</definedName>
    <definedName name="Capital">#REF!</definedName>
    <definedName name="CATASTROFICO">20</definedName>
    <definedName name="CD_DIR" localSheetId="15">[6]PRESUPUESTO!$N$180</definedName>
    <definedName name="CD_DIR" localSheetId="2">[6]PRESUPUESTO!$N$180</definedName>
    <definedName name="CD_DIR">[7]PRESUPUESTO!$N$180</definedName>
    <definedName name="COL_B">IF(LEFT(#REF!,5)=#REF!,"",(LEFT(#REF!,5)))</definedName>
    <definedName name="COL_C">IF(LG=2,"",LEFT(#REF!,2))</definedName>
    <definedName name="COL_L" localSheetId="10">IF([4]PRESUPUESTO!#REF!="",SUMIF([4]PRESUPUESTO!$B:$B,[4]PRESUPUESTO!$C1,[4]PRESUPUESTO!#REF!)/2,"")</definedName>
    <definedName name="COL_L" localSheetId="15">IF([5]PRESUPUESTO!#REF!="",SUMIF([5]PRESUPUESTO!$B:$B,[5]PRESUPUESTO!$C1,[5]PRESUPUESTO!#REF!)/2,"")</definedName>
    <definedName name="COL_L" localSheetId="2">IF([5]PRESUPUESTO!#REF!="",SUMIF([5]PRESUPUESTO!$B:$B,[5]PRESUPUESTO!$C1,[5]PRESUPUESTO!#REF!)/2,"")</definedName>
    <definedName name="COL_L">IF(#REF!="",SUMIF(#REF!,#REF!,#REF!)/2,"")</definedName>
    <definedName name="COL_M_PPTO" localSheetId="10">IFERROR(IF('3.1 CALCULO ECONOMICO'!LG=2,"",IF('3.1 CALCULO ECONOMICO'!LG=5,SUMIF([4]PRESUPUESTO!#REF!,[4]PRESUPUESTO!$C1,[4]PRESUPUESTO!#REF!),[4]PRESUPUESTO!$H1*[4]PRESUPUESTO!$K1)),"")</definedName>
    <definedName name="COL_M_PPTO" localSheetId="15">IFERROR(IF('5.1 Calculo Financiero'!LG=2,"",IF('5.1 Calculo Financiero'!LG=5,SUMIF([5]PRESUPUESTO!#REF!,[5]PRESUPUESTO!$C1,[5]PRESUPUESTO!#REF!),[5]PRESUPUESTO!$H1*[5]PRESUPUESTO!$K1)),"")</definedName>
    <definedName name="COL_M_PPTO" localSheetId="2">IFERROR(IF('ARU DEFINITIVO'!LG=2,"",IF('ARU DEFINITIVO'!LG=5,SUMIF([5]PRESUPUESTO!#REF!,[5]PRESUPUESTO!$C1,[5]PRESUPUESTO!#REF!),[5]PRESUPUESTO!$H1*[5]PRESUPUESTO!$K1)),"")</definedName>
    <definedName name="COL_M_PPTO">IFERROR(IF(LG=2,"",IF(LG=5,SUMIF(#REF!,#REF!,#REF!),#REF!*#REF!)),"")</definedName>
    <definedName name="COL_MO_APU">IFERROR(IF(#REF!="","",IF(VLOOKUP(#REF!,[3]Insumos!$D:$L,9,FALSE)="",LEFT(#REF!,1),VLOOKUP(#REF!,[3]Insumos!$D:$L,9,FALSE))),"")</definedName>
    <definedName name="COL_N_APU">IFERROR(IF(ISERROR(SEARCH("-",#REF!)),#REF!*(1+#REF!)*VLOOKUP(#REF!,[3]PRESUPUESTO!$D:$L,COLUMN(CANT_TOT)-COLUMN(ITEMS)+1,FALSE),""),"")</definedName>
    <definedName name="COL_O_PPTO">IF(LG=2,#REF!/CD_DIR,"")</definedName>
    <definedName name="CON_HTA_APU">SUMIFS(#REF!,#REF!,#REF!,#REF!,"2")</definedName>
    <definedName name="Contr._2" localSheetId="10">#REF!</definedName>
    <definedName name="Contr._2" localSheetId="15">#REF!</definedName>
    <definedName name="Contr._2" localSheetId="2">#REF!</definedName>
    <definedName name="Contr._2" localSheetId="0">#REF!</definedName>
    <definedName name="Contr._2">#REF!</definedName>
    <definedName name="Contr._3" localSheetId="10">#REF!</definedName>
    <definedName name="Contr._3" localSheetId="15">#REF!</definedName>
    <definedName name="Contr._3" localSheetId="2">#REF!</definedName>
    <definedName name="Contr._3" localSheetId="0">#REF!</definedName>
    <definedName name="Contr._3">#REF!</definedName>
    <definedName name="Contr._4" localSheetId="10">#REF!</definedName>
    <definedName name="Contr._4" localSheetId="15">#REF!</definedName>
    <definedName name="Contr._4" localSheetId="2">#REF!</definedName>
    <definedName name="Contr._4" localSheetId="0">#REF!</definedName>
    <definedName name="Contr._4">#REF!</definedName>
    <definedName name="Contr._5" localSheetId="10">#REF!</definedName>
    <definedName name="Contr._5" localSheetId="15">#REF!</definedName>
    <definedName name="Contr._5" localSheetId="2">#REF!</definedName>
    <definedName name="Contr._5" localSheetId="0">#REF!</definedName>
    <definedName name="Contr._5">#REF!</definedName>
    <definedName name="Contr._6" localSheetId="10">#REF!</definedName>
    <definedName name="Contr._6" localSheetId="15">#REF!</definedName>
    <definedName name="Contr._6" localSheetId="2">#REF!</definedName>
    <definedName name="Contr._6" localSheetId="0">#REF!</definedName>
    <definedName name="Contr._6">#REF!</definedName>
    <definedName name="Contr._7" localSheetId="10">#REF!</definedName>
    <definedName name="Contr._7" localSheetId="15">#REF!</definedName>
    <definedName name="Contr._7" localSheetId="2">#REF!</definedName>
    <definedName name="Contr._7" localSheetId="0">#REF!</definedName>
    <definedName name="Contr._7">#REF!</definedName>
    <definedName name="Contr._8" localSheetId="10">#REF!</definedName>
    <definedName name="Contr._8" localSheetId="15">#REF!</definedName>
    <definedName name="Contr._8" localSheetId="2">#REF!</definedName>
    <definedName name="Contr._8" localSheetId="0">#REF!</definedName>
    <definedName name="Contr._8">#REF!</definedName>
    <definedName name="Contr._9" localSheetId="10">#REF!</definedName>
    <definedName name="Contr._9" localSheetId="15">#REF!</definedName>
    <definedName name="Contr._9" localSheetId="2">#REF!</definedName>
    <definedName name="Contr._9" localSheetId="0">#REF!</definedName>
    <definedName name="Contr._9">#REF!</definedName>
    <definedName name="conversion">#REF!</definedName>
    <definedName name="COSTO_DIRECTO">#REF!</definedName>
    <definedName name="d">#REF!</definedName>
    <definedName name="Datos">'[8]Base de Diseño'!$A$1:$I$216</definedName>
    <definedName name="DESC_APU">IF(LEN(#REF!)=2,VLOOKUP(#REF!,[2]PRESUPUESTO!$D:$N,4,FALSE),IF(#REF!="",IF(#REF!="",IF(#REF!="","",[0]!DIRECTO),""),[0]!DESCRIPCION_APU))</definedName>
    <definedName name="DESCRIPCION_APU">IF(ISERROR(SEARCH("-",#REF!,3)),[0]!INSUMO,[0]!ITEM)</definedName>
    <definedName name="design">'[9]Design (3)'!$A$12:$CM$71</definedName>
    <definedName name="design2">[9]Design!$A$24:$CM$66</definedName>
    <definedName name="Día_de_pago">DATE(YEAR(Inicio_prestamo),MONTH(Inicio_prestamo)+Payment_Number,DAY(Inicio_prestamo))</definedName>
    <definedName name="DIRECTO">"DIRECTO:  "&amp;TEXT(ROUNDUP(SUMIF(#REF!,#REF!,#REF!)/2,0),"#,##0")&amp;" / "&amp;VLOOKUP(#REF!,[2]PRESUPUESTO!$D:$H,5,FALSE)</definedName>
    <definedName name="ESCALAS">#REF!</definedName>
    <definedName name="EXTRA">#REF!</definedName>
    <definedName name="Fecha_de_pago">#REF!</definedName>
    <definedName name="Fila_de_encabezado">ROW(#REF!)</definedName>
    <definedName name="_xlnm.Recorder" localSheetId="10">#REF!</definedName>
    <definedName name="_xlnm.Recorder" localSheetId="15">#REF!</definedName>
    <definedName name="_xlnm.Recorder" localSheetId="2">#REF!</definedName>
    <definedName name="_xlnm.Recorder" localSheetId="0">#REF!</definedName>
    <definedName name="_xlnm.Recorder">#REF!</definedName>
    <definedName name="H_EL">VLOOKUP('[10]PRESUPUESTO ADENDA 4'!$D1,[1]ELE_RESUMEN!$A:$F,6,FALSE)</definedName>
    <definedName name="H_HI" localSheetId="10">VLOOKUP([4]PRESUPUESTO!$C1,[7]Apu!$B:$H,7,FALSE)</definedName>
    <definedName name="H_HI" localSheetId="15">VLOOKUP([5]PRESUPUESTO!$C1,[6]Apu!$B:$H,7,FALSE)</definedName>
    <definedName name="H_HI" localSheetId="2">VLOOKUP([5]PRESUPUESTO!$C1,[6]Apu!$B:$H,7,FALSE)</definedName>
    <definedName name="H_HI">VLOOKUP(#REF!,[7]Apu!$B:$H,7,FALSE)</definedName>
    <definedName name="hoja">#REF!</definedName>
    <definedName name="Importe_del_préstamo">#REF!</definedName>
    <definedName name="Impresión_completa">#REF!</definedName>
    <definedName name="Inicio_prestamo">#REF!</definedName>
    <definedName name="INSUMO">VLOOKUP(#REF!,[2]Insumos!$D:$E,2,FALSE)</definedName>
    <definedName name="Int">#REF!</definedName>
    <definedName name="Int_acum">#REF!</definedName>
    <definedName name="Interés_total">#REF!</definedName>
    <definedName name="ITEM">VLOOKUP(#REF!,[2]PRESUPUESTO!$D:$M,4,0)</definedName>
    <definedName name="ITEMS">[3]PRESUPUESTO!$D:$D</definedName>
    <definedName name="janet">#REF!</definedName>
    <definedName name="LEVE">5</definedName>
    <definedName name="LG" localSheetId="10">LEN([4]PRESUPUESTO!$C1)</definedName>
    <definedName name="LG" localSheetId="15">LEN([5]PRESUPUESTO!$C1)</definedName>
    <definedName name="LG" localSheetId="2">LEN([5]PRESUPUESTO!$C1)</definedName>
    <definedName name="LG">LEN(#REF!)</definedName>
    <definedName name="marai9" localSheetId="10">#REF!</definedName>
    <definedName name="marai9" localSheetId="15">#REF!</definedName>
    <definedName name="marai9" localSheetId="2">#REF!</definedName>
    <definedName name="marai9" localSheetId="0">#REF!</definedName>
    <definedName name="marai9">#REF!</definedName>
    <definedName name="MARIAS" localSheetId="10">#REF!</definedName>
    <definedName name="MARIAS" localSheetId="15">#REF!</definedName>
    <definedName name="MARIAS" localSheetId="2">#REF!</definedName>
    <definedName name="MARIAS" localSheetId="0">#REF!</definedName>
    <definedName name="MARIAS">#REF!</definedName>
    <definedName name="MARIASC" localSheetId="10">#REF!</definedName>
    <definedName name="MARIASC" localSheetId="15">#REF!</definedName>
    <definedName name="MARIASC" localSheetId="2">#REF!</definedName>
    <definedName name="MARIASC" localSheetId="0">#REF!</definedName>
    <definedName name="MARIASC">#REF!</definedName>
    <definedName name="MEDIA">2</definedName>
    <definedName name="MODERADO">10</definedName>
    <definedName name="Núm_de_pago">#REF!</definedName>
    <definedName name="Núm_pagos_al_año">#REF!</definedName>
    <definedName name="Número_de_pagos">MATCH(0.01,Saldo_final,-1)+1</definedName>
    <definedName name="Pago_adicional">#REF!</definedName>
    <definedName name="Pago_mensual_programado">#REF!</definedName>
    <definedName name="Pago_progr">#REF!</definedName>
    <definedName name="Pago_total">#REF!</definedName>
    <definedName name="Pagos_adicionales_programados">#REF!</definedName>
    <definedName name="Restablecer_área_de_impresión">OFFSET(Impresión_completa,0,0,Última_fila)</definedName>
    <definedName name="Saldo_final">#REF!</definedName>
    <definedName name="Saldo_inicial">#REF!</definedName>
    <definedName name="SHARED_FORMULA_21">#N/A</definedName>
    <definedName name="SUB_TOT" localSheetId="10">IFERROR(IF('3.1 CALCULO ECONOMICO'!LG=2,SUMIF([4]PRESUPUESTO!$B:$B,[4]PRESUPUESTO!$C1,[4]PRESUPUESTO!A:A)/2,IF('3.1 CALCULO ECONOMICO'!LG=5,SUMIF([4]PRESUPUESTO!#REF!,[4]PRESUPUESTO!$C1,[4]PRESUPUESTO!A:A),[4]PRESUPUESTO!XFD1*[4]PRESUPUESTO!$H1)),"")</definedName>
    <definedName name="SUB_TOT" localSheetId="15">IFERROR(IF('5.1 Calculo Financiero'!LG=2,SUMIF([5]PRESUPUESTO!$B:$B,[5]PRESUPUESTO!$C1,[5]PRESUPUESTO!A:A)/2,IF('5.1 Calculo Financiero'!LG=5,SUMIF([5]PRESUPUESTO!#REF!,[5]PRESUPUESTO!$C1,[5]PRESUPUESTO!A:A),[5]PRESUPUESTO!XFD1*[5]PRESUPUESTO!$H1)),"")</definedName>
    <definedName name="SUB_TOT" localSheetId="2">IFERROR(IF('ARU DEFINITIVO'!LG=2,SUMIF([5]PRESUPUESTO!$B:$B,[5]PRESUPUESTO!$C1,[5]PRESUPUESTO!A:A)/2,IF('ARU DEFINITIVO'!LG=5,SUMIF([5]PRESUPUESTO!#REF!,[5]PRESUPUESTO!$C1,[5]PRESUPUESTO!A:A),[5]PRESUPUESTO!XFD1*[5]PRESUPUESTO!$H1)),"")</definedName>
    <definedName name="SUB_TOT">IFERROR(IF(LG=2,SUMIF(#REF!,#REF!,#REF!)/2,IF(LG=5,SUMIF(#REF!,#REF!,#REF!),#REF!*#REF!)),"")</definedName>
    <definedName name="Tasa_de_interés">#REF!</definedName>
    <definedName name="Tasa_de_interés_programada">#REF!</definedName>
    <definedName name="TITO">#REF!</definedName>
    <definedName name="_xlnm.Print_Titles" localSheetId="0">PRESUPUESTO!$5:$7</definedName>
    <definedName name="_xlnm.Print_Titles">#N/A</definedName>
    <definedName name="Última_fila">IF(Valores_especificados,Fila_de_encabezado+Número_de_pagos,Fila_de_encabezado)</definedName>
    <definedName name="UN_APU">IF(LEN(#REF!)=2,"",IF(#REF!="","",IF(ISERROR(SEARCH("-",#REF!,3)),VLOOKUP(#REF!,[2]Insumos!$D:$F,3,0),VLOOKUP(#REF!,[2]PRESUPUESTO!$D:$Q,5,FALSE))))</definedName>
    <definedName name="Valores_especificados">IF(Importe_del_préstamo*Tasa_de_interés*Años_préstamo*Inicio_prestamo&gt;0,1,0)</definedName>
    <definedName name="VR_TOT_APU">IF(#REF!="","",ROUND(IF(#REF!=#REF!,SUMIF(#REF!,#REF!,#REF!),#REF!*#REF!*(1+#REF!)),2))</definedName>
    <definedName name="VR_UN_APU">IF(#REF!="","",IF(LEN(#REF!)=9,SUMIF(#REF!,#REF!,#REF!)/2,IF(#REF!="","",IF(ISERROR(SEARCH("-",#REF!,3)),VLOOKUP(#REF!,[2]Insumos!$D:$I,6,FALSE),""))))</definedName>
    <definedName name="VR_UN_PPTO" localSheetId="10">IFERROR(IF('3.1 CALCULO ECONOMICO'!LG&lt;9,"",IF([4]PRESUPUESTO!$B1="16",H_AA,IF([4]PRESUPUESTO!$B1="XX",[0]!H_EL,IF([4]PRESUPUESTO!$B1="14",'3.1 CALCULO ECONOMICO'!H_HI,SUMIF([7]Apu!$A:$A,[4]PRESUPUESTO!$C1,[7]Apu!$H:$H)/2)))),0)</definedName>
    <definedName name="VR_UN_PPTO" localSheetId="15">IFERROR(IF('5.1 Calculo Financiero'!LG&lt;9,"",IF([5]PRESUPUESTO!$B1="16",H_AA,IF([5]PRESUPUESTO!$B1="XX",H_EL,IF([5]PRESUPUESTO!$B1="14",'5.1 Calculo Financiero'!H_HI,SUMIF([6]Apu!$A:$A,[5]PRESUPUESTO!$C1,[6]Apu!$H:$H)/2)))),0)</definedName>
    <definedName name="VR_UN_PPTO" localSheetId="2">IFERROR(IF('ARU DEFINITIVO'!LG&lt;9,"",IF([5]PRESUPUESTO!$B1="16",H_AA,IF([5]PRESUPUESTO!$B1="XX",H_EL,IF([5]PRESUPUESTO!$B1="14",'ARU DEFINITIVO'!H_HI,SUMIF([6]Apu!$A:$A,[5]PRESUPUESTO!$C1,[6]Apu!$H:$H)/2)))),0)</definedName>
    <definedName name="VR_UN_PPTO">IFERROR(IF(LG&lt;9,"",IF(#REF!="16",H_AA,IF(#REF!="XX",H_EL,IF(#REF!="14",H_HI,SUMIF([7]Apu!$A:$A,#REF!,[7]Apu!$H:$H)/2)))),0)</definedName>
    <definedName name="Z_PPTO" localSheetId="10">IF([4]PRESUPUESTO!A$5="Vr Unitario",'3.1 CALCULO ECONOMICO'!VR_UN_PPTO,IF([4]PRESUPUESTO!A$5="Cantidad Total",'3.1 CALCULO ECONOMICO'!CANT_TOT_PPTO,IF([4]PRESUPUESTO!A$5="Subtotal",'3.1 CALCULO ECONOMICO'!COL_M_PPTO,IF([4]PRESUPUESTO!A$5="Vr Capitulo",'3.1 CALCULO ECONOMICO'!COL_L,'3.1 CALCULO ECONOMICO'!ZONA_PPTO))))</definedName>
    <definedName name="Z_PPTO" localSheetId="15">IF([5]PRESUPUESTO!A$5="Vr Unitario",'5.1 Calculo Financiero'!VR_UN_PPTO,IF([5]PRESUPUESTO!A$5="Cantidad Total",'5.1 Calculo Financiero'!CANT_TOT_PPTO,IF([5]PRESUPUESTO!A$5="Subtotal",'5.1 Calculo Financiero'!COL_M_PPTO,IF([5]PRESUPUESTO!A$5="Vr Capitulo",'5.1 Calculo Financiero'!COL_L,'5.1 Calculo Financiero'!ZONA_PPTO))))</definedName>
    <definedName name="Z_PPTO" localSheetId="2">IF([5]PRESUPUESTO!A$5="Vr Unitario",'ARU DEFINITIVO'!VR_UN_PPTO,IF([5]PRESUPUESTO!A$5="Cantidad Total",'ARU DEFINITIVO'!CANT_TOT_PPTO,IF([5]PRESUPUESTO!A$5="Subtotal",'ARU DEFINITIVO'!COL_M_PPTO,IF([5]PRESUPUESTO!A$5="Vr Capitulo",'ARU DEFINITIVO'!COL_L,'ARU DEFINITIVO'!ZONA_PPTO))))</definedName>
    <definedName name="Z_PPTO">IF(#REF!="Vr Unitario",VR_UN_PPTO,IF(#REF!="Cantidad Total",CANT_TOT_PPTO,IF(#REF!="Subtotal",COL_M_PPTO,IF(#REF!="Vr Capitulo",COL_L,ZONA_PPTO))))</definedName>
    <definedName name="ZONA_PPTO" localSheetId="10">IF(ISEVEN(COLUMN()),'3.1 CALCULO ECONOMICO'!CANT_Z_PPTO,'3.1 CALCULO ECONOMICO'!SUB_TOT)</definedName>
    <definedName name="ZONA_PPTO" localSheetId="15">IF(ISEVEN(COLUMN()),'5.1 Calculo Financiero'!CANT_Z_PPTO,'5.1 Calculo Financiero'!SUB_TOT)</definedName>
    <definedName name="ZONA_PPTO" localSheetId="2">IF(ISEVEN(COLUMN()),'ARU DEFINITIVO'!CANT_Z_PPTO,'ARU DEFINITIVO'!SUB_TOT)</definedName>
    <definedName name="ZONA_PPTO">IF(ISEVEN(COLUMN()),CANT_Z_PPTO,SUB_TOT)</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95" l="1"/>
  <c r="F11" i="95" l="1"/>
  <c r="F10" i="95"/>
  <c r="F12" i="95" l="1"/>
  <c r="F9" i="95"/>
  <c r="F8" i="95" l="1"/>
  <c r="D49" i="75"/>
  <c r="D50" i="75"/>
  <c r="D51" i="75"/>
  <c r="D52" i="75"/>
  <c r="D53" i="75"/>
  <c r="D54" i="75"/>
  <c r="D55" i="75"/>
  <c r="B5" i="87"/>
  <c r="F15" i="86"/>
  <c r="B22" i="86"/>
  <c r="B21" i="86"/>
  <c r="B20" i="86"/>
  <c r="B19" i="86"/>
  <c r="B18" i="86"/>
  <c r="B17" i="86"/>
  <c r="B16" i="86"/>
  <c r="B15" i="86"/>
  <c r="B14" i="86"/>
  <c r="B13" i="86"/>
  <c r="B12" i="86"/>
  <c r="B11" i="86"/>
  <c r="B23" i="86" s="1"/>
  <c r="F13" i="86" s="1"/>
  <c r="F14" i="86" s="1"/>
  <c r="C23" i="86"/>
  <c r="C24" i="86" s="1"/>
  <c r="F16" i="86" l="1"/>
  <c r="F17" i="86" s="1"/>
  <c r="F18" i="86" s="1"/>
  <c r="B24" i="86"/>
  <c r="B25" i="86" s="1"/>
  <c r="C26" i="87" l="1"/>
  <c r="C27" i="87"/>
  <c r="C24" i="87"/>
  <c r="C25" i="87"/>
  <c r="C28" i="87"/>
  <c r="C23" i="87"/>
  <c r="C15" i="87"/>
  <c r="C19" i="87"/>
  <c r="C16" i="87"/>
  <c r="C12" i="87"/>
  <c r="C13" i="87"/>
  <c r="C17" i="87"/>
  <c r="C14" i="87"/>
  <c r="C18" i="87"/>
  <c r="C42" i="8"/>
  <c r="F73" i="90" l="1"/>
  <c r="F74" i="90" s="1"/>
  <c r="F75" i="90" s="1"/>
  <c r="F72" i="90"/>
  <c r="F54" i="90"/>
  <c r="F22" i="90"/>
  <c r="I59" i="89"/>
  <c r="I57" i="89"/>
  <c r="I56" i="89"/>
  <c r="I55" i="89"/>
  <c r="I54" i="89"/>
  <c r="I51" i="89"/>
  <c r="I52" i="89"/>
  <c r="I50" i="89"/>
  <c r="G49" i="89"/>
  <c r="G48" i="89"/>
  <c r="G47" i="89"/>
  <c r="G46" i="89"/>
  <c r="G45" i="89"/>
  <c r="I23" i="89"/>
  <c r="I24" i="89"/>
  <c r="I22" i="89"/>
  <c r="I25" i="89"/>
  <c r="I26" i="89"/>
  <c r="I27" i="89"/>
  <c r="I28" i="89"/>
  <c r="I29" i="89"/>
  <c r="I30" i="89"/>
  <c r="I31" i="89"/>
  <c r="I32" i="89"/>
  <c r="I33" i="89"/>
  <c r="I34" i="89"/>
  <c r="I35" i="89"/>
  <c r="I36" i="89"/>
  <c r="I37" i="89"/>
  <c r="I38" i="89"/>
  <c r="I15" i="89"/>
  <c r="I16" i="89"/>
  <c r="I14" i="89"/>
  <c r="I18" i="89"/>
  <c r="I19" i="89"/>
  <c r="I17" i="89"/>
  <c r="E10" i="89"/>
  <c r="E11" i="89" s="1"/>
  <c r="E12" i="89" s="1"/>
  <c r="E13" i="89" s="1"/>
  <c r="E15" i="89" s="1"/>
  <c r="E16" i="89" s="1"/>
  <c r="E17" i="89" s="1"/>
  <c r="E19" i="89" s="1"/>
  <c r="E60" i="89" l="1"/>
  <c r="E61" i="89" s="1"/>
  <c r="E37" i="89"/>
  <c r="E18" i="89"/>
  <c r="B13" i="82" l="1"/>
  <c r="B14" i="82"/>
  <c r="B15" i="82"/>
  <c r="B16" i="82"/>
  <c r="B17" i="82"/>
  <c r="B18" i="82"/>
  <c r="B19" i="82"/>
  <c r="A16" i="82"/>
  <c r="A17" i="82"/>
  <c r="A18" i="82"/>
  <c r="A19" i="82"/>
  <c r="D5" i="89"/>
  <c r="C18" i="88"/>
  <c r="C18" i="85"/>
  <c r="C5" i="84"/>
  <c r="C18" i="83"/>
  <c r="C18" i="80"/>
  <c r="C2" i="77"/>
  <c r="C2" i="94"/>
  <c r="B5" i="75"/>
  <c r="F14" i="95"/>
  <c r="H6" i="77" l="1"/>
  <c r="G6" i="94"/>
  <c r="D9" i="75"/>
  <c r="D9" i="87"/>
  <c r="D9" i="82"/>
  <c r="F16" i="95"/>
  <c r="F18" i="95" s="1"/>
  <c r="E26" i="75"/>
  <c r="E27" i="75"/>
  <c r="E28" i="75"/>
  <c r="E25" i="75"/>
  <c r="D21" i="85" l="1"/>
  <c r="D21" i="83"/>
  <c r="C14" i="75" l="1"/>
  <c r="B5" i="82" l="1"/>
  <c r="B6" i="94"/>
  <c r="B5" i="86" l="1"/>
  <c r="B5" i="90"/>
  <c r="B5" i="78" l="1"/>
  <c r="C36" i="75" l="1"/>
  <c r="E47" i="91" l="1"/>
  <c r="F47" i="91"/>
  <c r="G47" i="91"/>
  <c r="H47" i="91"/>
  <c r="I47" i="91"/>
  <c r="J47" i="91"/>
  <c r="J46" i="91"/>
  <c r="J49" i="91" s="1"/>
  <c r="I46" i="91"/>
  <c r="I49" i="91" s="1"/>
  <c r="H46" i="91"/>
  <c r="H49" i="91" s="1"/>
  <c r="G46" i="91"/>
  <c r="G49" i="91" s="1"/>
  <c r="F46" i="91"/>
  <c r="F49" i="91" s="1"/>
  <c r="E46" i="91"/>
  <c r="E49" i="91" s="1"/>
  <c r="D46" i="91"/>
  <c r="D49" i="91" s="1"/>
  <c r="D47" i="91"/>
  <c r="D53" i="91" l="1"/>
  <c r="D51" i="91"/>
  <c r="C107" i="91" l="1"/>
  <c r="C132" i="91" s="1"/>
  <c r="O24" i="91"/>
  <c r="O23" i="91"/>
  <c r="P19" i="91" s="1"/>
  <c r="G14" i="91" s="1"/>
  <c r="P18" i="91" l="1"/>
  <c r="F14" i="91" s="1"/>
  <c r="O25" i="91"/>
  <c r="P22" i="91"/>
  <c r="J14" i="91" s="1"/>
  <c r="P16" i="91"/>
  <c r="D14" i="91" s="1"/>
  <c r="P21" i="91"/>
  <c r="I14" i="91" s="1"/>
  <c r="P17" i="91"/>
  <c r="E14" i="91" s="1"/>
  <c r="P20" i="91"/>
  <c r="H14" i="91" s="1"/>
  <c r="I6" i="94" l="1"/>
  <c r="D6" i="94" l="1"/>
  <c r="D7" i="94" s="1"/>
  <c r="E6" i="94"/>
  <c r="D9" i="94" l="1"/>
  <c r="D12" i="94" s="1"/>
  <c r="D6" i="77"/>
  <c r="E6" i="77"/>
  <c r="E9" i="94"/>
  <c r="F6" i="94"/>
  <c r="G6" i="77" l="1"/>
  <c r="F9" i="94"/>
  <c r="E12" i="94"/>
  <c r="F12" i="94" s="1"/>
  <c r="C23" i="73" l="1"/>
  <c r="D6" i="73" l="1"/>
  <c r="D14" i="73"/>
  <c r="D22" i="73"/>
  <c r="D17" i="73"/>
  <c r="D11" i="73"/>
  <c r="D20" i="73"/>
  <c r="D13" i="73"/>
  <c r="D7" i="73"/>
  <c r="D15" i="73"/>
  <c r="D5" i="73"/>
  <c r="D10" i="73"/>
  <c r="D19" i="73"/>
  <c r="D21" i="73"/>
  <c r="D8" i="73"/>
  <c r="D16" i="73"/>
  <c r="D9" i="73"/>
  <c r="D18" i="73"/>
  <c r="D12" i="73"/>
  <c r="C5" i="91" l="1"/>
  <c r="D16" i="91"/>
  <c r="E16" i="91"/>
  <c r="F16" i="91"/>
  <c r="G16" i="91"/>
  <c r="H16" i="91"/>
  <c r="I16" i="91"/>
  <c r="J16" i="91"/>
  <c r="D18" i="91"/>
  <c r="E18" i="91"/>
  <c r="F18" i="91"/>
  <c r="G18" i="91"/>
  <c r="H18" i="91"/>
  <c r="I18" i="91"/>
  <c r="J18" i="91"/>
  <c r="D20" i="91"/>
  <c r="E20" i="91"/>
  <c r="F20" i="91"/>
  <c r="G20" i="91"/>
  <c r="H20" i="91"/>
  <c r="I20" i="91"/>
  <c r="J20" i="91"/>
  <c r="D22" i="91"/>
  <c r="E22" i="91"/>
  <c r="F22" i="91"/>
  <c r="G22" i="91"/>
  <c r="H22" i="91"/>
  <c r="I22" i="91"/>
  <c r="J22" i="91"/>
  <c r="D24" i="91"/>
  <c r="E24" i="91"/>
  <c r="F24" i="91"/>
  <c r="G24" i="91"/>
  <c r="H24" i="91"/>
  <c r="I24" i="91"/>
  <c r="J24" i="91"/>
  <c r="D26" i="91"/>
  <c r="E26" i="91"/>
  <c r="F26" i="91"/>
  <c r="G26" i="91"/>
  <c r="H26" i="91"/>
  <c r="I26" i="91"/>
  <c r="J26" i="91"/>
  <c r="D28" i="91"/>
  <c r="E28" i="91"/>
  <c r="F28" i="91"/>
  <c r="G28" i="91"/>
  <c r="H28" i="91"/>
  <c r="I28" i="91"/>
  <c r="J28" i="91"/>
  <c r="D30" i="91"/>
  <c r="E30" i="91"/>
  <c r="F30" i="91"/>
  <c r="G30" i="91"/>
  <c r="H30" i="91"/>
  <c r="I30" i="91"/>
  <c r="J30" i="91"/>
  <c r="D32" i="91"/>
  <c r="E32" i="91"/>
  <c r="F32" i="91"/>
  <c r="G32" i="91"/>
  <c r="H32" i="91"/>
  <c r="I32" i="91"/>
  <c r="J32" i="91"/>
  <c r="D34" i="91"/>
  <c r="E34" i="91"/>
  <c r="F34" i="91"/>
  <c r="G34" i="91"/>
  <c r="H34" i="91"/>
  <c r="I34" i="91"/>
  <c r="J34" i="91"/>
  <c r="D36" i="91"/>
  <c r="E36" i="91"/>
  <c r="F36" i="91"/>
  <c r="G36" i="91"/>
  <c r="H36" i="91"/>
  <c r="I36" i="91"/>
  <c r="J36" i="91"/>
  <c r="D38" i="91"/>
  <c r="E38" i="91"/>
  <c r="F38" i="91"/>
  <c r="G38" i="91"/>
  <c r="H38" i="91"/>
  <c r="I38" i="91"/>
  <c r="J38" i="91"/>
  <c r="D40" i="91"/>
  <c r="E40" i="91"/>
  <c r="F40" i="91"/>
  <c r="G40" i="91"/>
  <c r="H40" i="91"/>
  <c r="I40" i="91"/>
  <c r="J40" i="91"/>
  <c r="D42" i="91"/>
  <c r="E42" i="91"/>
  <c r="F42" i="91"/>
  <c r="G42" i="91"/>
  <c r="H42" i="91"/>
  <c r="I42" i="91"/>
  <c r="J42" i="91"/>
  <c r="D44" i="91"/>
  <c r="E44" i="91"/>
  <c r="F44" i="91"/>
  <c r="G44" i="91"/>
  <c r="H44" i="91"/>
  <c r="I44" i="91"/>
  <c r="J44" i="91"/>
  <c r="D57" i="91"/>
  <c r="E57" i="91"/>
  <c r="F57" i="91"/>
  <c r="G57" i="91"/>
  <c r="H57" i="91"/>
  <c r="I57" i="91"/>
  <c r="J57" i="91"/>
  <c r="G2" i="80"/>
  <c r="D24" i="80"/>
  <c r="D26" i="77"/>
  <c r="E26" i="77"/>
  <c r="F26" i="77"/>
  <c r="C15" i="75"/>
  <c r="F34" i="75"/>
  <c r="F35" i="75"/>
  <c r="F37" i="75"/>
  <c r="F39" i="75"/>
  <c r="F40" i="75"/>
  <c r="F41" i="75"/>
  <c r="F42" i="75"/>
  <c r="F43" i="75"/>
  <c r="F44" i="75"/>
  <c r="F45" i="75"/>
  <c r="J50" i="91" l="1"/>
  <c r="J48" i="91"/>
  <c r="H50" i="91"/>
  <c r="H48" i="91"/>
  <c r="F50" i="91"/>
  <c r="F48" i="91"/>
  <c r="D50" i="91"/>
  <c r="D48" i="91"/>
  <c r="I50" i="91"/>
  <c r="I54" i="91" s="1"/>
  <c r="I48" i="91"/>
  <c r="G50" i="91"/>
  <c r="G48" i="91"/>
  <c r="E50" i="91"/>
  <c r="E48" i="91"/>
  <c r="C21" i="75"/>
  <c r="F30" i="75"/>
  <c r="H51" i="91"/>
  <c r="E53" i="91"/>
  <c r="I51" i="91"/>
  <c r="J53" i="91"/>
  <c r="H53" i="91"/>
  <c r="G51" i="91"/>
  <c r="E51" i="91"/>
  <c r="F51" i="91"/>
  <c r="G53" i="91"/>
  <c r="I53" i="91"/>
  <c r="F53" i="91"/>
  <c r="J51" i="91"/>
  <c r="F29" i="75"/>
  <c r="C19" i="75"/>
  <c r="F38" i="75"/>
  <c r="C16" i="75"/>
  <c r="F36" i="75"/>
  <c r="C20" i="75"/>
  <c r="C18" i="75"/>
  <c r="C17" i="75"/>
  <c r="F36" i="90"/>
  <c r="G52" i="91" l="1"/>
  <c r="D54" i="91"/>
  <c r="D52" i="91"/>
  <c r="E52" i="91"/>
  <c r="G54" i="91"/>
  <c r="J52" i="91"/>
  <c r="E54" i="91"/>
  <c r="I52" i="91"/>
  <c r="H54" i="91"/>
  <c r="H52" i="91"/>
  <c r="J54" i="91"/>
  <c r="F54" i="91"/>
  <c r="F52" i="91"/>
  <c r="F46" i="75"/>
  <c r="E84" i="91" l="1"/>
  <c r="E109" i="91" s="1"/>
  <c r="E134" i="91" s="1"/>
  <c r="I68" i="89" l="1"/>
  <c r="I67" i="89"/>
  <c r="I66" i="89"/>
  <c r="I60" i="89"/>
  <c r="F66" i="90"/>
  <c r="F65" i="90"/>
  <c r="F64" i="90"/>
  <c r="F63" i="90"/>
  <c r="I64" i="89"/>
  <c r="I63" i="89"/>
  <c r="I62" i="89"/>
  <c r="I45" i="89"/>
  <c r="I44" i="89"/>
  <c r="H43" i="89"/>
  <c r="I43" i="89" s="1"/>
  <c r="I12" i="89"/>
  <c r="E19" i="87"/>
  <c r="C13" i="82"/>
  <c r="C14" i="82"/>
  <c r="C15" i="82"/>
  <c r="C16" i="82"/>
  <c r="C17" i="82"/>
  <c r="C18" i="82"/>
  <c r="C19" i="82"/>
  <c r="B14" i="87"/>
  <c r="B15" i="87"/>
  <c r="B16" i="87"/>
  <c r="B17" i="87"/>
  <c r="B18" i="87"/>
  <c r="B19" i="87"/>
  <c r="A14" i="82"/>
  <c r="A14" i="87" s="1"/>
  <c r="A15" i="82"/>
  <c r="A15" i="87" s="1"/>
  <c r="A16" i="87"/>
  <c r="A17" i="87"/>
  <c r="A18" i="87"/>
  <c r="A19" i="87"/>
  <c r="F67" i="90" l="1"/>
  <c r="F68" i="90" s="1"/>
  <c r="F69" i="90" s="1"/>
  <c r="C18" i="81" l="1"/>
  <c r="D5" i="79"/>
  <c r="A2" i="73"/>
  <c r="F53" i="90"/>
  <c r="F52" i="90"/>
  <c r="F51" i="90"/>
  <c r="F50" i="90"/>
  <c r="F49" i="90"/>
  <c r="F48" i="90"/>
  <c r="F40" i="90"/>
  <c r="F38" i="90"/>
  <c r="F37" i="90"/>
  <c r="F34" i="90"/>
  <c r="F33" i="90"/>
  <c r="F32" i="90"/>
  <c r="F31" i="90"/>
  <c r="F30" i="90"/>
  <c r="F29" i="90"/>
  <c r="F28" i="90"/>
  <c r="F27" i="90"/>
  <c r="F26" i="90"/>
  <c r="F25" i="90"/>
  <c r="F24" i="90"/>
  <c r="F21" i="90"/>
  <c r="F20" i="90"/>
  <c r="F19" i="90"/>
  <c r="F18" i="90"/>
  <c r="F17" i="90"/>
  <c r="F16" i="90"/>
  <c r="F15" i="90"/>
  <c r="F14" i="90"/>
  <c r="F13" i="90"/>
  <c r="F12" i="90"/>
  <c r="I48" i="89"/>
  <c r="I47" i="89"/>
  <c r="I46" i="89"/>
  <c r="I61" i="89"/>
  <c r="I53" i="89"/>
  <c r="H39" i="89"/>
  <c r="I39" i="89" s="1"/>
  <c r="I40" i="89" s="1"/>
  <c r="I13" i="89"/>
  <c r="I10" i="89"/>
  <c r="I11" i="89"/>
  <c r="I65" i="89"/>
  <c r="D24" i="88"/>
  <c r="G2" i="88"/>
  <c r="G13" i="86"/>
  <c r="G12" i="86"/>
  <c r="D24" i="85"/>
  <c r="G2" i="85"/>
  <c r="E10" i="84"/>
  <c r="D24" i="83"/>
  <c r="G2" i="83"/>
  <c r="E28" i="82"/>
  <c r="E28" i="87" s="1"/>
  <c r="D28" i="82"/>
  <c r="A28" i="82"/>
  <c r="A28" i="87" s="1"/>
  <c r="E27" i="82"/>
  <c r="E27" i="87" s="1"/>
  <c r="D27" i="82"/>
  <c r="D27" i="87" s="1"/>
  <c r="A27" i="82"/>
  <c r="A27" i="87" s="1"/>
  <c r="A26" i="82"/>
  <c r="A26" i="87" s="1"/>
  <c r="A25" i="82"/>
  <c r="A25" i="87" s="1"/>
  <c r="A24" i="82"/>
  <c r="A24" i="87" s="1"/>
  <c r="B23" i="82"/>
  <c r="B23" i="87" s="1"/>
  <c r="A23" i="82"/>
  <c r="A23" i="87" s="1"/>
  <c r="B13" i="87"/>
  <c r="A13" i="82"/>
  <c r="A13" i="87" s="1"/>
  <c r="C12" i="82"/>
  <c r="C28" i="82" s="1"/>
  <c r="B12" i="82"/>
  <c r="B12" i="87" s="1"/>
  <c r="A12" i="82"/>
  <c r="A12" i="87" s="1"/>
  <c r="D24" i="81"/>
  <c r="G2" i="81"/>
  <c r="M29" i="79"/>
  <c r="L29" i="79"/>
  <c r="K29" i="79"/>
  <c r="J29" i="79"/>
  <c r="M28" i="79"/>
  <c r="L28" i="79"/>
  <c r="K28" i="79"/>
  <c r="J28" i="79"/>
  <c r="M27" i="79"/>
  <c r="L27" i="79"/>
  <c r="K27" i="79"/>
  <c r="J27" i="79"/>
  <c r="M26" i="79"/>
  <c r="L26" i="79"/>
  <c r="K26" i="79"/>
  <c r="J26" i="79"/>
  <c r="H15" i="79"/>
  <c r="H14" i="79"/>
  <c r="H13" i="79"/>
  <c r="P46" i="76"/>
  <c r="P47" i="76" s="1"/>
  <c r="P48" i="76" s="1"/>
  <c r="P49" i="76" s="1"/>
  <c r="P50" i="76" s="1"/>
  <c r="P51" i="76" s="1"/>
  <c r="P52" i="76" s="1"/>
  <c r="P53" i="76" s="1"/>
  <c r="P54" i="76" s="1"/>
  <c r="P55" i="76" s="1"/>
  <c r="P56" i="76" s="1"/>
  <c r="P57" i="76" s="1"/>
  <c r="P58" i="76" s="1"/>
  <c r="P59" i="76" s="1"/>
  <c r="P60" i="76" s="1"/>
  <c r="P61" i="76" s="1"/>
  <c r="P62" i="76" s="1"/>
  <c r="P63" i="76" s="1"/>
  <c r="P64" i="76" s="1"/>
  <c r="P65" i="76" s="1"/>
  <c r="P66" i="76" s="1"/>
  <c r="O46" i="76"/>
  <c r="O47" i="76" s="1"/>
  <c r="O48" i="76" s="1"/>
  <c r="O49" i="76" s="1"/>
  <c r="O50" i="76" s="1"/>
  <c r="O51" i="76" s="1"/>
  <c r="O52" i="76" s="1"/>
  <c r="O53" i="76" s="1"/>
  <c r="O54" i="76" s="1"/>
  <c r="O55" i="76" s="1"/>
  <c r="O56" i="76" s="1"/>
  <c r="O57" i="76" s="1"/>
  <c r="O58" i="76" s="1"/>
  <c r="O59" i="76" s="1"/>
  <c r="O60" i="76" s="1"/>
  <c r="O61" i="76" s="1"/>
  <c r="O62" i="76" s="1"/>
  <c r="O63" i="76" s="1"/>
  <c r="O64" i="76" s="1"/>
  <c r="O65" i="76" s="1"/>
  <c r="F26" i="75" s="1"/>
  <c r="N46" i="76"/>
  <c r="N47" i="76" s="1"/>
  <c r="N48" i="76" s="1"/>
  <c r="N49" i="76" s="1"/>
  <c r="N50" i="76" s="1"/>
  <c r="N51" i="76" s="1"/>
  <c r="N52" i="76" s="1"/>
  <c r="N53" i="76" s="1"/>
  <c r="N54" i="76" s="1"/>
  <c r="N55" i="76" s="1"/>
  <c r="N56" i="76" s="1"/>
  <c r="N57" i="76" s="1"/>
  <c r="N58" i="76" s="1"/>
  <c r="N59" i="76" s="1"/>
  <c r="N60" i="76" s="1"/>
  <c r="N61" i="76" s="1"/>
  <c r="N62" i="76" s="1"/>
  <c r="N63" i="76" s="1"/>
  <c r="N64" i="76" s="1"/>
  <c r="N65" i="76" s="1"/>
  <c r="N66" i="76" s="1"/>
  <c r="N67" i="76" s="1"/>
  <c r="N68" i="76" s="1"/>
  <c r="L46" i="76"/>
  <c r="L47" i="76" s="1"/>
  <c r="L48" i="76" s="1"/>
  <c r="L49" i="76" s="1"/>
  <c r="L50" i="76" s="1"/>
  <c r="L51" i="76" s="1"/>
  <c r="L52" i="76" s="1"/>
  <c r="L53" i="76" s="1"/>
  <c r="L54" i="76" s="1"/>
  <c r="L55" i="76" s="1"/>
  <c r="L56" i="76" s="1"/>
  <c r="L57" i="76" s="1"/>
  <c r="L58" i="76" s="1"/>
  <c r="L59" i="76" s="1"/>
  <c r="L60" i="76" s="1"/>
  <c r="L61" i="76" s="1"/>
  <c r="L62" i="76" s="1"/>
  <c r="L63" i="76" s="1"/>
  <c r="L64" i="76" s="1"/>
  <c r="L65" i="76" s="1"/>
  <c r="L66" i="76" s="1"/>
  <c r="L67" i="76" s="1"/>
  <c r="L68" i="76" s="1"/>
  <c r="K46" i="76"/>
  <c r="K47" i="76" s="1"/>
  <c r="K48" i="76" s="1"/>
  <c r="K49" i="76" s="1"/>
  <c r="K50" i="76" s="1"/>
  <c r="K51" i="76" s="1"/>
  <c r="K52" i="76" s="1"/>
  <c r="K53" i="76" s="1"/>
  <c r="K54" i="76" s="1"/>
  <c r="K55" i="76" s="1"/>
  <c r="K56" i="76" s="1"/>
  <c r="K57" i="76" s="1"/>
  <c r="K58" i="76" s="1"/>
  <c r="K59" i="76" s="1"/>
  <c r="K60" i="76" s="1"/>
  <c r="K61" i="76" s="1"/>
  <c r="K62" i="76" s="1"/>
  <c r="K63" i="76" s="1"/>
  <c r="K64" i="76" s="1"/>
  <c r="J46" i="76"/>
  <c r="J47" i="76" s="1"/>
  <c r="J48" i="76" s="1"/>
  <c r="J49" i="76" s="1"/>
  <c r="J50" i="76" s="1"/>
  <c r="J51" i="76" s="1"/>
  <c r="J52" i="76" s="1"/>
  <c r="J53" i="76" s="1"/>
  <c r="J54" i="76" s="1"/>
  <c r="J55" i="76" s="1"/>
  <c r="J56" i="76" s="1"/>
  <c r="J57" i="76" s="1"/>
  <c r="J58" i="76" s="1"/>
  <c r="J59" i="76" s="1"/>
  <c r="J60" i="76" s="1"/>
  <c r="J61" i="76" s="1"/>
  <c r="J62" i="76" s="1"/>
  <c r="J63" i="76" s="1"/>
  <c r="J64" i="76" s="1"/>
  <c r="J65" i="76" s="1"/>
  <c r="I46" i="76"/>
  <c r="I47" i="76" s="1"/>
  <c r="I48" i="76" s="1"/>
  <c r="I49" i="76" s="1"/>
  <c r="I50" i="76" s="1"/>
  <c r="I51" i="76" s="1"/>
  <c r="I52" i="76" s="1"/>
  <c r="H46" i="76"/>
  <c r="H47" i="76" s="1"/>
  <c r="H48" i="76" s="1"/>
  <c r="H49" i="76" s="1"/>
  <c r="H50" i="76" s="1"/>
  <c r="H51" i="76" s="1"/>
  <c r="H52" i="76" s="1"/>
  <c r="H53" i="76" s="1"/>
  <c r="H54" i="76" s="1"/>
  <c r="H55" i="76" s="1"/>
  <c r="H56" i="76" s="1"/>
  <c r="H57" i="76" s="1"/>
  <c r="H58" i="76" s="1"/>
  <c r="H59" i="76" s="1"/>
  <c r="H60" i="76" s="1"/>
  <c r="G46" i="76"/>
  <c r="G47" i="76" s="1"/>
  <c r="G48" i="76" s="1"/>
  <c r="G49" i="76" s="1"/>
  <c r="G50" i="76" s="1"/>
  <c r="G51" i="76" s="1"/>
  <c r="G52" i="76" s="1"/>
  <c r="G53" i="76" s="1"/>
  <c r="G54" i="76" s="1"/>
  <c r="G55" i="76" s="1"/>
  <c r="G56" i="76" s="1"/>
  <c r="G57" i="76" s="1"/>
  <c r="G58" i="76" s="1"/>
  <c r="G59" i="76" s="1"/>
  <c r="G60" i="76" s="1"/>
  <c r="G61" i="76" s="1"/>
  <c r="G62" i="76" s="1"/>
  <c r="G63" i="76" s="1"/>
  <c r="F46" i="76"/>
  <c r="F47" i="76" s="1"/>
  <c r="F48" i="76" s="1"/>
  <c r="F49" i="76" s="1"/>
  <c r="F50" i="76" s="1"/>
  <c r="F51" i="76" s="1"/>
  <c r="F52" i="76" s="1"/>
  <c r="F53" i="76" s="1"/>
  <c r="F54" i="76" s="1"/>
  <c r="F55" i="76" s="1"/>
  <c r="F56" i="76" s="1"/>
  <c r="F57" i="76" s="1"/>
  <c r="F58" i="76" s="1"/>
  <c r="F59" i="76" s="1"/>
  <c r="F60" i="76" s="1"/>
  <c r="F61" i="76" s="1"/>
  <c r="F62" i="76" s="1"/>
  <c r="F63" i="76" s="1"/>
  <c r="F64" i="76" s="1"/>
  <c r="F65" i="76" s="1"/>
  <c r="F66" i="76" s="1"/>
  <c r="F67" i="76" s="1"/>
  <c r="F68" i="76" s="1"/>
  <c r="E46" i="76"/>
  <c r="E47" i="76" s="1"/>
  <c r="E48" i="76" s="1"/>
  <c r="E49" i="76" s="1"/>
  <c r="E50" i="76" s="1"/>
  <c r="E51" i="76" s="1"/>
  <c r="E52" i="76" s="1"/>
  <c r="E53" i="76" s="1"/>
  <c r="E54" i="76" s="1"/>
  <c r="E55" i="76" s="1"/>
  <c r="E56" i="76" s="1"/>
  <c r="E57" i="76" s="1"/>
  <c r="E58" i="76" s="1"/>
  <c r="E59" i="76" s="1"/>
  <c r="E60" i="76" s="1"/>
  <c r="E61" i="76" s="1"/>
  <c r="E62" i="76" s="1"/>
  <c r="E63" i="76" s="1"/>
  <c r="E64" i="76" s="1"/>
  <c r="E65" i="76" s="1"/>
  <c r="E66" i="76" s="1"/>
  <c r="E67" i="76" s="1"/>
  <c r="D46" i="76"/>
  <c r="D47" i="76" s="1"/>
  <c r="D48" i="76" s="1"/>
  <c r="D49" i="76" s="1"/>
  <c r="D50" i="76" s="1"/>
  <c r="D51" i="76" s="1"/>
  <c r="D52" i="76" s="1"/>
  <c r="D53" i="76" s="1"/>
  <c r="D54" i="76" s="1"/>
  <c r="D55" i="76" s="1"/>
  <c r="D56" i="76" s="1"/>
  <c r="D57" i="76" s="1"/>
  <c r="D58" i="76" s="1"/>
  <c r="D59" i="76" s="1"/>
  <c r="D60" i="76" s="1"/>
  <c r="D61" i="76" s="1"/>
  <c r="D62" i="76" s="1"/>
  <c r="D63" i="76" s="1"/>
  <c r="C46" i="76"/>
  <c r="C47" i="76" s="1"/>
  <c r="C48" i="76" s="1"/>
  <c r="C49" i="76" s="1"/>
  <c r="C50" i="76" s="1"/>
  <c r="C51" i="76" s="1"/>
  <c r="C52" i="76" s="1"/>
  <c r="C53" i="76" s="1"/>
  <c r="C54" i="76" s="1"/>
  <c r="C55" i="76" s="1"/>
  <c r="C56" i="76" s="1"/>
  <c r="C57" i="76" s="1"/>
  <c r="C58" i="76" s="1"/>
  <c r="C59" i="76" s="1"/>
  <c r="C60" i="76" s="1"/>
  <c r="C61" i="76" s="1"/>
  <c r="C62" i="76" s="1"/>
  <c r="C63" i="76" s="1"/>
  <c r="C64" i="76" s="1"/>
  <c r="C65" i="76" s="1"/>
  <c r="C66" i="76" s="1"/>
  <c r="C67" i="76" s="1"/>
  <c r="C68" i="76" s="1"/>
  <c r="Q45" i="76"/>
  <c r="Q46" i="76" s="1"/>
  <c r="Q47" i="76" s="1"/>
  <c r="Q48" i="76" s="1"/>
  <c r="Q49" i="76" s="1"/>
  <c r="Q50" i="76" s="1"/>
  <c r="Q51" i="76" s="1"/>
  <c r="Q52" i="76" s="1"/>
  <c r="Q53" i="76" s="1"/>
  <c r="Q54" i="76" s="1"/>
  <c r="Q55" i="76" s="1"/>
  <c r="Q56" i="76" s="1"/>
  <c r="Q57" i="76" s="1"/>
  <c r="Q58" i="76" s="1"/>
  <c r="Q59" i="76" s="1"/>
  <c r="Q60" i="76" s="1"/>
  <c r="Q61" i="76" s="1"/>
  <c r="Q62" i="76" s="1"/>
  <c r="Q63" i="76" s="1"/>
  <c r="Q64" i="76" s="1"/>
  <c r="Q65" i="76" s="1"/>
  <c r="Q66" i="76" s="1"/>
  <c r="Q67" i="76" s="1"/>
  <c r="Q68" i="76" s="1"/>
  <c r="M45" i="76"/>
  <c r="M46" i="76" s="1"/>
  <c r="M47" i="76" s="1"/>
  <c r="M48" i="76" s="1"/>
  <c r="M49" i="76" s="1"/>
  <c r="M50" i="76" s="1"/>
  <c r="M51" i="76" s="1"/>
  <c r="M52" i="76" s="1"/>
  <c r="M53" i="76" s="1"/>
  <c r="M54" i="76" s="1"/>
  <c r="M55" i="76" s="1"/>
  <c r="M56" i="76" s="1"/>
  <c r="M57" i="76" s="1"/>
  <c r="M58" i="76" s="1"/>
  <c r="M59" i="76" s="1"/>
  <c r="M60" i="76" s="1"/>
  <c r="M61" i="76" s="1"/>
  <c r="M62" i="76" s="1"/>
  <c r="M63" i="76" s="1"/>
  <c r="M64" i="76" s="1"/>
  <c r="M65" i="76" s="1"/>
  <c r="D17" i="76"/>
  <c r="D20" i="76" s="1"/>
  <c r="C17" i="76"/>
  <c r="C20" i="76" s="1"/>
  <c r="D13" i="76"/>
  <c r="C12" i="76"/>
  <c r="C11" i="76"/>
  <c r="C10" i="76"/>
  <c r="E7" i="76"/>
  <c r="E22" i="76" s="1"/>
  <c r="D7" i="76"/>
  <c r="C6" i="76"/>
  <c r="C5" i="76"/>
  <c r="C4" i="76"/>
  <c r="C7" i="76" s="1"/>
  <c r="B28" i="82"/>
  <c r="B28" i="87" s="1"/>
  <c r="B27" i="82"/>
  <c r="B27" i="87" s="1"/>
  <c r="B26" i="82"/>
  <c r="B26" i="87" s="1"/>
  <c r="B25" i="82"/>
  <c r="B25" i="87" s="1"/>
  <c r="B24" i="82"/>
  <c r="B24" i="87" s="1"/>
  <c r="E13" i="87"/>
  <c r="I20" i="89" l="1"/>
  <c r="F41" i="90"/>
  <c r="F55" i="90"/>
  <c r="F25" i="75"/>
  <c r="E68" i="76"/>
  <c r="F27" i="75"/>
  <c r="D22" i="76"/>
  <c r="D64" i="76"/>
  <c r="D65" i="76" s="1"/>
  <c r="D66" i="76" s="1"/>
  <c r="D67" i="76" s="1"/>
  <c r="C13" i="76"/>
  <c r="C22" i="76" s="1"/>
  <c r="H61" i="76"/>
  <c r="E14" i="87"/>
  <c r="E16" i="87"/>
  <c r="E15" i="87"/>
  <c r="E17" i="87"/>
  <c r="E18" i="87"/>
  <c r="F56" i="90"/>
  <c r="I49" i="89"/>
  <c r="E25" i="82"/>
  <c r="E25" i="87" s="1"/>
  <c r="E26" i="82"/>
  <c r="E26" i="87" s="1"/>
  <c r="C24" i="82"/>
  <c r="C26" i="82"/>
  <c r="E24" i="82"/>
  <c r="E24" i="87" s="1"/>
  <c r="C23" i="82"/>
  <c r="C25" i="82"/>
  <c r="C27" i="82"/>
  <c r="F27" i="82" s="1"/>
  <c r="G27" i="82" s="1"/>
  <c r="M66" i="76"/>
  <c r="M67" i="76" s="1"/>
  <c r="J66" i="76"/>
  <c r="J67" i="76" s="1"/>
  <c r="J68" i="76" s="1"/>
  <c r="K65" i="76"/>
  <c r="O66" i="76"/>
  <c r="O67" i="76" s="1"/>
  <c r="O68" i="76" s="1"/>
  <c r="P67" i="76"/>
  <c r="P68" i="76" s="1"/>
  <c r="I53" i="76"/>
  <c r="I54" i="76" s="1"/>
  <c r="I55" i="76" s="1"/>
  <c r="I56" i="76" s="1"/>
  <c r="I57" i="76" s="1"/>
  <c r="I58" i="76" s="1"/>
  <c r="I59" i="76" s="1"/>
  <c r="G64" i="76"/>
  <c r="G65" i="76" s="1"/>
  <c r="G66" i="76" s="1"/>
  <c r="G67" i="76" s="1"/>
  <c r="G68" i="76" s="1"/>
  <c r="E12" i="87"/>
  <c r="E23" i="82"/>
  <c r="E23" i="87" s="1"/>
  <c r="F28" i="82"/>
  <c r="G28" i="82" s="1"/>
  <c r="D28" i="87"/>
  <c r="H42" i="89"/>
  <c r="G14" i="86"/>
  <c r="F57" i="90" l="1"/>
  <c r="F58" i="90" s="1"/>
  <c r="F77" i="90" s="1"/>
  <c r="F42" i="90"/>
  <c r="F43" i="90" s="1"/>
  <c r="M68" i="76"/>
  <c r="D68" i="76"/>
  <c r="H62" i="76"/>
  <c r="H63" i="76" s="1"/>
  <c r="H64" i="76" s="1"/>
  <c r="H65" i="76" s="1"/>
  <c r="D23" i="82"/>
  <c r="D25" i="82"/>
  <c r="I60" i="76"/>
  <c r="I61" i="76" s="1"/>
  <c r="K66" i="76"/>
  <c r="K67" i="76" s="1"/>
  <c r="K68" i="76" s="1"/>
  <c r="D24" i="82"/>
  <c r="I42" i="89"/>
  <c r="F28" i="75" l="1"/>
  <c r="D26" i="82"/>
  <c r="I62" i="76"/>
  <c r="I63" i="76" s="1"/>
  <c r="I64" i="76" s="1"/>
  <c r="H66" i="76"/>
  <c r="H67" i="76" s="1"/>
  <c r="H68" i="76" s="1"/>
  <c r="I58" i="89"/>
  <c r="I69" i="89" s="1"/>
  <c r="F24" i="82"/>
  <c r="G24" i="82" s="1"/>
  <c r="D24" i="87"/>
  <c r="F28" i="87"/>
  <c r="F27" i="87"/>
  <c r="F23" i="82"/>
  <c r="G23" i="82" s="1"/>
  <c r="D23" i="87"/>
  <c r="F23" i="87" s="1"/>
  <c r="D25" i="87"/>
  <c r="F25" i="82"/>
  <c r="G25" i="82" s="1"/>
  <c r="G71" i="89" l="1"/>
  <c r="I71" i="89" s="1"/>
  <c r="I72" i="89" s="1"/>
  <c r="I74" i="89" s="1"/>
  <c r="D26" i="87"/>
  <c r="F26" i="87" s="1"/>
  <c r="F26" i="82"/>
  <c r="F31" i="75"/>
  <c r="F25" i="87"/>
  <c r="I65" i="76"/>
  <c r="I66" i="76" s="1"/>
  <c r="I67" i="76" s="1"/>
  <c r="I68" i="76" s="1"/>
  <c r="F24" i="87"/>
  <c r="F29" i="82" l="1"/>
  <c r="G26" i="82"/>
  <c r="G29" i="82" s="1"/>
  <c r="D22" i="88"/>
  <c r="D25" i="88" s="1"/>
  <c r="C14" i="78" s="1"/>
  <c r="F29" i="87"/>
  <c r="F58" i="91" l="1"/>
  <c r="F59" i="91"/>
  <c r="F60" i="91"/>
  <c r="G60" i="91"/>
  <c r="G58" i="91"/>
  <c r="G59" i="91"/>
  <c r="E59" i="91"/>
  <c r="E60" i="91"/>
  <c r="E58" i="91"/>
  <c r="J60" i="91"/>
  <c r="J58" i="91"/>
  <c r="J59" i="91"/>
  <c r="I59" i="91"/>
  <c r="I60" i="91"/>
  <c r="I58" i="91"/>
  <c r="H59" i="91"/>
  <c r="H60" i="91"/>
  <c r="H58" i="91"/>
  <c r="K14" i="91"/>
  <c r="D58" i="91"/>
  <c r="D59" i="91"/>
  <c r="D60" i="91"/>
  <c r="C58" i="91" l="1"/>
  <c r="C59" i="91"/>
  <c r="C60" i="91"/>
  <c r="D67" i="91" l="1"/>
  <c r="D77" i="91"/>
  <c r="D72" i="91"/>
  <c r="D80" i="91"/>
  <c r="D75" i="91"/>
  <c r="D78" i="91"/>
  <c r="D71" i="91"/>
  <c r="D79" i="91"/>
  <c r="D82" i="91"/>
  <c r="D73" i="91"/>
  <c r="D81" i="91"/>
  <c r="D76" i="91"/>
  <c r="D74" i="91"/>
  <c r="D89" i="91"/>
  <c r="D100" i="91"/>
  <c r="D95" i="91"/>
  <c r="D103" i="91"/>
  <c r="D98" i="91"/>
  <c r="D106" i="91"/>
  <c r="D101" i="91"/>
  <c r="D97" i="91"/>
  <c r="D96" i="91"/>
  <c r="D104" i="91"/>
  <c r="D99" i="91"/>
  <c r="D107" i="91"/>
  <c r="E107" i="91" s="1"/>
  <c r="D102" i="91"/>
  <c r="D105" i="91"/>
  <c r="D92" i="91"/>
  <c r="D90" i="91"/>
  <c r="D93" i="91"/>
  <c r="D118" i="91"/>
  <c r="D120" i="91"/>
  <c r="D123" i="91"/>
  <c r="D131" i="91"/>
  <c r="D126" i="91"/>
  <c r="D121" i="91"/>
  <c r="D129" i="91"/>
  <c r="D128" i="91"/>
  <c r="D124" i="91"/>
  <c r="D132" i="91"/>
  <c r="E132" i="91" s="1"/>
  <c r="D127" i="91"/>
  <c r="D122" i="91"/>
  <c r="D130" i="91"/>
  <c r="D125" i="91"/>
  <c r="D115" i="91"/>
  <c r="D91" i="91"/>
  <c r="D116" i="91"/>
  <c r="D94" i="91"/>
  <c r="D69" i="91"/>
  <c r="D70" i="91"/>
  <c r="D65" i="91"/>
  <c r="D68" i="91"/>
  <c r="D66" i="91"/>
  <c r="D117" i="91"/>
  <c r="D119" i="91"/>
  <c r="D114" i="91"/>
  <c r="D16" i="33"/>
  <c r="D15" i="33"/>
  <c r="I6" i="33"/>
  <c r="I22" i="33"/>
  <c r="H22" i="33"/>
  <c r="I4" i="33"/>
  <c r="J22" i="33" l="1"/>
  <c r="H34" i="33"/>
  <c r="J35" i="33" l="1"/>
  <c r="J27" i="33"/>
  <c r="J25" i="33"/>
  <c r="J4" i="33"/>
  <c r="J6" i="33"/>
  <c r="J8" i="33"/>
  <c r="J10" i="33"/>
  <c r="P10" i="33" l="1"/>
  <c r="M35" i="33"/>
  <c r="M36" i="33" s="1"/>
  <c r="M37" i="33" s="1"/>
  <c r="M8" i="33"/>
  <c r="M27" i="33"/>
  <c r="M25" i="33"/>
  <c r="M10" i="33"/>
  <c r="M6" i="33"/>
  <c r="M4" i="33"/>
  <c r="L35" i="33"/>
  <c r="L36" i="33" s="1"/>
  <c r="L37" i="33" s="1"/>
  <c r="L27" i="33"/>
  <c r="L25" i="33"/>
  <c r="L8" i="33"/>
  <c r="L6" i="33"/>
  <c r="L10" i="33"/>
  <c r="L4" i="33"/>
  <c r="J36" i="33"/>
  <c r="J37" i="33" s="1"/>
  <c r="K35" i="33"/>
  <c r="K36" i="33" s="1"/>
  <c r="K37" i="33" s="1"/>
  <c r="J29" i="33"/>
  <c r="J30" i="33" s="1"/>
  <c r="K27" i="33"/>
  <c r="K25" i="33"/>
  <c r="K6" i="33"/>
  <c r="K8" i="33"/>
  <c r="K10" i="33"/>
  <c r="K4" i="33"/>
  <c r="I35" i="33"/>
  <c r="I36" i="33" s="1"/>
  <c r="I37" i="33" s="1"/>
  <c r="H35" i="33"/>
  <c r="H36" i="33" s="1"/>
  <c r="H37" i="33" s="1"/>
  <c r="E22" i="33"/>
  <c r="F22" i="33" s="1"/>
  <c r="I27" i="33"/>
  <c r="H28" i="33"/>
  <c r="H27" i="33"/>
  <c r="I25" i="33"/>
  <c r="H26" i="33"/>
  <c r="H25" i="33"/>
  <c r="E21" i="33"/>
  <c r="H4" i="33"/>
  <c r="H6" i="33"/>
  <c r="H8" i="33"/>
  <c r="H10" i="33"/>
  <c r="F19" i="33"/>
  <c r="I10" i="33"/>
  <c r="G12" i="33"/>
  <c r="K12" i="33" s="1"/>
  <c r="H9" i="33"/>
  <c r="H5" i="33"/>
  <c r="H7" i="33"/>
  <c r="H11" i="33"/>
  <c r="M29" i="33" l="1"/>
  <c r="M30" i="33" s="1"/>
  <c r="K29" i="33"/>
  <c r="K30" i="33" s="1"/>
  <c r="L29" i="33"/>
  <c r="L30" i="33" s="1"/>
  <c r="H29" i="33"/>
  <c r="I29" i="33"/>
  <c r="I30" i="33" s="1"/>
  <c r="K14" i="33"/>
  <c r="K15" i="33" s="1"/>
  <c r="H12" i="33"/>
  <c r="M12" i="33"/>
  <c r="M14" i="33" s="1"/>
  <c r="M15" i="33" s="1"/>
  <c r="L12" i="33"/>
  <c r="L14" i="33" s="1"/>
  <c r="L15" i="33" s="1"/>
  <c r="H30" i="33"/>
  <c r="G13" i="33"/>
  <c r="J12" i="33" s="1"/>
  <c r="J14" i="33" s="1"/>
  <c r="J15" i="33" s="1"/>
  <c r="I12" i="33"/>
  <c r="I14" i="33" s="1"/>
  <c r="I15" i="33" s="1"/>
  <c r="H13" i="33" l="1"/>
  <c r="H14" i="33" l="1"/>
  <c r="H15" i="33" s="1"/>
  <c r="C28" i="73" l="1"/>
  <c r="C18" i="9"/>
  <c r="P52" i="8" l="1"/>
  <c r="P53" i="8" s="1"/>
  <c r="P54" i="8" s="1"/>
  <c r="P55" i="8" s="1"/>
  <c r="P56" i="8" s="1"/>
  <c r="P57" i="8" s="1"/>
  <c r="P58" i="8" s="1"/>
  <c r="P59" i="8" s="1"/>
  <c r="P60" i="8" s="1"/>
  <c r="P61" i="8" s="1"/>
  <c r="P62" i="8" s="1"/>
  <c r="P63" i="8" s="1"/>
  <c r="P64" i="8" s="1"/>
  <c r="P65" i="8" s="1"/>
  <c r="P66" i="8" s="1"/>
  <c r="P67" i="8" s="1"/>
  <c r="P68" i="8" s="1"/>
  <c r="P69" i="8" s="1"/>
  <c r="P70" i="8" s="1"/>
  <c r="P71" i="8" s="1"/>
  <c r="P72" i="8" s="1"/>
  <c r="P73" i="8" s="1"/>
  <c r="P74" i="8" s="1"/>
  <c r="P75" i="8" s="1"/>
  <c r="P76" i="8" s="1"/>
  <c r="P77" i="8" s="1"/>
  <c r="D21" i="75" s="1"/>
  <c r="O52" i="8"/>
  <c r="O53" i="8" s="1"/>
  <c r="O54" i="8" s="1"/>
  <c r="O55" i="8" s="1"/>
  <c r="O56" i="8" s="1"/>
  <c r="O57" i="8" s="1"/>
  <c r="O58" i="8" s="1"/>
  <c r="O59" i="8" s="1"/>
  <c r="O60" i="8" s="1"/>
  <c r="O61" i="8" s="1"/>
  <c r="O62" i="8" s="1"/>
  <c r="O63" i="8" s="1"/>
  <c r="O64" i="8" s="1"/>
  <c r="O65" i="8" s="1"/>
  <c r="N52" i="8"/>
  <c r="N53" i="8" s="1"/>
  <c r="N54" i="8" s="1"/>
  <c r="N55" i="8" s="1"/>
  <c r="N56" i="8" s="1"/>
  <c r="N57" i="8" s="1"/>
  <c r="N58" i="8" s="1"/>
  <c r="N59" i="8" s="1"/>
  <c r="N60" i="8" s="1"/>
  <c r="N61" i="8" s="1"/>
  <c r="N62" i="8" s="1"/>
  <c r="N63" i="8" s="1"/>
  <c r="N64" i="8" s="1"/>
  <c r="N65" i="8" s="1"/>
  <c r="N66" i="8" s="1"/>
  <c r="N67" i="8" s="1"/>
  <c r="N68" i="8" s="1"/>
  <c r="N69" i="8" s="1"/>
  <c r="N70" i="8" s="1"/>
  <c r="N71" i="8" s="1"/>
  <c r="N72" i="8" s="1"/>
  <c r="N73" i="8" s="1"/>
  <c r="N74" i="8" s="1"/>
  <c r="N75" i="8" s="1"/>
  <c r="N76" i="8" s="1"/>
  <c r="N77" i="8" s="1"/>
  <c r="L52" i="8"/>
  <c r="L53" i="8" s="1"/>
  <c r="L54" i="8" s="1"/>
  <c r="L55" i="8" s="1"/>
  <c r="L56" i="8" s="1"/>
  <c r="L57" i="8" s="1"/>
  <c r="L58" i="8" s="1"/>
  <c r="L59" i="8" s="1"/>
  <c r="L60" i="8" s="1"/>
  <c r="L61" i="8" s="1"/>
  <c r="L62" i="8" s="1"/>
  <c r="L63" i="8" s="1"/>
  <c r="L64" i="8" s="1"/>
  <c r="L65" i="8" s="1"/>
  <c r="L66" i="8" s="1"/>
  <c r="L67" i="8" s="1"/>
  <c r="L68" i="8" s="1"/>
  <c r="L69" i="8" s="1"/>
  <c r="L70" i="8" s="1"/>
  <c r="L71" i="8" s="1"/>
  <c r="L72" i="8" s="1"/>
  <c r="L73" i="8" s="1"/>
  <c r="L74" i="8" s="1"/>
  <c r="L75" i="8" s="1"/>
  <c r="L76" i="8" s="1"/>
  <c r="L77" i="8" s="1"/>
  <c r="K52" i="8"/>
  <c r="K53" i="8" s="1"/>
  <c r="K54" i="8" s="1"/>
  <c r="K55" i="8" s="1"/>
  <c r="K56" i="8" s="1"/>
  <c r="K57" i="8" s="1"/>
  <c r="K58" i="8" s="1"/>
  <c r="K59" i="8" s="1"/>
  <c r="K60" i="8" s="1"/>
  <c r="K61" i="8" s="1"/>
  <c r="K62" i="8" s="1"/>
  <c r="K63" i="8" s="1"/>
  <c r="J52" i="8"/>
  <c r="J53" i="8" s="1"/>
  <c r="J54" i="8" s="1"/>
  <c r="J55" i="8" s="1"/>
  <c r="J56" i="8" s="1"/>
  <c r="J57" i="8" s="1"/>
  <c r="J58" i="8" s="1"/>
  <c r="J59" i="8" s="1"/>
  <c r="J60" i="8" s="1"/>
  <c r="J61" i="8" s="1"/>
  <c r="J62" i="8" s="1"/>
  <c r="J63" i="8" s="1"/>
  <c r="J64" i="8" s="1"/>
  <c r="J65" i="8" s="1"/>
  <c r="J66" i="8" s="1"/>
  <c r="J67" i="8" s="1"/>
  <c r="J68" i="8" s="1"/>
  <c r="J69" i="8" s="1"/>
  <c r="J70" i="8" s="1"/>
  <c r="J71" i="8" s="1"/>
  <c r="J72" i="8" s="1"/>
  <c r="J73" i="8" s="1"/>
  <c r="J74" i="8" s="1"/>
  <c r="J75" i="8" s="1"/>
  <c r="J76" i="8" s="1"/>
  <c r="J77" i="8" s="1"/>
  <c r="D20" i="75" s="1"/>
  <c r="I52" i="8"/>
  <c r="I53" i="8" s="1"/>
  <c r="I54" i="8" s="1"/>
  <c r="I55" i="8" s="1"/>
  <c r="I56" i="8" s="1"/>
  <c r="I57" i="8" s="1"/>
  <c r="I58" i="8" s="1"/>
  <c r="I59" i="8" s="1"/>
  <c r="I60" i="8" s="1"/>
  <c r="I61" i="8" s="1"/>
  <c r="I62" i="8" s="1"/>
  <c r="I63" i="8" s="1"/>
  <c r="I64" i="8" s="1"/>
  <c r="I65" i="8" s="1"/>
  <c r="I66" i="8" s="1"/>
  <c r="I67" i="8" s="1"/>
  <c r="I68" i="8" s="1"/>
  <c r="I69" i="8" s="1"/>
  <c r="I70" i="8" s="1"/>
  <c r="I71" i="8" s="1"/>
  <c r="I72" i="8" s="1"/>
  <c r="I73" i="8" s="1"/>
  <c r="I74" i="8" s="1"/>
  <c r="I75" i="8" s="1"/>
  <c r="I76" i="8" s="1"/>
  <c r="I77" i="8" s="1"/>
  <c r="H52" i="8"/>
  <c r="H53" i="8" s="1"/>
  <c r="H54" i="8" s="1"/>
  <c r="H55" i="8" s="1"/>
  <c r="H56" i="8" s="1"/>
  <c r="H57" i="8" s="1"/>
  <c r="H58" i="8" s="1"/>
  <c r="H59" i="8" s="1"/>
  <c r="H60" i="8" s="1"/>
  <c r="H61" i="8" s="1"/>
  <c r="H62" i="8" s="1"/>
  <c r="H63" i="8" s="1"/>
  <c r="H64" i="8" s="1"/>
  <c r="H65" i="8" s="1"/>
  <c r="H66" i="8" s="1"/>
  <c r="H67" i="8" s="1"/>
  <c r="H68" i="8" s="1"/>
  <c r="H69" i="8" s="1"/>
  <c r="H70" i="8" s="1"/>
  <c r="H71" i="8" s="1"/>
  <c r="H72" i="8" s="1"/>
  <c r="H73" i="8" s="1"/>
  <c r="H74" i="8" s="1"/>
  <c r="H75" i="8" s="1"/>
  <c r="H76" i="8" s="1"/>
  <c r="H77" i="8" s="1"/>
  <c r="D17" i="75" s="1"/>
  <c r="G52" i="8"/>
  <c r="G53" i="8" s="1"/>
  <c r="G54" i="8" s="1"/>
  <c r="G55" i="8" s="1"/>
  <c r="G56" i="8" s="1"/>
  <c r="G57" i="8" s="1"/>
  <c r="G58" i="8" s="1"/>
  <c r="G59" i="8" s="1"/>
  <c r="G60" i="8" s="1"/>
  <c r="G61" i="8" s="1"/>
  <c r="G62" i="8" s="1"/>
  <c r="G63" i="8" s="1"/>
  <c r="G64" i="8" s="1"/>
  <c r="G65" i="8" s="1"/>
  <c r="G66" i="8" s="1"/>
  <c r="G67" i="8" s="1"/>
  <c r="G68" i="8" s="1"/>
  <c r="G69" i="8" s="1"/>
  <c r="G70" i="8" s="1"/>
  <c r="G71" i="8" s="1"/>
  <c r="G72" i="8" s="1"/>
  <c r="G73" i="8" s="1"/>
  <c r="G74" i="8" s="1"/>
  <c r="G75" i="8" s="1"/>
  <c r="G76" i="8" s="1"/>
  <c r="G77" i="8" s="1"/>
  <c r="D15" i="75" s="1"/>
  <c r="F52" i="8"/>
  <c r="F53" i="8" s="1"/>
  <c r="F54" i="8" s="1"/>
  <c r="F55" i="8" s="1"/>
  <c r="F56" i="8" s="1"/>
  <c r="F57" i="8" s="1"/>
  <c r="F58" i="8" s="1"/>
  <c r="F59" i="8" s="1"/>
  <c r="F60" i="8" s="1"/>
  <c r="F61" i="8" s="1"/>
  <c r="F62" i="8" s="1"/>
  <c r="F63" i="8" s="1"/>
  <c r="F64" i="8" s="1"/>
  <c r="F65" i="8" s="1"/>
  <c r="F66" i="8" s="1"/>
  <c r="F67" i="8" s="1"/>
  <c r="F68" i="8" s="1"/>
  <c r="F69" i="8" s="1"/>
  <c r="F70" i="8" s="1"/>
  <c r="F71" i="8" s="1"/>
  <c r="F72" i="8" s="1"/>
  <c r="F73" i="8" s="1"/>
  <c r="F74" i="8" s="1"/>
  <c r="F75" i="8" s="1"/>
  <c r="F76" i="8" s="1"/>
  <c r="F77" i="8" s="1"/>
  <c r="E52" i="8"/>
  <c r="E53" i="8" s="1"/>
  <c r="E54" i="8" s="1"/>
  <c r="E55" i="8" s="1"/>
  <c r="E56" i="8" s="1"/>
  <c r="E57" i="8" s="1"/>
  <c r="E58" i="8" s="1"/>
  <c r="E59" i="8" s="1"/>
  <c r="E60" i="8" s="1"/>
  <c r="E61" i="8" s="1"/>
  <c r="E62" i="8" s="1"/>
  <c r="E63" i="8" s="1"/>
  <c r="E64" i="8" s="1"/>
  <c r="E65" i="8" s="1"/>
  <c r="E66" i="8" s="1"/>
  <c r="E67" i="8" s="1"/>
  <c r="E68" i="8" s="1"/>
  <c r="E69" i="8" s="1"/>
  <c r="E70" i="8" s="1"/>
  <c r="E71" i="8" s="1"/>
  <c r="E72" i="8" s="1"/>
  <c r="E73" i="8" s="1"/>
  <c r="E74" i="8" s="1"/>
  <c r="E75" i="8" s="1"/>
  <c r="E76" i="8" s="1"/>
  <c r="E77" i="8" s="1"/>
  <c r="D52" i="8"/>
  <c r="D53" i="8" s="1"/>
  <c r="D54" i="8" s="1"/>
  <c r="D55" i="8" s="1"/>
  <c r="D56" i="8" s="1"/>
  <c r="D57" i="8" s="1"/>
  <c r="D58" i="8" s="1"/>
  <c r="D59" i="8" s="1"/>
  <c r="D60" i="8" s="1"/>
  <c r="D61" i="8" s="1"/>
  <c r="D62" i="8" s="1"/>
  <c r="D63" i="8" s="1"/>
  <c r="D64" i="8" s="1"/>
  <c r="D65" i="8" s="1"/>
  <c r="D66" i="8" s="1"/>
  <c r="D67" i="8" s="1"/>
  <c r="D68" i="8" s="1"/>
  <c r="D69" i="8" s="1"/>
  <c r="D70" i="8" s="1"/>
  <c r="D71" i="8" s="1"/>
  <c r="D72" i="8" s="1"/>
  <c r="D73" i="8" s="1"/>
  <c r="D74" i="8" s="1"/>
  <c r="D75" i="8" s="1"/>
  <c r="D76" i="8" s="1"/>
  <c r="D77" i="8" s="1"/>
  <c r="D14" i="75" s="1"/>
  <c r="C52" i="8"/>
  <c r="C53" i="8" s="1"/>
  <c r="C54" i="8" s="1"/>
  <c r="C55" i="8" s="1"/>
  <c r="C56" i="8" s="1"/>
  <c r="C57" i="8" s="1"/>
  <c r="C58" i="8" s="1"/>
  <c r="C59" i="8" s="1"/>
  <c r="C60" i="8" s="1"/>
  <c r="C61" i="8" s="1"/>
  <c r="C62" i="8" s="1"/>
  <c r="C63" i="8" s="1"/>
  <c r="C64" i="8" s="1"/>
  <c r="C65" i="8" s="1"/>
  <c r="C66" i="8" s="1"/>
  <c r="C67" i="8" s="1"/>
  <c r="C68" i="8" s="1"/>
  <c r="C69" i="8" s="1"/>
  <c r="C70" i="8" s="1"/>
  <c r="C71" i="8" s="1"/>
  <c r="C72" i="8" s="1"/>
  <c r="C73" i="8" s="1"/>
  <c r="C74" i="8" s="1"/>
  <c r="C75" i="8" s="1"/>
  <c r="C76" i="8" s="1"/>
  <c r="C77" i="8" s="1"/>
  <c r="Q51" i="8"/>
  <c r="Q52" i="8" s="1"/>
  <c r="Q53" i="8" s="1"/>
  <c r="Q54" i="8" s="1"/>
  <c r="Q55" i="8" s="1"/>
  <c r="Q56" i="8" s="1"/>
  <c r="Q57" i="8" s="1"/>
  <c r="Q58" i="8" s="1"/>
  <c r="Q59" i="8" s="1"/>
  <c r="Q60" i="8" s="1"/>
  <c r="Q61" i="8" s="1"/>
  <c r="Q62" i="8" s="1"/>
  <c r="Q63" i="8" s="1"/>
  <c r="Q64" i="8" s="1"/>
  <c r="Q65" i="8" s="1"/>
  <c r="Q66" i="8" s="1"/>
  <c r="Q67" i="8" s="1"/>
  <c r="Q68" i="8" s="1"/>
  <c r="Q69" i="8" s="1"/>
  <c r="Q70" i="8" s="1"/>
  <c r="Q71" i="8" s="1"/>
  <c r="Q72" i="8" s="1"/>
  <c r="Q73" i="8" s="1"/>
  <c r="Q74" i="8" s="1"/>
  <c r="Q75" i="8" s="1"/>
  <c r="Q76" i="8" s="1"/>
  <c r="Q77" i="8" s="1"/>
  <c r="M51" i="8"/>
  <c r="M52" i="8" s="1"/>
  <c r="M53" i="8" s="1"/>
  <c r="M54" i="8" s="1"/>
  <c r="M55" i="8" s="1"/>
  <c r="M56" i="8" s="1"/>
  <c r="M57" i="8" s="1"/>
  <c r="M58" i="8" s="1"/>
  <c r="M59" i="8" s="1"/>
  <c r="M60" i="8" s="1"/>
  <c r="M61" i="8" s="1"/>
  <c r="M62" i="8" s="1"/>
  <c r="M63" i="8" s="1"/>
  <c r="M64" i="8" s="1"/>
  <c r="M65" i="8" s="1"/>
  <c r="M66" i="8" s="1"/>
  <c r="M67" i="8" s="1"/>
  <c r="M68" i="8" s="1"/>
  <c r="M69" i="8" s="1"/>
  <c r="M70" i="8" s="1"/>
  <c r="M71" i="8" s="1"/>
  <c r="M72" i="8" s="1"/>
  <c r="M73" i="8" s="1"/>
  <c r="M74" i="8" s="1"/>
  <c r="M75" i="8" s="1"/>
  <c r="M76" i="8" s="1"/>
  <c r="M77" i="8" s="1"/>
  <c r="D20" i="8"/>
  <c r="D23" i="8" s="1"/>
  <c r="C20" i="8"/>
  <c r="C23" i="8" s="1"/>
  <c r="D15" i="8"/>
  <c r="C14" i="8"/>
  <c r="C13" i="8"/>
  <c r="C12" i="8"/>
  <c r="E8" i="8"/>
  <c r="E25" i="8" s="1"/>
  <c r="D8" i="8"/>
  <c r="C7" i="8"/>
  <c r="C6" i="8"/>
  <c r="C5" i="8"/>
  <c r="F21" i="75" l="1"/>
  <c r="D19" i="82"/>
  <c r="F20" i="75"/>
  <c r="D18" i="82"/>
  <c r="D18" i="75"/>
  <c r="D19" i="75"/>
  <c r="F17" i="75"/>
  <c r="G17" i="75" s="1"/>
  <c r="D15" i="82"/>
  <c r="F15" i="75"/>
  <c r="D13" i="82"/>
  <c r="D16" i="75"/>
  <c r="D12" i="82"/>
  <c r="F14" i="75"/>
  <c r="D25" i="8"/>
  <c r="C8" i="8"/>
  <c r="C15" i="8"/>
  <c r="O66" i="8"/>
  <c r="O67" i="8" s="1"/>
  <c r="O68" i="8" s="1"/>
  <c r="O69" i="8" s="1"/>
  <c r="O70" i="8" s="1"/>
  <c r="O71" i="8" s="1"/>
  <c r="O72" i="8" s="1"/>
  <c r="O73" i="8" s="1"/>
  <c r="O74" i="8" s="1"/>
  <c r="O75" i="8" s="1"/>
  <c r="O76" i="8" s="1"/>
  <c r="O77" i="8" s="1"/>
  <c r="K64" i="8"/>
  <c r="K65" i="8" s="1"/>
  <c r="K66" i="8" s="1"/>
  <c r="K67" i="8" s="1"/>
  <c r="K68" i="8" s="1"/>
  <c r="K69" i="8" s="1"/>
  <c r="K70" i="8" s="1"/>
  <c r="K71" i="8" s="1"/>
  <c r="K72" i="8" s="1"/>
  <c r="K73" i="8" s="1"/>
  <c r="K74" i="8" s="1"/>
  <c r="K75" i="8" s="1"/>
  <c r="K76" i="8" s="1"/>
  <c r="K77" i="8" s="1"/>
  <c r="D19" i="87" l="1"/>
  <c r="F19" i="87" s="1"/>
  <c r="F19" i="82"/>
  <c r="G19" i="82" s="1"/>
  <c r="F18" i="82"/>
  <c r="G18" i="82" s="1"/>
  <c r="D18" i="87"/>
  <c r="F18" i="87" s="1"/>
  <c r="F18" i="75"/>
  <c r="D16" i="82"/>
  <c r="F19" i="75"/>
  <c r="D17" i="82"/>
  <c r="D15" i="87"/>
  <c r="F15" i="87" s="1"/>
  <c r="F15" i="82"/>
  <c r="G15" i="82" s="1"/>
  <c r="D13" i="87"/>
  <c r="F13" i="87" s="1"/>
  <c r="F13" i="82"/>
  <c r="G13" i="82" s="1"/>
  <c r="F16" i="75"/>
  <c r="D14" i="82"/>
  <c r="F12" i="82"/>
  <c r="D12" i="87"/>
  <c r="F12" i="87" s="1"/>
  <c r="G12" i="87" s="1"/>
  <c r="D8" i="77"/>
  <c r="E8" i="77" s="1"/>
  <c r="G8" i="77" s="1"/>
  <c r="C25" i="8"/>
  <c r="F16" i="82" l="1"/>
  <c r="D16" i="87"/>
  <c r="F16" i="87" s="1"/>
  <c r="F17" i="82"/>
  <c r="G17" i="82" s="1"/>
  <c r="D17" i="87"/>
  <c r="F17" i="87" s="1"/>
  <c r="F14" i="82"/>
  <c r="G14" i="82" s="1"/>
  <c r="D14" i="87"/>
  <c r="F14" i="87" s="1"/>
  <c r="G12" i="82"/>
  <c r="F22" i="75"/>
  <c r="C22" i="9"/>
  <c r="F20" i="87" l="1"/>
  <c r="F31" i="87" s="1"/>
  <c r="D22" i="85" s="1"/>
  <c r="D25" i="85" s="1"/>
  <c r="C13" i="78" s="1"/>
  <c r="G16" i="82"/>
  <c r="G20" i="82" s="1"/>
  <c r="G31" i="82" s="1"/>
  <c r="F20" i="82"/>
  <c r="F31" i="82" s="1"/>
  <c r="H2" i="94"/>
  <c r="C68" i="91"/>
  <c r="C92" i="91" s="1"/>
  <c r="E68" i="91"/>
  <c r="C69" i="91"/>
  <c r="C70" i="91"/>
  <c r="E70" i="91" s="1"/>
  <c r="C71" i="91"/>
  <c r="C72" i="91"/>
  <c r="C96" i="91" s="1"/>
  <c r="E96" i="91" s="1"/>
  <c r="E72" i="91"/>
  <c r="C73" i="91"/>
  <c r="E73" i="91" s="1"/>
  <c r="C74" i="91"/>
  <c r="C98" i="91" s="1"/>
  <c r="E98" i="91" s="1"/>
  <c r="E74" i="91"/>
  <c r="C75" i="91"/>
  <c r="C99" i="91" s="1"/>
  <c r="C124" i="91" s="1"/>
  <c r="E124" i="91" s="1"/>
  <c r="E75" i="91"/>
  <c r="C76" i="91"/>
  <c r="E76" i="91" s="1"/>
  <c r="C77" i="91"/>
  <c r="C101" i="91" s="1"/>
  <c r="C126" i="91" s="1"/>
  <c r="E126" i="91" s="1"/>
  <c r="E77" i="91"/>
  <c r="C78" i="91"/>
  <c r="C79" i="91"/>
  <c r="E79" i="91" s="1"/>
  <c r="C80" i="91"/>
  <c r="C104" i="91" s="1"/>
  <c r="E80" i="91"/>
  <c r="C81" i="91"/>
  <c r="C105" i="91" s="1"/>
  <c r="C130" i="91" s="1"/>
  <c r="E130" i="91" s="1"/>
  <c r="E81" i="91"/>
  <c r="C82" i="91"/>
  <c r="E82" i="91" s="1"/>
  <c r="D22" i="81" l="1"/>
  <c r="D25" i="81" s="1"/>
  <c r="C11" i="78"/>
  <c r="C117" i="91"/>
  <c r="E117" i="91" s="1"/>
  <c r="E92" i="91"/>
  <c r="E69" i="91"/>
  <c r="C93" i="91"/>
  <c r="C95" i="91"/>
  <c r="E71" i="91"/>
  <c r="C102" i="91"/>
  <c r="E102" i="91" s="1"/>
  <c r="E78" i="91"/>
  <c r="C129" i="91"/>
  <c r="E129" i="91" s="1"/>
  <c r="E104" i="91"/>
  <c r="C106" i="91"/>
  <c r="C100" i="91"/>
  <c r="E99" i="91"/>
  <c r="C94" i="91"/>
  <c r="E94" i="91" s="1"/>
  <c r="C103" i="91"/>
  <c r="C128" i="91" s="1"/>
  <c r="E128" i="91" s="1"/>
  <c r="C121" i="91"/>
  <c r="E121" i="91" s="1"/>
  <c r="C97" i="91"/>
  <c r="C122" i="91" s="1"/>
  <c r="E122" i="91" s="1"/>
  <c r="C127" i="91"/>
  <c r="E127" i="91" s="1"/>
  <c r="C123" i="91"/>
  <c r="E123" i="91" s="1"/>
  <c r="E105" i="91"/>
  <c r="E101" i="91"/>
  <c r="E97" i="91"/>
  <c r="C67" i="91"/>
  <c r="E67" i="91" s="1"/>
  <c r="C118" i="91" l="1"/>
  <c r="E118" i="91" s="1"/>
  <c r="E93" i="91"/>
  <c r="C120" i="91"/>
  <c r="E120" i="91" s="1"/>
  <c r="E95" i="91"/>
  <c r="E106" i="91"/>
  <c r="C131" i="91"/>
  <c r="E131" i="91" s="1"/>
  <c r="E103" i="91"/>
  <c r="E100" i="91"/>
  <c r="C125" i="91"/>
  <c r="E125" i="91" s="1"/>
  <c r="C119" i="91"/>
  <c r="E119" i="91" s="1"/>
  <c r="C91" i="91"/>
  <c r="E91" i="91" l="1"/>
  <c r="C116" i="91"/>
  <c r="E116" i="91" s="1"/>
  <c r="D25" i="80"/>
  <c r="C10" i="78" s="1"/>
  <c r="C16" i="78" l="1"/>
  <c r="F17" i="95" s="1"/>
  <c r="D66" i="75" l="1"/>
  <c r="C26" i="73" l="1"/>
  <c r="C19" i="9"/>
  <c r="C20" i="9"/>
  <c r="C21" i="9" s="1"/>
  <c r="C23" i="9" s="1"/>
  <c r="C24" i="73"/>
  <c r="C25" i="73" s="1"/>
  <c r="C27" i="73" s="1"/>
  <c r="C29" i="73" s="1"/>
  <c r="D10" i="94" l="1"/>
  <c r="D13" i="94" s="1"/>
  <c r="E7" i="94" l="1"/>
  <c r="G7" i="94" s="1"/>
  <c r="G28" i="75"/>
  <c r="G37" i="75"/>
  <c r="G15" i="75"/>
  <c r="G45" i="75"/>
  <c r="G40" i="75"/>
  <c r="G30" i="75"/>
  <c r="G18" i="75"/>
  <c r="G42" i="75"/>
  <c r="G43" i="75"/>
  <c r="G36" i="75"/>
  <c r="G26" i="75"/>
  <c r="G21" i="75"/>
  <c r="G38" i="75"/>
  <c r="D23" i="85"/>
  <c r="F24" i="85" s="1"/>
  <c r="G3" i="85" s="1"/>
  <c r="G4" i="85" s="1"/>
  <c r="G24" i="85" s="1"/>
  <c r="G27" i="75"/>
  <c r="G20" i="75"/>
  <c r="G29" i="75"/>
  <c r="D21" i="88"/>
  <c r="D23" i="88" s="1"/>
  <c r="F24" i="88" s="1"/>
  <c r="G3" i="88" s="1"/>
  <c r="G4" i="88" s="1"/>
  <c r="G24" i="88" s="1"/>
  <c r="G44" i="75"/>
  <c r="G41" i="75"/>
  <c r="G25" i="75"/>
  <c r="D64" i="75"/>
  <c r="D21" i="81"/>
  <c r="D23" i="81" s="1"/>
  <c r="F24" i="81" s="1"/>
  <c r="G3" i="81" s="1"/>
  <c r="G4" i="81" s="1"/>
  <c r="G24" i="81" s="1"/>
  <c r="G34" i="75"/>
  <c r="D21" i="80"/>
  <c r="D23" i="80" s="1"/>
  <c r="F24" i="80" s="1"/>
  <c r="G3" i="80" s="1"/>
  <c r="G4" i="80" s="1"/>
  <c r="G24" i="80" s="1"/>
  <c r="G16" i="75"/>
  <c r="G39" i="75"/>
  <c r="G35" i="75"/>
  <c r="G19" i="75"/>
  <c r="G14" i="75"/>
  <c r="D7" i="77"/>
  <c r="E7" i="77"/>
  <c r="G46" i="75" l="1"/>
  <c r="G22" i="75"/>
  <c r="G31" i="75"/>
  <c r="E10" i="94"/>
  <c r="F7" i="94"/>
  <c r="E11" i="77"/>
  <c r="E14" i="77" s="1"/>
  <c r="C18" i="78"/>
  <c r="D9" i="77"/>
  <c r="E9" i="77" s="1"/>
  <c r="H8" i="77" s="1"/>
  <c r="D11" i="77"/>
  <c r="G19" i="87"/>
  <c r="G27" i="87"/>
  <c r="G25" i="87"/>
  <c r="G13" i="87"/>
  <c r="G26" i="87"/>
  <c r="G15" i="87"/>
  <c r="G14" i="87"/>
  <c r="G16" i="87"/>
  <c r="G24" i="87"/>
  <c r="G17" i="87"/>
  <c r="G18" i="87"/>
  <c r="G28" i="87"/>
  <c r="G23" i="87"/>
  <c r="G29" i="87" l="1"/>
  <c r="H11" i="77"/>
  <c r="D18" i="77" s="1"/>
  <c r="G20" i="87"/>
  <c r="E13" i="94"/>
  <c r="G12" i="94" s="1"/>
  <c r="G9" i="94"/>
  <c r="E13" i="77"/>
  <c r="F18" i="77"/>
  <c r="C66" i="91"/>
  <c r="D14" i="77"/>
  <c r="G31" i="87" l="1"/>
  <c r="G11" i="77"/>
  <c r="E66" i="91"/>
  <c r="C90" i="91"/>
  <c r="F27" i="77"/>
  <c r="F30" i="77" s="1"/>
  <c r="F31" i="77" s="1"/>
  <c r="F21" i="77"/>
  <c r="D21" i="77"/>
  <c r="D19" i="77"/>
  <c r="D27" i="77"/>
  <c r="D30" i="77" s="1"/>
  <c r="D31" i="77" s="1"/>
  <c r="D13" i="77"/>
  <c r="D16" i="77"/>
  <c r="E16" i="77" s="1"/>
  <c r="H15" i="77" s="1"/>
  <c r="H13" i="77"/>
  <c r="C65" i="91"/>
  <c r="E18" i="77"/>
  <c r="H18" i="77" s="1"/>
  <c r="E21" i="77" l="1"/>
  <c r="E27" i="77"/>
  <c r="E30" i="77" s="1"/>
  <c r="E31" i="77" s="1"/>
  <c r="E19" i="77"/>
  <c r="F19" i="77" s="1"/>
  <c r="H19" i="77" s="1"/>
  <c r="D15" i="77"/>
  <c r="E15" i="77" s="1"/>
  <c r="G15" i="77" s="1"/>
  <c r="G13" i="77"/>
  <c r="D22" i="77"/>
  <c r="D13" i="84" s="1"/>
  <c r="E13" i="84" s="1"/>
  <c r="F13" i="84" s="1"/>
  <c r="C13" i="84"/>
  <c r="C115" i="91"/>
  <c r="E115" i="91" s="1"/>
  <c r="E90" i="91"/>
  <c r="E65" i="91"/>
  <c r="E83" i="91" s="1"/>
  <c r="E85" i="91" s="1"/>
  <c r="C83" i="91"/>
  <c r="C89" i="91"/>
  <c r="C15" i="84"/>
  <c r="E89" i="91" l="1"/>
  <c r="E108" i="91" s="1"/>
  <c r="E110" i="91" s="1"/>
  <c r="C108" i="91"/>
  <c r="C114" i="91"/>
  <c r="E22" i="77"/>
  <c r="C14" i="84"/>
  <c r="C16" i="84" s="1"/>
  <c r="D14" i="84" l="1"/>
  <c r="E14" i="84" s="1"/>
  <c r="F14" i="84" s="1"/>
  <c r="F22" i="77"/>
  <c r="D15" i="84" s="1"/>
  <c r="E15" i="84" s="1"/>
  <c r="F15" i="84" s="1"/>
  <c r="C133" i="91"/>
  <c r="E114" i="91"/>
  <c r="E133" i="91" s="1"/>
  <c r="E135" i="91" s="1"/>
  <c r="F16" i="84" l="1"/>
  <c r="D22" i="83" s="1"/>
  <c r="D23" i="83" s="1"/>
  <c r="F24" i="83" s="1"/>
  <c r="G3" i="83" s="1"/>
  <c r="G4" i="83" s="1"/>
  <c r="G24" i="83" s="1"/>
  <c r="D25" i="83" l="1"/>
  <c r="C12" i="78" s="1"/>
  <c r="C15" i="78" s="1"/>
  <c r="C17" i="78" s="1"/>
  <c r="C19" i="78" s="1"/>
  <c r="B59" i="75" s="1"/>
  <c r="F52" i="75" l="1"/>
  <c r="G52" i="75" s="1"/>
  <c r="F54" i="75"/>
  <c r="G54" i="75" s="1"/>
  <c r="F55" i="75"/>
  <c r="G55" i="75" s="1"/>
  <c r="F51" i="75"/>
  <c r="G51" i="75"/>
  <c r="F53" i="75"/>
  <c r="G53" i="75" s="1"/>
  <c r="F50" i="75"/>
  <c r="G50" i="75" s="1"/>
  <c r="F49" i="75"/>
  <c r="G49" i="75" s="1"/>
  <c r="G56" i="75" l="1"/>
  <c r="B58" i="75" s="1"/>
  <c r="B61" i="75" s="1"/>
  <c r="B62" i="75" s="1"/>
  <c r="D65" i="75" s="1"/>
  <c r="D67" i="75" s="1"/>
  <c r="F56" i="75"/>
</calcChain>
</file>

<file path=xl/sharedStrings.xml><?xml version="1.0" encoding="utf-8"?>
<sst xmlns="http://schemas.openxmlformats.org/spreadsheetml/2006/main" count="1637" uniqueCount="852">
  <si>
    <t>Aprobado por:</t>
  </si>
  <si>
    <t>Secretario de Obras Públicas</t>
  </si>
  <si>
    <t>Fecha:</t>
  </si>
  <si>
    <t xml:space="preserve"> </t>
  </si>
  <si>
    <t>Elaborado por:</t>
  </si>
  <si>
    <t>1.1</t>
  </si>
  <si>
    <t>MUNICIPIO DE ENVIGADO</t>
  </si>
  <si>
    <t>SECRETARIA DE OBRAS PUBLICAS</t>
  </si>
  <si>
    <t>SUELDO</t>
  </si>
  <si>
    <t>PRESTACIONES</t>
  </si>
  <si>
    <t>COMISION DE TOPOGRAFIA</t>
  </si>
  <si>
    <t>ENCARGADO DE OBRA</t>
  </si>
  <si>
    <t>SECRETARIA</t>
  </si>
  <si>
    <t>VALOR</t>
  </si>
  <si>
    <t>PRESTACIONES, SEGURIDAD SOCIAL Y PARAFISCALES</t>
  </si>
  <si>
    <t>SEGURIDAD SOCIAL</t>
  </si>
  <si>
    <t>% TOTAL</t>
  </si>
  <si>
    <t>% EMPLEADOR</t>
  </si>
  <si>
    <t>% EMPLEADO</t>
  </si>
  <si>
    <t>SALUD</t>
  </si>
  <si>
    <t>PENSIONES</t>
  </si>
  <si>
    <t>RIESGOS</t>
  </si>
  <si>
    <t>TOTAL</t>
  </si>
  <si>
    <t>PARAFISCALES</t>
  </si>
  <si>
    <t>SENA</t>
  </si>
  <si>
    <t>ICBF</t>
  </si>
  <si>
    <t>CAJA DE COMPENSACION</t>
  </si>
  <si>
    <t>PRESTACIONES SOCIALES</t>
  </si>
  <si>
    <t>CESANTIAS</t>
  </si>
  <si>
    <t>INTERESES CESANTIAS</t>
  </si>
  <si>
    <t>VACACIONES</t>
  </si>
  <si>
    <t>PRIMA</t>
  </si>
  <si>
    <t>ACUMULADO SEGURIDAD SOCIAL + PRESTACIONES SOCIALES</t>
  </si>
  <si>
    <t>Aux Ttte</t>
  </si>
  <si>
    <t>(SALARIO + AUX/MES) X DIAS LABORADOS</t>
  </si>
  <si>
    <t>X Minimo</t>
  </si>
  <si>
    <t>12% X CESANTIAS</t>
  </si>
  <si>
    <t>1/2 SALARIO X DIAS LABORADOS</t>
  </si>
  <si>
    <t>(1/2 SALARIO + AUX) X DIAS LABORADOS</t>
  </si>
  <si>
    <t>SALARIO MINIMO</t>
  </si>
  <si>
    <t>AUXILIO TRANSPORTE</t>
  </si>
  <si>
    <t>TABLA DE SUELDOS MINISTERIO DE TRANPORTE RESOLUCION 747 DEL 9 DE MARZO DE 1998</t>
  </si>
  <si>
    <t>AÑO</t>
  </si>
  <si>
    <t>VARIACION
IPC DANE</t>
  </si>
  <si>
    <t>DIRECTOR
CATEGORIA 1</t>
  </si>
  <si>
    <t>DIRECTOR
CATEGORIA 2</t>
  </si>
  <si>
    <t>RESIDENTE
CATEGORIA 3</t>
  </si>
  <si>
    <t>RESIDENTE
CATEGORIA 4</t>
  </si>
  <si>
    <t>RESIDENTE
CATEGORIA 5</t>
  </si>
  <si>
    <t>RESIDENTE
CATEGORIA 6</t>
  </si>
  <si>
    <t>RESIDENTE
CATEGORIA 7</t>
  </si>
  <si>
    <t>RESIDENTE
CATEGORIA 8</t>
  </si>
  <si>
    <t>TECNOLOGO AREA DE INGENIERIA</t>
  </si>
  <si>
    <t>AUXILIAR DE INGENIERIA</t>
  </si>
  <si>
    <t>ALMCENISTA</t>
  </si>
  <si>
    <t>VEHICULO</t>
  </si>
  <si>
    <t>EXPERIENCIA GENERAL (AÑOS)</t>
  </si>
  <si>
    <t>&lt; 2</t>
  </si>
  <si>
    <t>EXPERIENCIA ESPECIFICA (AÑOS)</t>
  </si>
  <si>
    <t>SUB TOTAL COSTO DIRECTO</t>
  </si>
  <si>
    <t>PORCENTAJE DE ARU</t>
  </si>
  <si>
    <t>VALOR COSTOS INDIRECTOS</t>
  </si>
  <si>
    <t>VALOR TOTAL DEL PROYECTO</t>
  </si>
  <si>
    <t>RESUMEN DEL VALOR DEL PROYECTO</t>
  </si>
  <si>
    <t>DESCRIPCIÓN</t>
  </si>
  <si>
    <t>CANTIDAD</t>
  </si>
  <si>
    <t>Valor Total</t>
  </si>
  <si>
    <t>UNIDAD</t>
  </si>
  <si>
    <t>VALOR UNITARIO</t>
  </si>
  <si>
    <t>RIESGOS ASUMIDOS ENTIDAD CONTRATANTE</t>
  </si>
  <si>
    <t>OBJETO</t>
  </si>
  <si>
    <t>SERGIO ALBERTO RIOS OSPINA</t>
  </si>
  <si>
    <t>ITEM</t>
  </si>
  <si>
    <t>SUBTOTAL OBRA CIVIL</t>
  </si>
  <si>
    <t>ml</t>
  </si>
  <si>
    <t>m3</t>
  </si>
  <si>
    <t>M2</t>
  </si>
  <si>
    <t>M3</t>
  </si>
  <si>
    <t>CONSTRUCCIÓN DE VIVIENDAS NUEVAS EN LOS LOTES REMANENTES DE LA DIAGONAL 29 DEL MUNICIPIO DE ENVIGADO</t>
  </si>
  <si>
    <t>tipologia</t>
  </si>
  <si>
    <t>Ancho</t>
  </si>
  <si>
    <t>Espesor</t>
  </si>
  <si>
    <t>Largo</t>
  </si>
  <si>
    <t>M1</t>
  </si>
  <si>
    <t>ubicación</t>
  </si>
  <si>
    <t>Zapata</t>
  </si>
  <si>
    <t>Vastago</t>
  </si>
  <si>
    <t>total</t>
  </si>
  <si>
    <t>subtotal</t>
  </si>
  <si>
    <t>M4</t>
  </si>
  <si>
    <t>M5 a M8</t>
  </si>
  <si>
    <t>concretos muros accesos AB</t>
  </si>
  <si>
    <t>ACERO EN KG</t>
  </si>
  <si>
    <t>BOX COULVERT 2X2</t>
  </si>
  <si>
    <t>CONCRETO</t>
  </si>
  <si>
    <t>ACERO</t>
  </si>
  <si>
    <t>concretos muros accesos CD</t>
  </si>
  <si>
    <t>ACERO KG</t>
  </si>
  <si>
    <t>MICROPILOTES AREQUIPA</t>
  </si>
  <si>
    <t>MICROPILOTES SENCILLO</t>
  </si>
  <si>
    <t>acero</t>
  </si>
  <si>
    <t>estribos</t>
  </si>
  <si>
    <t>total acero micropilotes</t>
  </si>
  <si>
    <t>Muro acercamiento puente</t>
  </si>
  <si>
    <t>ajuste 10%</t>
  </si>
  <si>
    <t>Geodrenplanar</t>
  </si>
  <si>
    <t>tuberia 4¨ perforada</t>
  </si>
  <si>
    <t>solado</t>
  </si>
  <si>
    <t>solado m3</t>
  </si>
  <si>
    <t>Lleno para estructuras</t>
  </si>
  <si>
    <t>precio concreto</t>
  </si>
  <si>
    <t>excavacion sin clasificar de la explanacion , canales y prestamos</t>
  </si>
  <si>
    <t>Terraplen</t>
  </si>
  <si>
    <t>sub base</t>
  </si>
  <si>
    <t>base</t>
  </si>
  <si>
    <t>conformacion</t>
  </si>
  <si>
    <t>defensa metalica incluye seccion de tope, seccion final y captafaros</t>
  </si>
  <si>
    <t>cunetas fundidas en el sitio</t>
  </si>
  <si>
    <t xml:space="preserve">CONCRETO PREMEZCLADO </t>
  </si>
  <si>
    <t>HIERRO</t>
  </si>
  <si>
    <t>INST. ELECTRICA Y TELEFONICA</t>
  </si>
  <si>
    <t>CÓDIGO</t>
  </si>
  <si>
    <t>MT</t>
  </si>
  <si>
    <t>HI</t>
  </si>
  <si>
    <t>PIS</t>
  </si>
  <si>
    <t>EQ</t>
  </si>
  <si>
    <t>IHS</t>
  </si>
  <si>
    <t>IET</t>
  </si>
  <si>
    <t xml:space="preserve">VARIACIONES DE INDICES DE CAMACOL </t>
  </si>
  <si>
    <t xml:space="preserve">CONCEPTO </t>
  </si>
  <si>
    <t xml:space="preserve">CODIGO </t>
  </si>
  <si>
    <t>VARIACIÓN ANUAL 2005</t>
  </si>
  <si>
    <t>VARIACIÓN ANUAL 2006</t>
  </si>
  <si>
    <t xml:space="preserve">VARIACIÓN ANUAL 2007 </t>
  </si>
  <si>
    <t>VARIACIÓN ANUAL 2008</t>
  </si>
  <si>
    <t>VARIACIÓN ANUAL 2009</t>
  </si>
  <si>
    <t>VARIACIÓN ANUAL 2010</t>
  </si>
  <si>
    <t>VARIACIÓN ANUAL 2011</t>
  </si>
  <si>
    <t>VARIACIÓN ANUAL 2012</t>
  </si>
  <si>
    <t>VARIACIÓN ANUAL 2013</t>
  </si>
  <si>
    <t>VARIACIÓN ANUAL 2014</t>
  </si>
  <si>
    <t>VARIACIÓN ANUAL 2015</t>
  </si>
  <si>
    <t>VARIACIÓN ANUAL 2016</t>
  </si>
  <si>
    <t>VARIACIÓN ANUAL 2017</t>
  </si>
  <si>
    <t xml:space="preserve">TOTAL MANO DE OBRA </t>
  </si>
  <si>
    <t>TMO</t>
  </si>
  <si>
    <t>9.89</t>
  </si>
  <si>
    <t xml:space="preserve">CEMENTO </t>
  </si>
  <si>
    <t>CE</t>
  </si>
  <si>
    <t xml:space="preserve">CO </t>
  </si>
  <si>
    <t>PREFABRICADOS</t>
  </si>
  <si>
    <t>PR</t>
  </si>
  <si>
    <t xml:space="preserve">AGREGADOS MINERALES </t>
  </si>
  <si>
    <t>AM</t>
  </si>
  <si>
    <t>MADERA PARA CONSTRUCCIÓN</t>
  </si>
  <si>
    <t>MA</t>
  </si>
  <si>
    <t xml:space="preserve">MATERIALES PARA MAMPOSTERIA </t>
  </si>
  <si>
    <t>MM</t>
  </si>
  <si>
    <t>MAT.INST.HIDRAULICA SANITARIA</t>
  </si>
  <si>
    <t>MATERIALES PARA CUBIERTA</t>
  </si>
  <si>
    <t>MC</t>
  </si>
  <si>
    <t xml:space="preserve">TOTAL MATERIALES OBRA 
NEGRA </t>
  </si>
  <si>
    <t>TMON</t>
  </si>
  <si>
    <t xml:space="preserve">PISOS </t>
  </si>
  <si>
    <t>CARPINTERIA DE MADERA</t>
  </si>
  <si>
    <t>CMA</t>
  </si>
  <si>
    <t>CARPINTERIA METALICA</t>
  </si>
  <si>
    <t xml:space="preserve">CM </t>
  </si>
  <si>
    <t xml:space="preserve">APARATOS SANITARIOS </t>
  </si>
  <si>
    <t>AS</t>
  </si>
  <si>
    <t>PINTURAS</t>
  </si>
  <si>
    <t xml:space="preserve">PI </t>
  </si>
  <si>
    <t xml:space="preserve">INSTALACIONES ESPECIALES </t>
  </si>
  <si>
    <t xml:space="preserve">IE </t>
  </si>
  <si>
    <t xml:space="preserve">ENCHAPES </t>
  </si>
  <si>
    <t>EN</t>
  </si>
  <si>
    <t xml:space="preserve">TOTAL MATERIALES ACABADOS </t>
  </si>
  <si>
    <t>TMA</t>
  </si>
  <si>
    <t xml:space="preserve">HERRAMIENTAS </t>
  </si>
  <si>
    <t>HE</t>
  </si>
  <si>
    <t xml:space="preserve">EQUIPO </t>
  </si>
  <si>
    <t>TOTAL HERRAMIENTAS Y EQUIPO</t>
  </si>
  <si>
    <t>THE</t>
  </si>
  <si>
    <t xml:space="preserve">TOTAL MATERIALES </t>
  </si>
  <si>
    <t>TM</t>
  </si>
  <si>
    <t xml:space="preserve">COSTO TOTAL DE EDIFICACIÒN </t>
  </si>
  <si>
    <t>CTE</t>
  </si>
  <si>
    <t xml:space="preserve">ACCESORIOS DE BRONCE </t>
  </si>
  <si>
    <t>ACC.BR</t>
  </si>
  <si>
    <t xml:space="preserve">ACCESORIOS DE HIERRO FUNDIDO </t>
  </si>
  <si>
    <t>ACC.HF</t>
  </si>
  <si>
    <t>AFIRMADOS-BASE GRANULAR (*)</t>
  </si>
  <si>
    <t>AF</t>
  </si>
  <si>
    <t>AISLADORES</t>
  </si>
  <si>
    <t>AIS</t>
  </si>
  <si>
    <t>ALAMBRE (COBRE Y ALUMINIO)</t>
  </si>
  <si>
    <t>ALM</t>
  </si>
  <si>
    <t>ALAMBRE DE COBRE</t>
  </si>
  <si>
    <t>ACU</t>
  </si>
  <si>
    <t xml:space="preserve">ALAMBRES DE ALUMINIO </t>
  </si>
  <si>
    <t>AL.AL</t>
  </si>
  <si>
    <t>ALCANTARILLADOS (*)</t>
  </si>
  <si>
    <t>AL</t>
  </si>
  <si>
    <t xml:space="preserve">ALUMBRADO PÚBLICO </t>
  </si>
  <si>
    <t>ALP</t>
  </si>
  <si>
    <t>ANDENES, CUNETAS Y CORDONES (*)</t>
  </si>
  <si>
    <t>ACC</t>
  </si>
  <si>
    <t>ASA</t>
  </si>
  <si>
    <t xml:space="preserve">ASFALTO DE PENETRACIÓN </t>
  </si>
  <si>
    <t>ASP</t>
  </si>
  <si>
    <t xml:space="preserve">BLOQUE DE CONCRETO PARA MAMPOSTERIA </t>
  </si>
  <si>
    <t>BLC</t>
  </si>
  <si>
    <t xml:space="preserve">CABLE DE ALUMINIO DESNUDO </t>
  </si>
  <si>
    <t>CAD</t>
  </si>
  <si>
    <t xml:space="preserve">CABLE DE ALUMINIO FORRADO </t>
  </si>
  <si>
    <t>CAF</t>
  </si>
  <si>
    <t xml:space="preserve">CONCRETO DE 2,000 P.S.I PREMEZCLADO </t>
  </si>
  <si>
    <t>C20</t>
  </si>
  <si>
    <t xml:space="preserve">CONCRETO DE 2,500 P.S.I PREMEZCLADO </t>
  </si>
  <si>
    <t>C25</t>
  </si>
  <si>
    <t xml:space="preserve">CONCRETO DE 3,000 P.S.I PREMEZCLADO </t>
  </si>
  <si>
    <t>C30</t>
  </si>
  <si>
    <t xml:space="preserve">CONCRETO DE 3,500 P.S.I PREMEZCLADO </t>
  </si>
  <si>
    <t>C35</t>
  </si>
  <si>
    <t xml:space="preserve">CONCRETO DE 4,000 P.S.I PREMEZCLADO </t>
  </si>
  <si>
    <t>C40</t>
  </si>
  <si>
    <t>C45</t>
  </si>
  <si>
    <t xml:space="preserve">CONCRETO DE 5,000 P.S.I PREMEZCLADO </t>
  </si>
  <si>
    <t>C50</t>
  </si>
  <si>
    <t>CONDUCTORES DE COBRE</t>
  </si>
  <si>
    <t>CC</t>
  </si>
  <si>
    <t xml:space="preserve">ELEMENTOS METALICOS </t>
  </si>
  <si>
    <t>E.M.</t>
  </si>
  <si>
    <t xml:space="preserve">EQUIPO BASICO </t>
  </si>
  <si>
    <t>EB</t>
  </si>
  <si>
    <t>EQUIPO DE OBRAS PUBLICAS</t>
  </si>
  <si>
    <t>EQO</t>
  </si>
  <si>
    <t>EQUIPO PARA EDIFICACION</t>
  </si>
  <si>
    <t>EQE</t>
  </si>
  <si>
    <t>EQUIPO PARA EXCAVACION EN ROCA</t>
  </si>
  <si>
    <t>EER</t>
  </si>
  <si>
    <t>EQUIPO PARA EXCAVACION REDES</t>
  </si>
  <si>
    <t>EEXR</t>
  </si>
  <si>
    <t xml:space="preserve">EQUIPO PARA IMPRIMACION Y PAVIMENTO ASFALTICO </t>
  </si>
  <si>
    <t>EIPA</t>
  </si>
  <si>
    <t>EQUIPO PARA MOVIMIENTO DE TIERRA</t>
  </si>
  <si>
    <t>EMT</t>
  </si>
  <si>
    <t xml:space="preserve">EQUIPO PARA PAVIMENTO EN CONCRETO </t>
  </si>
  <si>
    <t>EPC</t>
  </si>
  <si>
    <t>EQUIPO PARA PAVIMENTOS NO CONVENCIONALES</t>
  </si>
  <si>
    <t>EPNC</t>
  </si>
  <si>
    <t>EQUIPO PARA SUBBASE Y BASE</t>
  </si>
  <si>
    <t>ESB</t>
  </si>
  <si>
    <t xml:space="preserve">GABINETE ELECTRICO-SUBESTACION </t>
  </si>
  <si>
    <t>GES</t>
  </si>
  <si>
    <t xml:space="preserve">GAS-CENTROS DE MEDICION </t>
  </si>
  <si>
    <t>GCM</t>
  </si>
  <si>
    <t>GAS-LATONERIA DE GAS</t>
  </si>
  <si>
    <t>GLG</t>
  </si>
  <si>
    <t>GAS- RED EXTERIOR (URBANIZACIONES) ACERO</t>
  </si>
  <si>
    <t>GRECA</t>
  </si>
  <si>
    <t>GAS- RED EXTERIOR (URBANIZACIONES) COBRE</t>
  </si>
  <si>
    <t>GREGC</t>
  </si>
  <si>
    <t xml:space="preserve">GAS- RED EXTERNA POLIETILENO </t>
  </si>
  <si>
    <t>REX</t>
  </si>
  <si>
    <t xml:space="preserve">GAS- RED INTERNA ACERO </t>
  </si>
  <si>
    <t>GRIAC</t>
  </si>
  <si>
    <t>GAS- RED INTERNA COBRE</t>
  </si>
  <si>
    <t>GRICU</t>
  </si>
  <si>
    <t xml:space="preserve">LADRILLO </t>
  </si>
  <si>
    <t>LD</t>
  </si>
  <si>
    <t>LLANTAS PARA EL TRANSPORTE DE CARGA</t>
  </si>
  <si>
    <t>LL</t>
  </si>
  <si>
    <t>LUBRICANTES Y COMBUSTIBLES</t>
  </si>
  <si>
    <t>LC</t>
  </si>
  <si>
    <t>MANO DE OBRA ELECTRICA</t>
  </si>
  <si>
    <t>MOBE</t>
  </si>
  <si>
    <t>MANO DE OBRA PARA OBRAS PUBLICAS</t>
  </si>
  <si>
    <t>MOOP</t>
  </si>
  <si>
    <t>MANO DE OBRA SUBCONTRATADA EDIF.</t>
  </si>
  <si>
    <t>MOSE</t>
  </si>
  <si>
    <t>MATERIALES GALVANIZADOS</t>
  </si>
  <si>
    <t>M.G.</t>
  </si>
  <si>
    <t>MEZCLA ASFALTICA</t>
  </si>
  <si>
    <t>MAS</t>
  </si>
  <si>
    <t>MOVIMIENTOS DE ROCA (*)</t>
  </si>
  <si>
    <t>MR</t>
  </si>
  <si>
    <t>MOVIMIENTO DE TIERRA (*)</t>
  </si>
  <si>
    <t>PAVIMENTO ASFALTICO (CORRIDO) (*)</t>
  </si>
  <si>
    <t>PA</t>
  </si>
  <si>
    <t xml:space="preserve">PAVIMENTO ASFALTICO (PARCHEO) (*) </t>
  </si>
  <si>
    <t>PAP</t>
  </si>
  <si>
    <t>PAVIMENTOS DE CONCRETO (*)</t>
  </si>
  <si>
    <t>PC</t>
  </si>
  <si>
    <t xml:space="preserve">POSTERIA DE CONCRETO </t>
  </si>
  <si>
    <t>PT.C</t>
  </si>
  <si>
    <t>POSTERIA DE MADERA</t>
  </si>
  <si>
    <t>PT.MA</t>
  </si>
  <si>
    <t xml:space="preserve">POSTES METALICOS PARA ALUMBRADO PUBLICO </t>
  </si>
  <si>
    <t>PT.ME</t>
  </si>
  <si>
    <t xml:space="preserve">PROTECCIONES PRIMARIAS </t>
  </si>
  <si>
    <t>PPR</t>
  </si>
  <si>
    <t>SALIDA ELECTRICA</t>
  </si>
  <si>
    <t>SA</t>
  </si>
  <si>
    <t>SUB-BASE (*)</t>
  </si>
  <si>
    <t>SB</t>
  </si>
  <si>
    <t>TEJA DE ARCILLA</t>
  </si>
  <si>
    <t>TA</t>
  </si>
  <si>
    <t xml:space="preserve">TEJA DE ASBESTO CEMENTO </t>
  </si>
  <si>
    <t>TAC</t>
  </si>
  <si>
    <t>TRANSFORMADOR</t>
  </si>
  <si>
    <t>TR</t>
  </si>
  <si>
    <t>TRANSPORTE (*)</t>
  </si>
  <si>
    <t>TRA</t>
  </si>
  <si>
    <t xml:space="preserve">TUBERIA DE ACERO </t>
  </si>
  <si>
    <t>T.ACE</t>
  </si>
  <si>
    <t>TUBERIA DE COBRE</t>
  </si>
  <si>
    <t>T.CU</t>
  </si>
  <si>
    <t xml:space="preserve">TUBERIA DE CONCRETO </t>
  </si>
  <si>
    <t>TC</t>
  </si>
  <si>
    <t>TUBERIA DE CONCRETO REFORZADA</t>
  </si>
  <si>
    <t>TCR</t>
  </si>
  <si>
    <t xml:space="preserve">TUBERIA DE CONCRETO SIMPLE </t>
  </si>
  <si>
    <t>TCS</t>
  </si>
  <si>
    <t>TUBERIA DE PRESION Y ACCESORIOS PVC</t>
  </si>
  <si>
    <t>PVCP</t>
  </si>
  <si>
    <t>TUBERIA PF+ AUD</t>
  </si>
  <si>
    <t>PF+AUD</t>
  </si>
  <si>
    <t xml:space="preserve">TUBERIA POLIESTER REFORZADA FIBRA DE VIDRIO </t>
  </si>
  <si>
    <t>TGRP</t>
  </si>
  <si>
    <t>TUBERIA PVC (DUCTO TELEFONICO)</t>
  </si>
  <si>
    <t>PVCT</t>
  </si>
  <si>
    <t>TUBERIA PVC CORRUGADA</t>
  </si>
  <si>
    <t>PVCC</t>
  </si>
  <si>
    <t>TUBERIA SANITARIA Y ACCESORIOS PVC</t>
  </si>
  <si>
    <t>PVCS</t>
  </si>
  <si>
    <t>TUBERIA Y ACCESORIOS GALVANIZADOS</t>
  </si>
  <si>
    <t>T.G.</t>
  </si>
  <si>
    <t xml:space="preserve">VIDRIO </t>
  </si>
  <si>
    <t>VI</t>
  </si>
  <si>
    <t xml:space="preserve">INDICES DE ADITIVOS </t>
  </si>
  <si>
    <t xml:space="preserve">CEMENTICIOS </t>
  </si>
  <si>
    <t>CEM</t>
  </si>
  <si>
    <t>CEMENTOS MODIFICADOS</t>
  </si>
  <si>
    <t>CEMO</t>
  </si>
  <si>
    <t>EPÓXICOS (ADHERENTES)</t>
  </si>
  <si>
    <t>EPX</t>
  </si>
  <si>
    <t xml:space="preserve">MATERIALES COMPUESTOS </t>
  </si>
  <si>
    <t>MCO</t>
  </si>
  <si>
    <t>Und</t>
  </si>
  <si>
    <t>INTERVENTORIA (10%)</t>
  </si>
  <si>
    <t>CRONOGRAMA DE EJECUCIÓN DE OBRA</t>
  </si>
  <si>
    <t>PORCENTAJE A.R.U.</t>
  </si>
  <si>
    <t>P</t>
  </si>
  <si>
    <t>TOTALES PARCIALES
(BRUTO)</t>
  </si>
  <si>
    <t>TOTALES ACUMULADOS
(BRUTOS)</t>
  </si>
  <si>
    <t>CALCULO DEL ARU</t>
  </si>
  <si>
    <t>OBJETO:</t>
  </si>
  <si>
    <t>RESUMEN: Calculo del porcentaje de Administración, Riesgos y Utilidad (A.R.U)</t>
  </si>
  <si>
    <t>TOTAL COSTO DIRECTO</t>
  </si>
  <si>
    <t>PLAZO DEL CONTRATO EN MESES</t>
  </si>
  <si>
    <t>1. PERSONAL ADMINISTRATIVO DE OBRA</t>
  </si>
  <si>
    <t>CANT.</t>
  </si>
  <si>
    <t>MESES</t>
  </si>
  <si>
    <t>V/R TOTAL</t>
  </si>
  <si>
    <t>%</t>
  </si>
  <si>
    <t xml:space="preserve">DIRECTOR DE OBRA </t>
  </si>
  <si>
    <t>PROFESIONAL AMBIENTAL</t>
  </si>
  <si>
    <t>ALMACENISTA</t>
  </si>
  <si>
    <t>TOTAL PERSONAL ADMINISTRATIVO DE OBRA</t>
  </si>
  <si>
    <t>2. GASTOS ADMINISTRATIVOS DE OFICINA</t>
  </si>
  <si>
    <t>GERENCIA</t>
  </si>
  <si>
    <t xml:space="preserve">CONTADORA </t>
  </si>
  <si>
    <t>MENSAJERO</t>
  </si>
  <si>
    <t>ALQUILER OFICINA</t>
  </si>
  <si>
    <t>SERVICIOS PÚBLICOS</t>
  </si>
  <si>
    <t>TOTAL GASTOS ADMINISTRATIVOS DE OFICINA</t>
  </si>
  <si>
    <t>3. GASTOS ADMINISTRATIVOS</t>
  </si>
  <si>
    <t>SERVICIOS PUBLICOS</t>
  </si>
  <si>
    <t xml:space="preserve">GASTOS DE OFICINA, PAPELERIA </t>
  </si>
  <si>
    <t>MUEBLES Y EQUIPOS DE OFICINA</t>
  </si>
  <si>
    <t>COMUNICACIÓN</t>
  </si>
  <si>
    <t>PLANOS RECORD</t>
  </si>
  <si>
    <t>ENSAYOS DE LABORATORIO</t>
  </si>
  <si>
    <t>ELABORACION DE MANUAL DE OPERACION Y MANTENIMIENTO</t>
  </si>
  <si>
    <t>TOTAL GASTOS ADMINISTRATIVOS</t>
  </si>
  <si>
    <t>4. GASTOS LEGALES</t>
  </si>
  <si>
    <t>A PAGAR</t>
  </si>
  <si>
    <t>TOTAL GASTOS LEGALES</t>
  </si>
  <si>
    <t>PORCENTAJE TOTAL DE ADMINISTRACIÓN</t>
  </si>
  <si>
    <t>PORCENTAJE DE RIESGOS PREVISIBLES</t>
  </si>
  <si>
    <t>PORCENTAJE DE UTILIDAD</t>
  </si>
  <si>
    <t>A.R.U. DE LA PROPUESTA BASICO</t>
  </si>
  <si>
    <t>TOTAL COSTO INDIRECTO</t>
  </si>
  <si>
    <t>RIESGOS ASUMIDOS POR LA ENTIDAD CONTRATANTE</t>
  </si>
  <si>
    <t>COSTO TOTAL</t>
  </si>
  <si>
    <t>Observaciones:</t>
  </si>
  <si>
    <t>FLUJO DE INVERSIÓN Y VIABILIDAD ECONOMICA</t>
  </si>
  <si>
    <t>CONCEPTO</t>
  </si>
  <si>
    <t>MES 1</t>
  </si>
  <si>
    <t>MES 2</t>
  </si>
  <si>
    <t>MES 3</t>
  </si>
  <si>
    <t>AMORTIZACIÓN ANTICIPO:</t>
  </si>
  <si>
    <t>TOTAL PARCIAL (NETO):</t>
  </si>
  <si>
    <t>TOTAL ACUMULADO (NETO):</t>
  </si>
  <si>
    <t>FLUJO DE PAGOS PARCIAL</t>
  </si>
  <si>
    <t>FLUJO DE PAGOS ACUMULADO</t>
  </si>
  <si>
    <t>FLUJO DE CAJA  PARCIAL</t>
  </si>
  <si>
    <t>FLUJO DE CAJA  ACUMULADO</t>
  </si>
  <si>
    <t>PLAN ANUAL DE CAJA (PAC)</t>
  </si>
  <si>
    <t>RUBRO:</t>
  </si>
  <si>
    <t>TIPO DE RECURSO:</t>
  </si>
  <si>
    <t>VIABLE</t>
  </si>
  <si>
    <t>TOTALES:</t>
  </si>
  <si>
    <t>CUMPLIMIENTO:</t>
  </si>
  <si>
    <t>ANÁLISIS DE RIESGOS PREVISIBLES DE LA CONTRATACIÓN</t>
  </si>
  <si>
    <t>Parte 1:
RESUMEN: Distribución de los Riesgos Previsibles</t>
  </si>
  <si>
    <t>RIESGO</t>
  </si>
  <si>
    <t>ASIGNACIÓN</t>
  </si>
  <si>
    <t>ECONÓMICO Y REGULATORIO</t>
  </si>
  <si>
    <t>CONTRATANTE</t>
  </si>
  <si>
    <t>OPERACIONAL</t>
  </si>
  <si>
    <t>CONTRATISTA</t>
  </si>
  <si>
    <t>FINANCIEROS</t>
  </si>
  <si>
    <t>NATURALEZA</t>
  </si>
  <si>
    <t>AMBIENTALES</t>
  </si>
  <si>
    <t>TOTAL RIESGOS</t>
  </si>
  <si>
    <t>TOTAL RIESGOS CONTRATANTE</t>
  </si>
  <si>
    <t>TOTAL RIESGOS CONTRATISTA</t>
  </si>
  <si>
    <t>VALOR COSTO DIRECTO</t>
  </si>
  <si>
    <t>CALCULO DEL PORCENTAJE DEL RIESGO, QUE SE TRANSFIERE AL CONTRATISTA:</t>
  </si>
  <si>
    <t>Parte 2:
Política de Gestión de los Riegos Previsibles en la Contratación Pública</t>
  </si>
  <si>
    <t>2.1.  ESTIMACIÓN DE RIESGOS PREVISIBLES</t>
  </si>
  <si>
    <t>PROBABILIDAD</t>
  </si>
  <si>
    <t>ESCALA</t>
  </si>
  <si>
    <t>BAJO</t>
  </si>
  <si>
    <t>La probabilidad de ocurrencia del riesgo es baja, cuando en pocos contratos con objetos similares, el resultado es la ocurrencia del riesgo de un evento en los últimos diez (10)  años o o cuando de la naturaleza del riesgo se pueda prever que ocurrirá remotamente.</t>
  </si>
  <si>
    <t>MEDIO - BAJO</t>
  </si>
  <si>
    <t>La probabilidad de ocurrencia del riesgo es media baja, si es atípica la ocurrencia del riesgo, el resultado es la ocurrencia del riesgo de un evento en los últimos cinco (5)  años o; o cuando de la naturaleza del riesgo se pueda prever que su ocurrencia es inusual.</t>
  </si>
  <si>
    <t>MEDIO - ALTO</t>
  </si>
  <si>
    <t>La probabilidad de ocurrencia del riesgo es media alta, si es típica la ocurrencia del riesgo en la ejecución de contratos similares, el resultado es la ocurrencia del riesgo de un evento en los últimos dos (2)  años o, cuando de la naturaleza del riesgo se pueda prever que ocurrirá usualmente.</t>
  </si>
  <si>
    <t>ALTO</t>
  </si>
  <si>
    <t>La probabilidad de ocurrencia del riesgo es alta, cuando en la generalidad de los contratos que se ejecutaron con objetos similares, el resultado es la ocurrencia del riesgo de un evento en el último año; o, cuando de la naturaleza del riesgo se pueda prever su inminencia.</t>
  </si>
  <si>
    <t>SEVERIDAD</t>
  </si>
  <si>
    <t>Dificulta la ejecución del contrato de manera leve, de forma que aplicando medidas mínimas se pueden lograr el objeto contractual. Los sobrecostos no representan más del cinco por ciento (5%) del valor del Costo Directo del contrato</t>
  </si>
  <si>
    <t>Menor del 5% del Costo Directo</t>
  </si>
  <si>
    <t>Afecta la ejecución del contrato de manera moderada, pero sin afectar considerablemente el equilibrio económico. Generando un impacto sobre el valor del Costo Directo del contrato entre el cinco (5%) y el quince por ciento (15%).</t>
  </si>
  <si>
    <t>Entre el 5% al 15% del Costo Directo</t>
  </si>
  <si>
    <t>Obstruye la ejecución del contrato sustancialmente, pero aún así, permite la consecución del objeto contractual, con un incremento del valor del Costo Directo del contrato entre el quince (15%) y el treinta por ciento (30%).</t>
  </si>
  <si>
    <t>Entre el 15% al 30% del Costo Directo</t>
  </si>
  <si>
    <t>Perturba la ejecución del contrato de manera grave, generando un impacto sobre el valor del Costo Directo del contrato en más del treinta por ciento (30%), imposibilitando la consecución del objeto contractual.</t>
  </si>
  <si>
    <t>Mayor al 30% del Costo Directo</t>
  </si>
  <si>
    <t>2.2.  CRITERIOS DE ASIGNACIÓN DE LOS RIESGOS PREVISIBLES</t>
  </si>
  <si>
    <t>ALTA</t>
  </si>
  <si>
    <r>
      <t xml:space="preserve">RIESGO MODERADO
</t>
    </r>
    <r>
      <rPr>
        <sz val="8"/>
        <rFont val="Arial"/>
        <family val="2"/>
      </rPr>
      <t>Transferir
Proteger
                          30</t>
    </r>
  </si>
  <si>
    <r>
      <t xml:space="preserve">RIESGO IMPORTANTE
</t>
    </r>
    <r>
      <rPr>
        <sz val="8"/>
        <rFont val="Arial"/>
        <family val="2"/>
      </rPr>
      <t>Transferir
Proteger
Prevenir
                          60</t>
    </r>
  </si>
  <si>
    <r>
      <t>RIESGO INACEPTABLE</t>
    </r>
    <r>
      <rPr>
        <sz val="8"/>
        <color indexed="9"/>
        <rFont val="Arial"/>
        <family val="2"/>
      </rPr>
      <t xml:space="preserve">
Evitar
Transferir
Proteger
       Prevenir     90</t>
    </r>
  </si>
  <si>
    <r>
      <t>RIESGO INACEPTABLE</t>
    </r>
    <r>
      <rPr>
        <sz val="8"/>
        <color indexed="9"/>
        <rFont val="Arial"/>
        <family val="2"/>
      </rPr>
      <t xml:space="preserve">
Evitar
Transferir
Proteger
       Prevenir     120</t>
    </r>
  </si>
  <si>
    <r>
      <t xml:space="preserve">RIESGO TOLERABLE
</t>
    </r>
    <r>
      <rPr>
        <sz val="8"/>
        <color indexed="9"/>
        <rFont val="Arial"/>
        <family val="2"/>
      </rPr>
      <t>Proteger
Transferir
                          20</t>
    </r>
  </si>
  <si>
    <r>
      <t xml:space="preserve">RIESGO MODERADO
</t>
    </r>
    <r>
      <rPr>
        <sz val="8"/>
        <rFont val="Arial"/>
        <family val="2"/>
      </rPr>
      <t>Proteger
Prevenir
       Transferir    40</t>
    </r>
  </si>
  <si>
    <r>
      <t xml:space="preserve">RIESGO IMPORTANTE
</t>
    </r>
    <r>
      <rPr>
        <sz val="8"/>
        <rFont val="Arial"/>
        <family val="2"/>
      </rPr>
      <t>Prevenir
Transferir
         Proteger    60</t>
    </r>
  </si>
  <si>
    <r>
      <t xml:space="preserve">RIESGO INACEPTABLE
Evitar
</t>
    </r>
    <r>
      <rPr>
        <sz val="8"/>
        <color indexed="9"/>
        <rFont val="Arial"/>
        <family val="2"/>
      </rPr>
      <t>Prevenir
Transferir
         Proteger    80</t>
    </r>
  </si>
  <si>
    <r>
      <t xml:space="preserve">RIESGO ACEPTABLE
</t>
    </r>
    <r>
      <rPr>
        <sz val="8"/>
        <color indexed="9"/>
        <rFont val="Arial"/>
        <family val="2"/>
      </rPr>
      <t>Aceptar 
                          10</t>
    </r>
  </si>
  <si>
    <r>
      <t xml:space="preserve">RIESGO TOLERABLE
</t>
    </r>
    <r>
      <rPr>
        <sz val="8"/>
        <color indexed="9"/>
        <rFont val="Arial"/>
        <family val="2"/>
      </rPr>
      <t>Prevenir
Aceptar 
                          20</t>
    </r>
  </si>
  <si>
    <r>
      <t xml:space="preserve">RIESGO MODERADO
</t>
    </r>
    <r>
      <rPr>
        <sz val="8"/>
        <rFont val="Arial"/>
        <family val="2"/>
      </rPr>
      <t>Prevenir
                          30</t>
    </r>
  </si>
  <si>
    <r>
      <t xml:space="preserve">RIESGO MODERADO
</t>
    </r>
    <r>
      <rPr>
        <sz val="8"/>
        <rFont val="Arial"/>
        <family val="2"/>
      </rPr>
      <t>Prevenir
                          40</t>
    </r>
  </si>
  <si>
    <r>
      <t xml:space="preserve">RIESGO ACEPTABLE
</t>
    </r>
    <r>
      <rPr>
        <sz val="8"/>
        <color indexed="9"/>
        <rFont val="Arial"/>
        <family val="2"/>
      </rPr>
      <t>Aceptar 
                          5</t>
    </r>
  </si>
  <si>
    <r>
      <t xml:space="preserve">RIESGO ACEPTABLE
</t>
    </r>
    <r>
      <rPr>
        <sz val="8"/>
        <color indexed="9"/>
        <rFont val="Arial"/>
        <family val="2"/>
      </rPr>
      <t>Aceptar 
                  10</t>
    </r>
  </si>
  <si>
    <r>
      <t xml:space="preserve">RIESGO TOLERABLE
</t>
    </r>
    <r>
      <rPr>
        <sz val="8"/>
        <color indexed="9"/>
        <rFont val="Arial"/>
        <family val="2"/>
      </rPr>
      <t>Prevenir
                          15</t>
    </r>
  </si>
  <si>
    <r>
      <t xml:space="preserve">RIESGO TOLERABLE
</t>
    </r>
    <r>
      <rPr>
        <sz val="8"/>
        <color indexed="9"/>
        <rFont val="Arial"/>
        <family val="2"/>
      </rPr>
      <t>Prevenir
Transferir
                          20</t>
    </r>
  </si>
  <si>
    <t>POR FAVOR NO BORRE ESTAS FILAS</t>
  </si>
  <si>
    <t>MODERADO</t>
  </si>
  <si>
    <t>IMPORTANTE</t>
  </si>
  <si>
    <t>INACEPTABLE</t>
  </si>
  <si>
    <t>TOLERABLE</t>
  </si>
  <si>
    <t>ACEPTABLE</t>
  </si>
  <si>
    <t>Parte 3:
Tipificación, estimación y tratamiento del RIESGO ECONÓMICO</t>
  </si>
  <si>
    <t>(1)</t>
  </si>
  <si>
    <t>VALOR COSTO DIRECTO:</t>
  </si>
  <si>
    <t>Cuando</t>
  </si>
  <si>
    <t>Nombre del riesgo</t>
  </si>
  <si>
    <t>(2)</t>
  </si>
  <si>
    <t>VALOR TOTAL DE LA CONSECUENCIA:</t>
  </si>
  <si>
    <t>DURANTE</t>
  </si>
  <si>
    <t>(3) = (2)/(1)</t>
  </si>
  <si>
    <t>PORCENTAJE DE LA CONSECUENCIA:</t>
  </si>
  <si>
    <t>(4)</t>
  </si>
  <si>
    <t>PROBABILIDAD DE OCURRENCIA:</t>
  </si>
  <si>
    <t>(5) = (2)x(4)</t>
  </si>
  <si>
    <t>VALOR DEL RIESGO:</t>
  </si>
  <si>
    <t>Describa lo que puede pasar si se materializa el riesgo, incluyendo las consecuencias.</t>
  </si>
  <si>
    <t>Son aquellos que se derivan del comportamiento del mercado, tales como la fluctuación de los precios de los insumos, desabastecimiento y especulación de los mismos, entre otros. Son los posibles cambios regulatorios o reglamentarios que siendo previsibles, afecten el equilibrio contractual.</t>
  </si>
  <si>
    <t>CAUSAS</t>
  </si>
  <si>
    <t>Describa las principales causas y agentes generadores por las cuales puede presentarse el riesgo</t>
  </si>
  <si>
    <t>Variación en los precios del petróleo que afectan el valor del asfalto, ya que este es un precio regula por el estado.</t>
  </si>
  <si>
    <t>Aumento en el valor de los salarios debido a un cambio de año en caso de que el contrato se prolongue mas tiempo.</t>
  </si>
  <si>
    <t>Desabastecimiento de asfalto por alta demanda en las plantas productoras de asfalto.</t>
  </si>
  <si>
    <t>TRATAMIENTO</t>
  </si>
  <si>
    <r>
      <t xml:space="preserve">Distribuya las medidas de prevención, protección y transferencia, </t>
    </r>
    <r>
      <rPr>
        <sz val="10"/>
        <rFont val="Arial"/>
        <family val="2"/>
      </rPr>
      <t>considerando el ciclo PHVA para cada medida.</t>
    </r>
  </si>
  <si>
    <t>EL CONTRATANTE</t>
  </si>
  <si>
    <t>EL  CONTRATISTA</t>
  </si>
  <si>
    <t>Se incluirá una formula de reajuste de precios para reajustar los posibles incrementos por concepto de reajuste.</t>
  </si>
  <si>
    <t>Presentar mensualmente acta de reajuste de precios.</t>
  </si>
  <si>
    <t>Se reajustará la obra en el mes de ejecución en el que fue programado en caso de presentarse retrasos en la ejecución por causas imputables al contratista.</t>
  </si>
  <si>
    <t xml:space="preserve">¿  QUIEN DEBE ASUMIR O RESPONDER POR LAS PÉRDIDAS ECONÓMICAS ? </t>
  </si>
  <si>
    <t>Parte 4:
Tipificación, estimación y tratamiento del RIESGO OPERACIONALES</t>
  </si>
  <si>
    <t>OPERACIONALES</t>
  </si>
  <si>
    <t>Son aquellos riesgos asociados a la operatividad del contrato. La posibilidad de que el monto de la inversión no sea el previsto para cumplir el objeto del contrato. También se presenta la extensión del plazo, cuando los contratos se realizan en tiempos distintos a los inicialmente programados por circunstancias no imputables a las partes. Adicionalmente, se presenta por la posibilidad de no obtención del objeto del contrato.</t>
  </si>
  <si>
    <t>Inadecuados procesos, procedimientos, parámetros, sistemas de información y tecnológicos, equipos humanos o técnicos sin que los mismos sean imputables a las partes.</t>
  </si>
  <si>
    <t>No alcanzar los resultados de laboratorio necesarios para poder continuar con el proceso constructivo</t>
  </si>
  <si>
    <t>Especificaciones técnicas adecuadas</t>
  </si>
  <si>
    <t>Programación y seguimiento de programación de Obra.</t>
  </si>
  <si>
    <t>Exigir programación de obra y seguimiento de la misma</t>
  </si>
  <si>
    <t>Contratación de personal idóneo y con la experiencia exigida.</t>
  </si>
  <si>
    <t>Interventoría idónea contratada.</t>
  </si>
  <si>
    <t>Seguimiento y control técnico y de laboratorio del cumplimiento de especificaciones técnicas</t>
  </si>
  <si>
    <t>EL CONTRATISTA</t>
  </si>
  <si>
    <t>Parte 4.1:
Memorias de calculo del valor de las consecuencias del RIESGO OPERACIONALES</t>
  </si>
  <si>
    <t>VALOR TOTAL RIESGO OPERACIONAL</t>
  </si>
  <si>
    <t>Parte 5:
Tipificación, estimación y tratamiento del RIESGO FINANCIERO</t>
  </si>
  <si>
    <t>Este riesgo tiene dos componentes básicos: el riesgo de consecución de financiación o riesgo de liquidez, y el riesgo de las condiciones financieras. 
El primero se refiere a la dificultad de conseguir los recursos financieros, ya sea en el sector financiero o el mercado de capitales, para lograr el objetivo del contrato. El segundo hace referencia a los términos financieros de dichos recursos, entre estos encontramos plazos, tasas, garantías, contragarantías, refinanciaciones entre otros.</t>
  </si>
  <si>
    <t>Pago del Anticipo a 30 días después de la firma del contrato</t>
  </si>
  <si>
    <t>Falta de capacidad financiera del proponente.</t>
  </si>
  <si>
    <t>Cumplir con los tiempos de pagos establecidos en el contrato.</t>
  </si>
  <si>
    <t>Consecución de recursos mediante financiación externa o interna para la ejecución del objeto.</t>
  </si>
  <si>
    <t>Exigir dentro del proceso licitatorio una capacidad financiera que garantice la fácil consecución de los recursos en la banca externa.</t>
  </si>
  <si>
    <t>Negociaciones con proveedores para pago a 30 días.</t>
  </si>
  <si>
    <t>Parte 5.1:
Memorias de calculo del valor de las consecuencias del RIESGO FINANCIERO</t>
  </si>
  <si>
    <t>INTERÉS DE CRÉDITO ANUAL (E.A.)</t>
  </si>
  <si>
    <t>INTERÉS DE CRÉDITO MENSUAL</t>
  </si>
  <si>
    <t>MES</t>
  </si>
  <si>
    <t>FLUJO CAJA MES</t>
  </si>
  <si>
    <t>FLUJO CAJA ACUMULADO</t>
  </si>
  <si>
    <t>CRÉDITO</t>
  </si>
  <si>
    <t>INTERÉS</t>
  </si>
  <si>
    <t>Fuente:</t>
  </si>
  <si>
    <t>Secretaria de Hacienda - Municipio de Envigado</t>
  </si>
  <si>
    <t>Parte 6:
Tipificación, estimación y tratamiento del  RIESGO POR NATURALEZA</t>
  </si>
  <si>
    <t>Son los eventos causados por la naturaleza sin la intervención o voluntad del hombre, que aunque pueden ser previsibles por su frecuencia o diagnóstico están fuera del control de las partes. Para la determinación de su existencia y/o previsibilidad, se podrá acudir a las autoridades públicas o entidades competentes en la recopilación de datos estadísticos o fuentes oficiales.</t>
  </si>
  <si>
    <t>Temporada de lluvias.</t>
  </si>
  <si>
    <t>Fenomeno de "La Niña".</t>
  </si>
  <si>
    <t>Tener cuadrillas y maquinaria disponible para conformación y adecuación de zonas de trabajo despues de las lluvias</t>
  </si>
  <si>
    <t>Trabajo en horarios extendidos, incluyendo días festivos</t>
  </si>
  <si>
    <t>Parte 6.1:
Memorias de calculo del valor de las consecuencias del RIESGO POR NATURALEZA
Calculo TIEMPO parálisis operacional por lluvia</t>
  </si>
  <si>
    <t>Suma de Duración en Minutos de lluvia</t>
  </si>
  <si>
    <t>Suma de Duración en Minutos Total</t>
  </si>
  <si>
    <t>CALCULO TIEMPO PARÁLISIS OPERACIONAL POR LLUVIA</t>
  </si>
  <si>
    <t>Enero</t>
  </si>
  <si>
    <t>Numero de días analizados:</t>
  </si>
  <si>
    <t>Febrero</t>
  </si>
  <si>
    <t>Numero de días con presencia de lluvia:</t>
  </si>
  <si>
    <t>Marzo</t>
  </si>
  <si>
    <t>Numero de horas Promedio de lluvia / día:</t>
  </si>
  <si>
    <t>Abril</t>
  </si>
  <si>
    <t>Mayo</t>
  </si>
  <si>
    <t>Plazo del contrato:</t>
  </si>
  <si>
    <t>días</t>
  </si>
  <si>
    <t>Junio</t>
  </si>
  <si>
    <t>Numero horas parálisis operacional:</t>
  </si>
  <si>
    <t>horas</t>
  </si>
  <si>
    <t>Julio</t>
  </si>
  <si>
    <t>Numero de días parálisis operacional:</t>
  </si>
  <si>
    <t>Agosto</t>
  </si>
  <si>
    <t>Numero de meses parálisis operacional:</t>
  </si>
  <si>
    <t>meses</t>
  </si>
  <si>
    <t>Septiembre</t>
  </si>
  <si>
    <t>Octubre</t>
  </si>
  <si>
    <t>Noviembre</t>
  </si>
  <si>
    <t>Diciembre</t>
  </si>
  <si>
    <t>Total en Minutos</t>
  </si>
  <si>
    <t>Total en Horas</t>
  </si>
  <si>
    <t>Fuente: Registros de lluvias Estación Pluviométrica La Salle - Municipio de Envigado - Secretaria de Medio Ambiente y Desarrollo Rural</t>
  </si>
  <si>
    <t>Parte 6.2:
Memorias de calculo del valor de las consecuencias del RIESGO POR NATURALEZA
Calculo VALOR parálisis operacional por lluvia</t>
  </si>
  <si>
    <t>VALOR TOTAL RIESGO POR NATURALEZA</t>
  </si>
  <si>
    <t xml:space="preserve">
</t>
  </si>
  <si>
    <t>Parte 7:
Tipificación, estimación y tratamiento del  RIESGO AMBIENTAL</t>
  </si>
  <si>
    <t>Se refiere a las obligaciones que emanan de las licencias ambientales, de los planes de manejo ambiental, de las condiciones ambientales o ecológicas exigidas y de la evolución de las tasas retributivas y de uso del agua. Por ejemplo, cuando durante la ejecución del contrato se configuren pasivos ambientales causados por mala gestión de la licencia ambiental y/o el plan de manejo ambiental o el costo de las obligaciones ambientales resulte superior al estimado no siendo imputables a las partes.</t>
  </si>
  <si>
    <t>Deterioro o alteración moderado de los recursos naturales, al ambiente o al paisaje, por la ejecución de obras civiles para mantenimiento de vías urbanas</t>
  </si>
  <si>
    <t>Reaizar un seguimiento detallado del Plan de Acción Socio Ambiental en Obra (PASAO)</t>
  </si>
  <si>
    <t>Elaborar y ejecutar el de Plan de Acción Socio Ambiental en Obra (PASAO), según los programas y acciones identificados en el Anexo No.8 - Matriz de Gestión Socio Ambiental</t>
  </si>
  <si>
    <t>Cumplir con los requierimientos de Gestión Socio Ambiental, considerados en el calculo del % del Riesgo Ambiental, el cual sera asumido por el CONTRATISTA</t>
  </si>
  <si>
    <t>Detalle</t>
  </si>
  <si>
    <t>Duración (Meses)</t>
  </si>
  <si>
    <t>Valor Mes</t>
  </si>
  <si>
    <t>Prestaciones o No. De usos</t>
  </si>
  <si>
    <t>Buzón PQRS</t>
  </si>
  <si>
    <t>Actas de vecindad y cierre (Area de influencia directa y cuando se requiera realizar en el área de influencia indirecta)</t>
  </si>
  <si>
    <t>Carteleras informativas: madera o corcho de 1 metro x 90 cms, incluye actualización mensual.</t>
  </si>
  <si>
    <t>TOTAL COMPONENTE SOCIAL</t>
  </si>
  <si>
    <t>Uniformes de obras y estampados</t>
  </si>
  <si>
    <t>Cascos</t>
  </si>
  <si>
    <t xml:space="preserve">Protectores auditivos tipo inserción </t>
  </si>
  <si>
    <t>Guantes de carnaza con baqueta</t>
  </si>
  <si>
    <t>Mascarilla desechable</t>
  </si>
  <si>
    <t>Monogafas</t>
  </si>
  <si>
    <t>Unidades sanitarias portátiles</t>
  </si>
  <si>
    <t>Elementos de aseo</t>
  </si>
  <si>
    <t>Arnes multiproposito 4 argollas</t>
  </si>
  <si>
    <t>Eslinga doble</t>
  </si>
  <si>
    <t>Linea de vida por ml</t>
  </si>
  <si>
    <t>Radios y Equipos de Telecomunicación</t>
  </si>
  <si>
    <t>Capacitaciones a personal</t>
  </si>
  <si>
    <t>Botiquín Primeros Auxilios</t>
  </si>
  <si>
    <t>TOTAL SEGURIDAD INDUSTRIAL Y SALUD EN EL TRABAJO</t>
  </si>
  <si>
    <t>Protección de Sumideros con canastilla</t>
  </si>
  <si>
    <t>Construcción de caseta para el acopio de residuos sólidos comunes</t>
  </si>
  <si>
    <t>Canecas de 55 galones para disposición de residuos sólidos</t>
  </si>
  <si>
    <t>Canecas de 5 galones para disposición de residuos sólidos (oficinas contratista e interventoría y almacén)</t>
  </si>
  <si>
    <t>Kit de emergencia para derrames químicos</t>
  </si>
  <si>
    <t>Teleras para construcción de acopios de materiales como medida de protección del suelo</t>
  </si>
  <si>
    <t>Plásticos y elementos de protección de materiales y escombros</t>
  </si>
  <si>
    <t>Teleras para cruces y/o senderos peatonales,y para protección de excavaciones</t>
  </si>
  <si>
    <t>Construcción piscinas de sedimentación</t>
  </si>
  <si>
    <t>Construcción trampa de grasas</t>
  </si>
  <si>
    <t>Obras para el control de escorrentía</t>
  </si>
  <si>
    <t>Adecuación zona de acopio de combustibles</t>
  </si>
  <si>
    <t>Recolección de residuos sólidos especiales por parte de una empresa autorizada (Kg)</t>
  </si>
  <si>
    <t>Personal encargado de gestión ambiental (pare y siga, limpieza, traslado de señales)</t>
  </si>
  <si>
    <t>TOTAL GESTION AMBIENTAL</t>
  </si>
  <si>
    <t>REALIZACION DEL PLAN DE MANEJO DE TRANSITO, DELIMITACION, SENDEROS, SEÑALIZACION DE OBRA. VER ANEXO 7,2</t>
  </si>
  <si>
    <t>TOTAL PLAN DE MANEJO DE TRANSITO</t>
  </si>
  <si>
    <t>SUMINISTRO DE SEÑALES REUTILIZABLES EN OTRAS OBRAS</t>
  </si>
  <si>
    <t>ÍTEM</t>
  </si>
  <si>
    <t xml:space="preserve">DESCRIPCIÓN </t>
  </si>
  <si>
    <t>VALOR TOTAL</t>
  </si>
  <si>
    <t>ESQUEMA</t>
  </si>
  <si>
    <t xml:space="preserve">SEÑALIZACIÓN PARA CONSTRUCCIÓN </t>
  </si>
  <si>
    <t>1.2</t>
  </si>
  <si>
    <t>Suministro de señal informativa móvil según ficha técnica marcada como Obra en la vía a 500 m</t>
  </si>
  <si>
    <t>1.3</t>
  </si>
  <si>
    <t>Suministro de señal informativa móvil según ficha técnica marcada como Inicio de Obra</t>
  </si>
  <si>
    <t>1.4</t>
  </si>
  <si>
    <t>Suministro de señal informativa móvil según ficha técnica marcada como Fin de Obra</t>
  </si>
  <si>
    <t>1.5</t>
  </si>
  <si>
    <t>Suministro de señal informativa móvil según ficha técnica marcada como Carril izquierdo Cerrado</t>
  </si>
  <si>
    <t>1.6</t>
  </si>
  <si>
    <t>Suministro de señal informativa móvil según ficha técnica marcada como Carril derecho Cerrado</t>
  </si>
  <si>
    <t>1.7</t>
  </si>
  <si>
    <t>Suministro de señal preventiva móvil según ficha técnica Hombres trabajando</t>
  </si>
  <si>
    <t>1.8</t>
  </si>
  <si>
    <t>Suministro de señal preventiva móvil según ficha técnica Maquinaria en la vía</t>
  </si>
  <si>
    <t>1.9</t>
  </si>
  <si>
    <t>Suministro de señal preventiva móvil según ficha técnica reducción de calzada Izquierda</t>
  </si>
  <si>
    <t>1.10</t>
  </si>
  <si>
    <t>Suministro de señal preventiva móvil según ficha técnica reducción de calzada Derecha</t>
  </si>
  <si>
    <t>1.11</t>
  </si>
  <si>
    <t>Suministro de señal reglamentaria móvil según ficha técnica Prohibido adelantar</t>
  </si>
  <si>
    <t>1.12</t>
  </si>
  <si>
    <t>Suministro de señal reglamentaria móvil según ficha técnica Velocidad 30</t>
  </si>
  <si>
    <t>1.13</t>
  </si>
  <si>
    <t>Suministro de señal reglamentaria móvil según ficha técnica Velocidad 20</t>
  </si>
  <si>
    <t>1.14</t>
  </si>
  <si>
    <t>Suministro de señal reglamentaria móvil según ficha técnica Vía Cerrada</t>
  </si>
  <si>
    <t>1.15</t>
  </si>
  <si>
    <t>Suministro de señal reglamentaria móvil según ficha técnica Desvío Izquierdo</t>
  </si>
  <si>
    <t>1.16</t>
  </si>
  <si>
    <t>Suministro de señal reglamentaria móvil según ficha técnica Desvío Derecho</t>
  </si>
  <si>
    <t>1.17</t>
  </si>
  <si>
    <t>Suministro de señal pare y siga con paral según ficha técnica</t>
  </si>
  <si>
    <t>1.18</t>
  </si>
  <si>
    <t>Barricadas de 1,5 * 2,0 según ficha técnica sentido derecho</t>
  </si>
  <si>
    <t>1.19</t>
  </si>
  <si>
    <t>Barricadas de 1,5 * 2,0 según ficha técnica sentido izquierdo</t>
  </si>
  <si>
    <t>1.20</t>
  </si>
  <si>
    <t>Suministro de señal reglamentaria solo disco según ficha técnica Vía Cerrada</t>
  </si>
  <si>
    <t>1.21</t>
  </si>
  <si>
    <t>Suministro de señal reglamentaria solo disco según ficha técnica Desvío Izquierdo</t>
  </si>
  <si>
    <t>1.22</t>
  </si>
  <si>
    <t>Suministro de señal reglamentaria solo disco según ficha técnica Desvío Derecho</t>
  </si>
  <si>
    <t>1.23</t>
  </si>
  <si>
    <t>Suministro de barrera plastica flexible</t>
  </si>
  <si>
    <t>1.24</t>
  </si>
  <si>
    <t>Delineador tubular según ficha técnica</t>
  </si>
  <si>
    <t>Cono PVC según ficha técnica</t>
  </si>
  <si>
    <t>IVA (19%)</t>
  </si>
  <si>
    <t>SUMINISTRO DE SEÑALES NO REUTILIZABLES EN OTRAS OBRAS</t>
  </si>
  <si>
    <t>1.25</t>
  </si>
  <si>
    <t>Lonas para volqueta según ficha técnica</t>
  </si>
  <si>
    <t>1.26</t>
  </si>
  <si>
    <t>Malla Plástica Naranja según ficha técnica</t>
  </si>
  <si>
    <t>Rollo</t>
  </si>
  <si>
    <t>1.27</t>
  </si>
  <si>
    <t xml:space="preserve">Polisombra naranja según ficha técnica </t>
  </si>
  <si>
    <t>1.28</t>
  </si>
  <si>
    <t>Cinta reflectiva de peligro</t>
  </si>
  <si>
    <t>1.29</t>
  </si>
  <si>
    <t>1.30</t>
  </si>
  <si>
    <t>Lámpara de trafico decagonal según ficha técnica</t>
  </si>
  <si>
    <t>TOTAL SEÑALES REUTILIZABLES Y SEÑALES NO REUTILIZABLES</t>
  </si>
  <si>
    <t xml:space="preserve">RESIDENTE DE ESTRUCTURA Y PUENTES </t>
  </si>
  <si>
    <t>RESIDENTE DE URBANISMO</t>
  </si>
  <si>
    <t>RESIDENTE FORESTAL</t>
  </si>
  <si>
    <t>RESIDENTE DE SEGURIDAD Y SALUD EN EL TRABAJO --SST</t>
  </si>
  <si>
    <t>ASEO  DE OBRA Y CAFETERIA</t>
  </si>
  <si>
    <t>Parte 3.1:</t>
  </si>
  <si>
    <t>Memorias de calculo del valor de las consecuencias del RIESGO ECONÓMICO Y REGULATORIO</t>
  </si>
  <si>
    <t>CUANTIFICACIÓN RIESGO ECONÓMICO Y REGULATORIO</t>
  </si>
  <si>
    <t>COEF.</t>
  </si>
  <si>
    <t>ANUAL (%)</t>
  </si>
  <si>
    <t>Prom. Mensual (%)</t>
  </si>
  <si>
    <t>PROMEDIO</t>
  </si>
  <si>
    <t>DESVIACIÓN</t>
  </si>
  <si>
    <t>ESTÁNDAR</t>
  </si>
  <si>
    <t>MÍNIMO</t>
  </si>
  <si>
    <t>MÁXIMO</t>
  </si>
  <si>
    <t>Índice de costos de la construcción de CAMACOL</t>
  </si>
  <si>
    <t>FACTOR DE REAJUSTE MENSUAL</t>
  </si>
  <si>
    <t>PAGO No.</t>
  </si>
  <si>
    <t>VALOR NETO</t>
  </si>
  <si>
    <t>Factor de reajuste</t>
  </si>
  <si>
    <t>Valor reajuste</t>
  </si>
  <si>
    <t xml:space="preserve">TOTALES </t>
  </si>
  <si>
    <t>VALOR COSTO DIRECTO DEL CONTRATO:</t>
  </si>
  <si>
    <t>% DE REAJUSTE</t>
  </si>
  <si>
    <t>COSTO DIRECTO</t>
  </si>
  <si>
    <t>Parte 7.1:
Memorias de calculo del valor de las consecuencias del RIESGO AMBIENTAL
Gestión Socio Ambiental, Y Seguridad y salud en el Trabajo</t>
  </si>
  <si>
    <t>Parte 7.2:
Memorias de calculo del valor de las consecuencias del RIESGO AMBIENTAL -Plan de Manejo de Transito</t>
  </si>
  <si>
    <t>Programa al cual pertenece en el PASAO</t>
  </si>
  <si>
    <t>Accion Ambiental, SISO o Social</t>
  </si>
  <si>
    <t>SOCIALIZACION</t>
  </si>
  <si>
    <t>Social</t>
  </si>
  <si>
    <t>INFORMACION Y DIVULGACION</t>
  </si>
  <si>
    <t>Pendones para volquetas 2 x 2</t>
  </si>
  <si>
    <t>ACTAS DE VECINDAD Y DE ENTORNO</t>
  </si>
  <si>
    <t>SEGURIDAD Y SALUD EN EL TRABAJO</t>
  </si>
  <si>
    <t>Salud Ocupacional</t>
  </si>
  <si>
    <t>Adecuacion de Campamento</t>
  </si>
  <si>
    <t>Chalecos para personal administrativo</t>
  </si>
  <si>
    <t>Prevencion de la contaminación de cuerpos de agua y redes de servicio publico</t>
  </si>
  <si>
    <t>Construcción de lavadero de llantas</t>
  </si>
  <si>
    <t>Caja desarenadora móvil para la concretadora de 1 x 1 m.</t>
  </si>
  <si>
    <t>Construcción de juego de tanques sedimentadores moviles con canecas de 55 galones, tuberia pvc de 1/2" y 1m de geotextil.</t>
  </si>
  <si>
    <t>MANEJO DE AGUAS LLUVIAS Y RESIDUALES * SUMINISTRO DE AGUA POTABLE</t>
  </si>
  <si>
    <t>MANEJO DE RESIDUOS SOLIDOS</t>
  </si>
  <si>
    <t>Programa para el manejo de residuos.</t>
  </si>
  <si>
    <t>EVENTO DE ENTREGA DE OBRA</t>
  </si>
  <si>
    <t>SociaL</t>
  </si>
  <si>
    <t xml:space="preserve">Uso y almacenamiento adecuado de materiales de construcción
</t>
  </si>
  <si>
    <t>DESMONTE DE INSTALACIONES Y SEGUIMIENTO A LOS PROCESOS</t>
  </si>
  <si>
    <t>Desmantelamiento de la estructura (islas de combustión)</t>
  </si>
  <si>
    <t>Tratamiento de las borras (sedimento del combustible)</t>
  </si>
  <si>
    <t>Demolición de oficinas</t>
  </si>
  <si>
    <t>IMPLEMENTACION DEL PLAN DE MANEJO DE TRANSITO</t>
  </si>
  <si>
    <t>Dispositivos y Planes de divulgacion a la Comunidad</t>
  </si>
  <si>
    <t>Brigadistas de PMT y bandereros</t>
  </si>
  <si>
    <t>TOTAL Dispositivos y Planes de divulgacion a la Comunidad</t>
  </si>
  <si>
    <t>Permisos de Cierre de Via</t>
  </si>
  <si>
    <t>TOTAL Cierre de Via</t>
  </si>
  <si>
    <t>P.M.T.</t>
  </si>
  <si>
    <t>Avisos de Prensa a color.</t>
  </si>
  <si>
    <t>Global</t>
  </si>
  <si>
    <t>Pasacalles en lona e impresión digital full color. Incluye instalación y desinstalación. Se pagan solo una vez</t>
  </si>
  <si>
    <t>Cuñas radiales para alertar por cierres, desvíos, etc. En dos emisoras de musica y dos emisoras noticiosas</t>
  </si>
  <si>
    <t>VALOR TOTAL PLAN DE MANEJO DE TRANSITO</t>
  </si>
  <si>
    <t>Manejo Forestal, de fauna Ahuyentamiento, rescate y rehubicaión de fauna</t>
  </si>
  <si>
    <t>Actualización del inventario forestal del aplicativo del Sistema del Árbol urbano SAU, mediante el retiro de talas y la incorporación de árboles de trasplante y las nuevas siembras de acuerdo con las exigencias de los Municipios de Envigado</t>
  </si>
  <si>
    <t>Permiso de salvoconducto para el transporte del material resultante del aprovechamiento forestal</t>
  </si>
  <si>
    <t>Flora</t>
  </si>
  <si>
    <t>Manejo de la fauna</t>
  </si>
  <si>
    <t>Ahuyentamiento, rescate y rehubicaión de fauna. Incluye construcción de pasos de fauna definitivos.</t>
  </si>
  <si>
    <t>Tarima 4x3 con con cubierta, mesa central y sillas (6 personas), micrófonos, alimentación, atril con micrófono, sonido hidratación (500 pesonas), cinta y tijeras para dar apertura simbólica en la vía entre otros, incluye placa conmemorativa</t>
  </si>
  <si>
    <t>CAPÍTULO</t>
  </si>
  <si>
    <t>1. COMPONENTE SOCIAL</t>
  </si>
  <si>
    <t>2. SEGURIDAD INDUSTRIAL Y SALUD EN EL TRABAJO</t>
  </si>
  <si>
    <t>3. PLAN DE GESTION AMBIENTAL</t>
  </si>
  <si>
    <t>4. PLAN DE MANEJO DE TRANSITO</t>
  </si>
  <si>
    <t>4.P.M.T</t>
  </si>
  <si>
    <t>TOTAL PORCENTAJE</t>
  </si>
  <si>
    <t>INGENIERO RESIDENTE DE OBRA</t>
  </si>
  <si>
    <t>VARIACIÓN ANUAL 2018</t>
  </si>
  <si>
    <t>VARIACIÓN ANUAL 2019</t>
  </si>
  <si>
    <t>COSTOS INDIRECTOS</t>
  </si>
  <si>
    <t>NOMBRE DEL CAPITULO</t>
  </si>
  <si>
    <t>BASE PARA EL 2020</t>
  </si>
  <si>
    <t>PRESTACIONES, SEGURIDAD SOCIAL Y PARAFISCALES AÑOS 2020</t>
  </si>
  <si>
    <t>PLAZO MESES</t>
  </si>
  <si>
    <r>
      <t xml:space="preserve">En el ámbito del riesgo previsible, la estimación consiste en valorar la probabilidad de ocurrencia y el nivel de impacto o severidad de los riesgos que han sido tipificados, y que teniendo en cuenta su materialidad, requieren una valoración.  Por lo tanto la estimación del riesgo se calculara mediante la siguiente formula:
                                                                            </t>
    </r>
    <r>
      <rPr>
        <b/>
        <i/>
        <sz val="10"/>
        <rFont val="Arial"/>
        <family val="2"/>
      </rPr>
      <t>RIESGO = PROBABILIDAD x  SEVERIDAD</t>
    </r>
    <r>
      <rPr>
        <sz val="10"/>
        <rFont val="Arial"/>
        <family val="2"/>
      </rPr>
      <t xml:space="preserve">
Dicha estimación, se realizara teniendo en cuenta los siguientes criterios cualitativos y cuantitativos, para calcular la probabilidad y severidad del riesgo:</t>
    </r>
  </si>
  <si>
    <r>
      <t xml:space="preserve">Numero de horas parálisis operacional / día: </t>
    </r>
    <r>
      <rPr>
        <sz val="11"/>
        <color indexed="8"/>
        <rFont val="Arial"/>
        <family val="2"/>
      </rPr>
      <t xml:space="preserve"> </t>
    </r>
  </si>
  <si>
    <r>
      <t xml:space="preserve">Total en Días 
</t>
    </r>
    <r>
      <rPr>
        <sz val="11"/>
        <color indexed="8"/>
        <rFont val="Arial"/>
        <family val="2"/>
      </rPr>
      <t>(con base en 11 horas)</t>
    </r>
  </si>
  <si>
    <t>Riesgo por Bioseguridad COVID-19</t>
  </si>
  <si>
    <t>N°</t>
  </si>
  <si>
    <t>COEFICIENTE</t>
  </si>
  <si>
    <t>PORCENTAJE TOTAL (%)</t>
  </si>
  <si>
    <t>CONTRIBUCION ESPECIAL LEY 1106</t>
  </si>
  <si>
    <t>ESTAMPILLA UNIVERSIDAD DE ENVIGADO</t>
  </si>
  <si>
    <t>ESTAMPILLA ADULTO MAYOR</t>
  </si>
  <si>
    <t>ESTAMPILLA PRO CULTURA</t>
  </si>
  <si>
    <t>VARIACIÓN ANUAL 2020</t>
  </si>
  <si>
    <t xml:space="preserve">CONCRETO DE 4,500 P.S.I PREMEZCLADO </t>
  </si>
  <si>
    <t>Descripción</t>
  </si>
  <si>
    <t>Unidad</t>
  </si>
  <si>
    <t>Cantidad</t>
  </si>
  <si>
    <t>Precio Unitario</t>
  </si>
  <si>
    <t>Total</t>
  </si>
  <si>
    <t>PÓLIZAS</t>
  </si>
  <si>
    <t>PRODEPORTE Y RECREACIÓN</t>
  </si>
  <si>
    <t>INDUSTRIA Y COMERCIO</t>
  </si>
  <si>
    <t>Revisado por:</t>
  </si>
  <si>
    <t>Visto Bueno:</t>
  </si>
  <si>
    <t>Cargo</t>
  </si>
  <si>
    <t xml:space="preserve">Secretario de Obras Públicas </t>
  </si>
  <si>
    <t>2.1</t>
  </si>
  <si>
    <t xml:space="preserve">VALOR TOTAL DEL PLAN DE GESTION SOCIAL, AMBIENTAL, SISO -(SISOMA)-, PMT </t>
  </si>
  <si>
    <t>Reuniones con comunidad inicio, avance (comité ciudadano de obra) y fin de obra. Esto incluye refrigerio.</t>
  </si>
  <si>
    <t>Edición de volantes e impresión volantes en hoja de tamaño carta para carteleras</t>
  </si>
  <si>
    <t>N/A</t>
  </si>
  <si>
    <t>Acta de espacio público de apertura y cierre</t>
  </si>
  <si>
    <t>Botas</t>
  </si>
  <si>
    <t>Camilla primeros auxilios</t>
  </si>
  <si>
    <t>Extintores ABC 10 lb</t>
  </si>
  <si>
    <t>Kit 3 canecas de 53 litros para disposición de residuos sólidos</t>
  </si>
  <si>
    <t>Bolsas plásticas para residuos peligrosos</t>
  </si>
  <si>
    <t>Kit de Bolsas plásticas para los frentes de obra (residuos ordinarios y reciclables)</t>
  </si>
  <si>
    <t>Humectación vías, incluye transporte diario de caneca de 55 galones con agua para aseo de vía durante el tiempo de ejecución de la obra.</t>
  </si>
  <si>
    <t>Suministro de señal informativa según ficha técnica marcada como "Obra en la vía a 100 m"</t>
  </si>
  <si>
    <t>Suministro de señal informativa "Peatones"</t>
  </si>
  <si>
    <t>Chaleco sencillo reflectivo</t>
  </si>
  <si>
    <t>1.31</t>
  </si>
  <si>
    <t>Pito</t>
  </si>
  <si>
    <t>Elaboración de PMT y su respectivo plano, firmado por un ingeniero especialista en vías.</t>
  </si>
  <si>
    <t xml:space="preserve">Radicación de PMT para permiso de cierre parcial ante la secretaria de movilidad </t>
  </si>
  <si>
    <t>BASE PARA EL 2024</t>
  </si>
  <si>
    <t>VIGENTE 2024</t>
  </si>
  <si>
    <t>REGISTRO DE LLUVIAS AÑO 2023, ENTRE LAS 7:00 a.m. Y LAS 6:00 p.m.</t>
  </si>
  <si>
    <t>Versión: 01</t>
  </si>
  <si>
    <t>Página 1 de 1</t>
  </si>
  <si>
    <t>Ítem</t>
  </si>
  <si>
    <t>SECRETARÍA DE OBRAS PÚBLICAS</t>
  </si>
  <si>
    <t>Transporte, montaje y desmonte de valla informativa de obra de 8 x 4 a full color con estructura y desmonte</t>
  </si>
  <si>
    <t>Publicaciones impresas en periódicos en pagina par, en tamaño cuarto de pagina a blanco y negro con el visto bueno del Área de Comunicaciones</t>
  </si>
  <si>
    <t>PRESUPUESTO
SECRETARÍA DE OBRAS PÚBLICAS
ANEXO No.1</t>
  </si>
  <si>
    <t>Nota: Validar cuales impuestos aplica según la Circular 20240000035 del 28/02/2024 o la que la sustituya.</t>
  </si>
  <si>
    <t xml:space="preserve">VALLA INFORMATIVA </t>
  </si>
  <si>
    <t>CAMPAMENTOS PROVISIONALES EN TELERA</t>
  </si>
  <si>
    <t xml:space="preserve">INSTALACIONES ELÉCTRICAS PROVISIONALES </t>
  </si>
  <si>
    <t xml:space="preserve">INSTALACIONES PROVISIONALES SANITARIAS </t>
  </si>
  <si>
    <t>Código: CC-F-244</t>
  </si>
  <si>
    <t>REVISIÓN Y MANTENIMIENTO PREVENTIVO</t>
  </si>
  <si>
    <t>MANTENIMIENTO CORRECTIVO Y REPUESTOS</t>
  </si>
  <si>
    <t>Tecnico Operativo</t>
  </si>
  <si>
    <t>Oscar Leandro Betancur Arboleda</t>
  </si>
  <si>
    <t>Juan Jose Orozco Valencia</t>
  </si>
  <si>
    <t>Und.</t>
  </si>
  <si>
    <t>PORCENTAJE DE IVA</t>
  </si>
  <si>
    <t>Revisión, mantenimiento preventivo,
correctivo, limpieza y desinfección de tanques de almacenamiento de agua potable entre 1m3 y 20m3 de las Instituciones:
Liceo  la Paz (Barrio la Paz)                                                       Est. de Policia de Envigado (Barrio las Vegas)                                                                                                            CDI el Dorado (Barrio el Dorado).                    CDI Palmas (Vereda Palmas).                                                                                           Casa  de Justicia (Barrio El Salado).                                       Colegio Maria Poussepin (Barrio Uribe Angel).                                                                                    Colegio las Palmas ( Vereda Palmas)                          Colegio Pantanillo (Vereda Pantanillo)                           CDI Las Antillas (Barrio Las Antillas)            CDI Las Cometas (Barrio Uribe Angel)</t>
  </si>
  <si>
    <t xml:space="preserve">Revisión, mantenimiento preventivo,
correctivo, limpieza y desinfección de tanques de almacenamiento de agua potable entre 21m3 y 50m3 de las Instituciones:
Colegio  Comercial (Barrio la Mina)        Colegio Leticia Arango Avendaño (Barrio La Paz)                                                         Colegio Jomar ( Barrio Alcala)                                                                                      Palacio Municipal Jorge Mesa Ramirez (Barrio Zona Centro).                                                                                                                                                                                                                                                                                                                       Casa Diana (Barrio Alto de Misael)  
</t>
  </si>
  <si>
    <t>Mantenimiento correctivo de los tanques de almacenamiento de agua potable y sistemas complementarios en caso de la
ocurerencia de un daño imprevisto o mal funcionamiento, además, los repuestos necesarios para
garantizar el buen funcionamiento en todo
momento.</t>
  </si>
  <si>
    <t xml:space="preserve">Jaime Alexis Orozco Villada </t>
  </si>
  <si>
    <t>23/07/2026</t>
  </si>
  <si>
    <t xml:space="preserve">Revisión, mantenimiento preventivo,
correctivo, limpieza y desinfección de tanques de almacenamiento de agua potable entre 51m3 y 80m3 de las instituciones:
Colegio  Comercial (Barrio la Mina)        Colegio San vicente (Barrio Loma del Barro)  Liceo  la Paz (Barrio la Paz)                    Colegio Leticia Arango Avendaño (Barrio La Paz)                                                                                                                 Colegio  Comercial (Barrio La Mina)                              Colegio Jose Miguel de la Calle (Barrio  Obrero)                                                   Colegio el Salado  (Barrio el Salado)                          Plaza de Mercado ( Barrio Zona Centro)    </t>
  </si>
  <si>
    <t>SUBTOTAL</t>
  </si>
  <si>
    <t>MANTENIMIENTO PREVENTIVO Y CORRECTIVO DE LOS TANQUES DE AGUA PARA LA INFRAESTRUCTURA INSTITUCIONAL SEGÚN REQUERIMIENTO DEL MUNICIPIO DE ENVIGADO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</si>
</sst>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_-;\-&quot;$&quot;* #,##0_-;_-&quot;$&quot;* &quot;-&quot;_-;_-@_-"/>
    <numFmt numFmtId="166" formatCode="_-&quot;$&quot;* #,##0.00_-;\-&quot;$&quot;* #,##0.00_-;_-&quot;$&quot;* &quot;-&quot;??_-;_-@_-"/>
    <numFmt numFmtId="167" formatCode="_(* #,##0_);_(* \(#,##0\);_(* &quot;-&quot;_);_(@_)"/>
    <numFmt numFmtId="168" formatCode="_(&quot;$&quot;\ * #,##0.00_);_(&quot;$&quot;\ * \(#,##0.00\);_(&quot;$&quot;\ * &quot;-&quot;??_);_(@_)"/>
    <numFmt numFmtId="169" formatCode="_(* #,##0.00_);_(* \(#,##0.00\);_(* &quot;-&quot;??_);_(@_)"/>
    <numFmt numFmtId="170" formatCode="[$$-240A]\ #,##0"/>
    <numFmt numFmtId="171" formatCode="_(* #,##0_);_(* \(#,##0\);_(* &quot;-&quot;??_);_(@_)"/>
    <numFmt numFmtId="172" formatCode="&quot;$&quot;\ #,##0"/>
    <numFmt numFmtId="173" formatCode="_ * #,##0_ ;_ * \-#,##0_ ;_ * &quot;-&quot;_ ;_ @_ "/>
    <numFmt numFmtId="174" formatCode="_ * #,##0_ ;_ * \-#,##0_ ;_ * &quot;-&quot;??_ ;_ @_ "/>
    <numFmt numFmtId="175" formatCode="_ * #,##0.00_ ;_ * \-#,##0.00_ ;_ * &quot;-&quot;??_ ;_ @_ "/>
    <numFmt numFmtId="176" formatCode="0.000%"/>
    <numFmt numFmtId="177" formatCode="&quot;$&quot;\ #,##0;[Red]&quot;$&quot;\ \-#,##0"/>
    <numFmt numFmtId="178" formatCode="#,##0.0"/>
    <numFmt numFmtId="179" formatCode="_-&quot;$&quot;* #,##0_-;\-&quot;$&quot;* #,##0_-;_-&quot;$&quot;* &quot;-&quot;??_-;_-@_-"/>
    <numFmt numFmtId="180" formatCode="0.0"/>
    <numFmt numFmtId="181" formatCode="00000"/>
    <numFmt numFmtId="182" formatCode="0.0000%"/>
    <numFmt numFmtId="183" formatCode="_-[$$-80A]* #,##0.00_-;\-[$$-80A]* #,##0.00_-;_-[$$-80A]* &quot;-&quot;??_-;_-@_-"/>
    <numFmt numFmtId="184" formatCode="0.000000000"/>
    <numFmt numFmtId="185" formatCode="_-* #,##0_-;\-* #,##0_-;_-* &quot;-&quot;??_-;_-@_-"/>
    <numFmt numFmtId="186" formatCode="_-* #,##0.0000_-;\-* #,##0.0000_-;_-* &quot;-&quot;_-;_-@_-"/>
    <numFmt numFmtId="187" formatCode="#,##0.00_ ;\-#,##0.00\ "/>
  </numFmts>
  <fonts count="67" x14ac:knownFonts="1">
    <font>
      <sz val="11"/>
      <color theme="1"/>
      <name val="Calibri"/>
      <family val="2"/>
      <scheme val="minor"/>
    </font>
    <font>
      <sz val="11"/>
      <color theme="1"/>
      <name val="Calibri"/>
      <family val="2"/>
      <scheme val="minor"/>
    </font>
    <font>
      <b/>
      <sz val="11"/>
      <color theme="3"/>
      <name val="Calibri"/>
      <family val="2"/>
      <scheme val="minor"/>
    </font>
    <font>
      <sz val="10"/>
      <name val="Arial"/>
      <family val="2"/>
    </font>
    <font>
      <b/>
      <sz val="10"/>
      <name val="Arial"/>
      <family val="2"/>
    </font>
    <font>
      <b/>
      <sz val="9"/>
      <name val="Arial"/>
      <family val="2"/>
    </font>
    <font>
      <sz val="11"/>
      <color indexed="8"/>
      <name val="Calibri"/>
      <family val="2"/>
    </font>
    <font>
      <sz val="8"/>
      <name val="Arial"/>
      <family val="2"/>
    </font>
    <font>
      <b/>
      <sz val="11"/>
      <name val="Arial"/>
      <family val="2"/>
    </font>
    <font>
      <b/>
      <sz val="10"/>
      <color indexed="9"/>
      <name val="Arial"/>
      <family val="2"/>
    </font>
    <font>
      <b/>
      <sz val="18"/>
      <name val="Arial"/>
      <family val="2"/>
    </font>
    <font>
      <b/>
      <sz val="10"/>
      <color theme="0"/>
      <name val="Arial"/>
      <family val="2"/>
    </font>
    <font>
      <b/>
      <sz val="8"/>
      <name val="Arial"/>
      <family val="2"/>
    </font>
    <font>
      <b/>
      <sz val="14"/>
      <name val="Arial"/>
      <family val="2"/>
    </font>
    <font>
      <sz val="9"/>
      <name val="Arial"/>
      <family val="2"/>
    </font>
    <font>
      <b/>
      <sz val="14"/>
      <color indexed="63"/>
      <name val="Verdana"/>
      <family val="2"/>
    </font>
    <font>
      <sz val="10"/>
      <color indexed="63"/>
      <name val="Verdana"/>
      <family val="2"/>
    </font>
    <font>
      <sz val="10"/>
      <name val="Verdana"/>
      <family val="2"/>
    </font>
    <font>
      <b/>
      <sz val="12"/>
      <color indexed="63"/>
      <name val="Verdana"/>
      <family val="2"/>
    </font>
    <font>
      <b/>
      <sz val="10"/>
      <color indexed="63"/>
      <name val="Verdana"/>
      <family val="2"/>
    </font>
    <font>
      <b/>
      <sz val="11"/>
      <color theme="1"/>
      <name val="Calibri"/>
      <family val="2"/>
      <scheme val="minor"/>
    </font>
    <font>
      <sz val="10"/>
      <color theme="1"/>
      <name val="Arial"/>
      <family val="2"/>
    </font>
    <font>
      <b/>
      <sz val="10"/>
      <color theme="3"/>
      <name val="Calibri"/>
      <family val="2"/>
      <scheme val="minor"/>
    </font>
    <font>
      <b/>
      <sz val="10"/>
      <color theme="1"/>
      <name val="Arial"/>
      <family val="2"/>
    </font>
    <font>
      <b/>
      <sz val="11"/>
      <color theme="1"/>
      <name val="Arial"/>
      <family val="2"/>
    </font>
    <font>
      <sz val="9"/>
      <color theme="1"/>
      <name val="Arial"/>
      <family val="2"/>
    </font>
    <font>
      <sz val="9"/>
      <color theme="1"/>
      <name val="Calibri"/>
      <family val="2"/>
      <scheme val="minor"/>
    </font>
    <font>
      <b/>
      <sz val="9"/>
      <color theme="1"/>
      <name val="Arial"/>
      <family val="2"/>
    </font>
    <font>
      <sz val="11"/>
      <color rgb="FF000000"/>
      <name val="Calibri"/>
      <family val="2"/>
    </font>
    <font>
      <b/>
      <sz val="12"/>
      <name val="Arial"/>
      <family val="2"/>
    </font>
    <font>
      <sz val="11"/>
      <color rgb="FF000000"/>
      <name val="Calibri"/>
      <family val="2"/>
      <charset val="204"/>
    </font>
    <font>
      <sz val="11"/>
      <name val="Arial"/>
      <family val="2"/>
    </font>
    <font>
      <b/>
      <sz val="10"/>
      <color indexed="9"/>
      <name val="Arial Black"/>
      <family val="2"/>
    </font>
    <font>
      <b/>
      <sz val="10"/>
      <name val="Arial Black"/>
      <family val="2"/>
    </font>
    <font>
      <b/>
      <sz val="10"/>
      <color theme="0"/>
      <name val="Arial Black"/>
      <family val="2"/>
    </font>
    <font>
      <b/>
      <sz val="9"/>
      <name val="Arial Black"/>
      <family val="2"/>
    </font>
    <font>
      <b/>
      <sz val="8"/>
      <color indexed="9"/>
      <name val="Arial"/>
      <family val="2"/>
    </font>
    <font>
      <sz val="8"/>
      <color indexed="9"/>
      <name val="Arial"/>
      <family val="2"/>
    </font>
    <font>
      <b/>
      <sz val="8"/>
      <name val="Arial Black"/>
      <family val="2"/>
    </font>
    <font>
      <sz val="20"/>
      <color indexed="10"/>
      <name val="Arial"/>
      <family val="2"/>
    </font>
    <font>
      <b/>
      <sz val="11"/>
      <color indexed="12"/>
      <name val="Arial"/>
      <family val="2"/>
    </font>
    <font>
      <b/>
      <sz val="16"/>
      <name val="Arial Black"/>
      <family val="2"/>
    </font>
    <font>
      <b/>
      <sz val="11"/>
      <color theme="0"/>
      <name val="Arial"/>
      <family val="2"/>
    </font>
    <font>
      <b/>
      <sz val="12"/>
      <color theme="0"/>
      <name val="Arial"/>
      <family val="2"/>
    </font>
    <font>
      <sz val="20"/>
      <color theme="0"/>
      <name val="Calibri"/>
      <family val="2"/>
      <scheme val="minor"/>
    </font>
    <font>
      <sz val="11"/>
      <color theme="1"/>
      <name val="Arial"/>
      <family val="2"/>
    </font>
    <font>
      <b/>
      <sz val="11"/>
      <color indexed="63"/>
      <name val="Arial"/>
      <family val="2"/>
    </font>
    <font>
      <sz val="11"/>
      <color indexed="63"/>
      <name val="Arial"/>
      <family val="2"/>
    </font>
    <font>
      <sz val="12"/>
      <name val="Arial"/>
      <family val="2"/>
    </font>
    <font>
      <sz val="12"/>
      <color theme="0"/>
      <name val="Arial"/>
      <family val="2"/>
    </font>
    <font>
      <b/>
      <sz val="11"/>
      <color rgb="FF00B050"/>
      <name val="Arial"/>
      <family val="2"/>
    </font>
    <font>
      <b/>
      <i/>
      <sz val="10"/>
      <name val="Arial"/>
      <family val="2"/>
    </font>
    <font>
      <sz val="11"/>
      <color theme="0"/>
      <name val="Arial"/>
      <family val="2"/>
    </font>
    <font>
      <sz val="11"/>
      <color indexed="8"/>
      <name val="Arial"/>
      <family val="2"/>
    </font>
    <font>
      <sz val="11"/>
      <name val="Broadway"/>
      <family val="5"/>
    </font>
    <font>
      <sz val="10"/>
      <color theme="1"/>
      <name val="Arial Narrow"/>
      <family val="2"/>
    </font>
    <font>
      <b/>
      <sz val="10"/>
      <color indexed="8"/>
      <name val="Arial Narrow"/>
      <family val="2"/>
    </font>
    <font>
      <b/>
      <sz val="9"/>
      <color indexed="8"/>
      <name val="Arial"/>
      <family val="2"/>
    </font>
    <font>
      <b/>
      <sz val="10"/>
      <name val="Arial Narrow"/>
      <family val="2"/>
    </font>
    <font>
      <b/>
      <sz val="9"/>
      <color theme="0"/>
      <name val="Arial"/>
      <family val="2"/>
    </font>
    <font>
      <b/>
      <sz val="10"/>
      <color theme="0"/>
      <name val="Arial Narrow"/>
      <family val="2"/>
    </font>
    <font>
      <b/>
      <sz val="11"/>
      <color theme="0"/>
      <name val="Arial Narrow"/>
      <family val="2"/>
    </font>
    <font>
      <sz val="11"/>
      <color theme="1"/>
      <name val="Calibri"/>
      <family val="2"/>
      <scheme val="minor"/>
    </font>
    <font>
      <sz val="9"/>
      <color theme="1"/>
      <name val="Arial"/>
      <family val="2"/>
    </font>
    <font>
      <sz val="9"/>
      <name val="Arial"/>
      <family val="2"/>
    </font>
    <font>
      <sz val="10"/>
      <name val="Arial"/>
      <family val="2"/>
    </font>
    <font>
      <u/>
      <sz val="10"/>
      <color indexed="12"/>
      <name val="Arial"/>
      <family val="2"/>
    </font>
  </fonts>
  <fills count="43">
    <fill>
      <patternFill patternType="none"/>
    </fill>
    <fill>
      <patternFill patternType="gray125"/>
    </fill>
    <fill>
      <patternFill patternType="solid">
        <fgColor theme="3"/>
        <bgColor indexed="64"/>
      </patternFill>
    </fill>
    <fill>
      <patternFill patternType="solid">
        <fgColor theme="8" tint="0.39997558519241921"/>
        <bgColor indexed="64"/>
      </patternFill>
    </fill>
    <fill>
      <patternFill patternType="solid">
        <fgColor indexed="63"/>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indexed="55"/>
        <bgColor indexed="64"/>
      </patternFill>
    </fill>
    <fill>
      <patternFill patternType="solid">
        <fgColor rgb="FF92D050"/>
        <bgColor indexed="64"/>
      </patternFill>
    </fill>
    <fill>
      <patternFill patternType="solid">
        <fgColor theme="0" tint="-0.49998474074526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indexed="13"/>
        <bgColor indexed="64"/>
      </patternFill>
    </fill>
    <fill>
      <patternFill patternType="solid">
        <fgColor indexed="10"/>
        <bgColor indexed="64"/>
      </patternFill>
    </fill>
    <fill>
      <patternFill patternType="solid">
        <fgColor indexed="57"/>
        <bgColor indexed="64"/>
      </patternFill>
    </fill>
    <fill>
      <gradientFill degree="135">
        <stop position="0">
          <color rgb="FFFFFF00"/>
        </stop>
        <stop position="1">
          <color rgb="FF339966"/>
        </stop>
      </gradientFill>
    </fill>
    <fill>
      <patternFill patternType="solid">
        <fgColor indexed="51"/>
        <bgColor indexed="64"/>
      </patternFill>
    </fill>
    <fill>
      <patternFill patternType="solid">
        <fgColor indexed="22"/>
        <bgColor indexed="64"/>
      </patternFill>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theme="8" tint="-0.249977111117893"/>
        <bgColor indexed="64"/>
      </patternFill>
    </fill>
    <fill>
      <patternFill patternType="solid">
        <fgColor theme="1" tint="0.14999847407452621"/>
        <bgColor indexed="64"/>
      </patternFill>
    </fill>
    <fill>
      <patternFill patternType="solid">
        <fgColor theme="7" tint="-0.249977111117893"/>
        <bgColor indexed="64"/>
      </patternFill>
    </fill>
    <fill>
      <patternFill patternType="solid">
        <fgColor theme="9" tint="-0.249977111117893"/>
        <bgColor indexed="64"/>
      </patternFill>
    </fill>
    <fill>
      <patternFill patternType="solid">
        <fgColor theme="1"/>
        <bgColor indexed="64"/>
      </patternFill>
    </fill>
    <fill>
      <patternFill patternType="solid">
        <fgColor theme="1" tint="0.249977111117893"/>
        <bgColor indexed="64"/>
      </patternFill>
    </fill>
  </fills>
  <borders count="7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bottom style="medium">
        <color auto="1"/>
      </bottom>
      <diagonal/>
    </border>
    <border>
      <left style="thin">
        <color auto="1"/>
      </left>
      <right/>
      <top style="medium">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thin">
        <color auto="1"/>
      </left>
      <right style="medium">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auto="1"/>
      </left>
      <right style="thin">
        <color auto="1"/>
      </right>
      <top/>
      <bottom/>
      <diagonal/>
    </border>
    <border>
      <left/>
      <right style="thin">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72">
    <xf numFmtId="0" fontId="0" fillId="0" borderId="0"/>
    <xf numFmtId="9" fontId="1" fillId="0" borderId="0" applyFont="0" applyFill="0" applyBorder="0" applyAlignment="0" applyProtection="0"/>
    <xf numFmtId="164" fontId="3" fillId="0" borderId="0" applyFont="0" applyFill="0" applyBorder="0" applyAlignment="0" applyProtection="0"/>
    <xf numFmtId="41" fontId="1"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9" fontId="3" fillId="0" borderId="0" applyFont="0" applyFill="0" applyBorder="0" applyAlignment="0" applyProtection="0"/>
    <xf numFmtId="41" fontId="3" fillId="0" borderId="0" applyFont="0" applyFill="0" applyBorder="0" applyAlignment="0" applyProtection="0"/>
    <xf numFmtId="174" fontId="3" fillId="0" borderId="0" applyFont="0" applyFill="0" applyBorder="0" applyAlignment="0" applyProtection="0"/>
    <xf numFmtId="9" fontId="3" fillId="0" borderId="0" applyFont="0" applyFill="0" applyBorder="0" applyAlignment="0" applyProtection="0"/>
    <xf numFmtId="175"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9" fontId="3" fillId="0" borderId="0" applyFont="0" applyFill="0" applyBorder="0" applyAlignment="0" applyProtection="0"/>
    <xf numFmtId="170" fontId="1" fillId="0" borderId="0" applyFont="0" applyFill="0" applyBorder="0" applyAlignment="0" applyProtection="0"/>
    <xf numFmtId="0" fontId="3" fillId="0" borderId="0" applyNumberFormat="0" applyFont="0" applyFill="0" applyBorder="0" applyAlignment="0" applyProtection="0">
      <alignment vertical="top"/>
    </xf>
    <xf numFmtId="0" fontId="3" fillId="0" borderId="0"/>
    <xf numFmtId="0" fontId="3" fillId="0" borderId="0"/>
    <xf numFmtId="0" fontId="3" fillId="0" borderId="0" applyNumberFormat="0" applyFont="0" applyFill="0" applyBorder="0" applyAlignment="0" applyProtection="0">
      <alignment vertical="top"/>
    </xf>
    <xf numFmtId="0" fontId="3" fillId="0" borderId="0"/>
    <xf numFmtId="168"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0" fontId="1" fillId="0" borderId="0"/>
    <xf numFmtId="168" fontId="3" fillId="0" borderId="0" applyFont="0" applyFill="0" applyBorder="0" applyAlignment="0" applyProtection="0"/>
    <xf numFmtId="0" fontId="28" fillId="0" borderId="0" applyNumberFormat="0" applyBorder="0" applyAlignment="0"/>
    <xf numFmtId="168" fontId="3" fillId="0" borderId="0" applyFont="0" applyFill="0" applyBorder="0" applyAlignment="0" applyProtection="0"/>
    <xf numFmtId="165" fontId="28"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0" fontId="3" fillId="0" borderId="0"/>
    <xf numFmtId="42" fontId="1" fillId="0" borderId="0" applyFont="0" applyFill="0" applyBorder="0" applyAlignment="0" applyProtection="0"/>
    <xf numFmtId="0" fontId="3" fillId="0" borderId="0"/>
    <xf numFmtId="0" fontId="1" fillId="0" borderId="0"/>
    <xf numFmtId="169" fontId="1" fillId="0" borderId="0" applyFont="0" applyFill="0" applyBorder="0" applyAlignment="0" applyProtection="0"/>
    <xf numFmtId="165" fontId="30" fillId="0" borderId="0" applyFont="0" applyFill="0" applyBorder="0" applyAlignment="0" applyProtection="0"/>
    <xf numFmtId="0" fontId="1" fillId="0" borderId="0"/>
    <xf numFmtId="0" fontId="3" fillId="0" borderId="0"/>
    <xf numFmtId="0" fontId="3" fillId="0" borderId="0"/>
    <xf numFmtId="166" fontId="1" fillId="0" borderId="0" applyFont="0" applyFill="0" applyBorder="0" applyAlignment="0" applyProtection="0"/>
    <xf numFmtId="0" fontId="31" fillId="0" borderId="0"/>
    <xf numFmtId="171" fontId="31" fillId="0" borderId="0" applyFont="0" applyFill="0" applyBorder="0" applyAlignment="0" applyProtection="0"/>
    <xf numFmtId="0" fontId="31" fillId="0" borderId="0"/>
    <xf numFmtId="167" fontId="3" fillId="0" borderId="0" applyFont="0" applyFill="0" applyBorder="0" applyAlignment="0" applyProtection="0"/>
    <xf numFmtId="168" fontId="1" fillId="0" borderId="0" applyFont="0" applyFill="0" applyBorder="0" applyAlignment="0" applyProtection="0"/>
    <xf numFmtId="41" fontId="1" fillId="0" borderId="0" applyFont="0" applyFill="0" applyBorder="0" applyAlignment="0" applyProtection="0"/>
    <xf numFmtId="0" fontId="62" fillId="0" borderId="0"/>
    <xf numFmtId="0" fontId="65" fillId="0" borderId="0"/>
    <xf numFmtId="43" fontId="62" fillId="0" borderId="0" applyFont="0" applyFill="0" applyBorder="0" applyAlignment="0" applyProtection="0"/>
    <xf numFmtId="0" fontId="66" fillId="0" borderId="0" applyNumberFormat="0" applyFill="0" applyBorder="0" applyAlignment="0" applyProtection="0">
      <alignment vertical="top"/>
      <protection locked="0"/>
    </xf>
  </cellStyleXfs>
  <cellXfs count="1233">
    <xf numFmtId="0" fontId="0" fillId="0" borderId="0" xfId="0"/>
    <xf numFmtId="0" fontId="0" fillId="0" borderId="0" xfId="0" applyAlignment="1">
      <alignment wrapText="1"/>
    </xf>
    <xf numFmtId="0" fontId="3" fillId="0" borderId="1" xfId="8" applyBorder="1"/>
    <xf numFmtId="49" fontId="9" fillId="4" borderId="1" xfId="8" applyNumberFormat="1" applyFont="1" applyFill="1" applyBorder="1" applyAlignment="1">
      <alignment horizontal="center" vertical="center" wrapText="1"/>
    </xf>
    <xf numFmtId="0" fontId="9" fillId="4" borderId="1" xfId="8" applyFont="1" applyFill="1" applyBorder="1" applyAlignment="1">
      <alignment horizontal="center" vertical="center" wrapText="1"/>
    </xf>
    <xf numFmtId="49" fontId="0" fillId="0" borderId="7" xfId="0" applyNumberFormat="1" applyBorder="1" applyProtection="1">
      <protection locked="0"/>
    </xf>
    <xf numFmtId="0" fontId="0" fillId="0" borderId="8" xfId="0" applyBorder="1" applyProtection="1">
      <protection locked="0"/>
    </xf>
    <xf numFmtId="49" fontId="4" fillId="0" borderId="4" xfId="0" applyNumberFormat="1" applyFont="1" applyBorder="1" applyProtection="1">
      <protection locked="0"/>
    </xf>
    <xf numFmtId="49" fontId="4" fillId="0" borderId="6" xfId="0" applyNumberFormat="1" applyFont="1" applyBorder="1" applyProtection="1">
      <protection locked="0"/>
    </xf>
    <xf numFmtId="49" fontId="4" fillId="0" borderId="7" xfId="0" applyNumberFormat="1" applyFont="1" applyBorder="1" applyProtection="1">
      <protection locked="0"/>
    </xf>
    <xf numFmtId="49" fontId="4" fillId="0" borderId="8" xfId="0" applyNumberFormat="1" applyFont="1" applyBorder="1" applyProtection="1">
      <protection locked="0"/>
    </xf>
    <xf numFmtId="49" fontId="0" fillId="0" borderId="2" xfId="0" applyNumberFormat="1" applyBorder="1" applyProtection="1">
      <protection locked="0"/>
    </xf>
    <xf numFmtId="49" fontId="0" fillId="0" borderId="3" xfId="0" applyNumberFormat="1" applyBorder="1" applyProtection="1">
      <protection locked="0"/>
    </xf>
    <xf numFmtId="49" fontId="0" fillId="0" borderId="4" xfId="0" applyNumberFormat="1" applyBorder="1" applyProtection="1">
      <protection locked="0"/>
    </xf>
    <xf numFmtId="14" fontId="0" fillId="0" borderId="6" xfId="0" applyNumberFormat="1" applyBorder="1" applyProtection="1">
      <protection locked="0"/>
    </xf>
    <xf numFmtId="0" fontId="3" fillId="0" borderId="0" xfId="8"/>
    <xf numFmtId="0" fontId="3" fillId="0" borderId="9" xfId="8" applyBorder="1" applyProtection="1">
      <protection locked="0"/>
    </xf>
    <xf numFmtId="0" fontId="3" fillId="0" borderId="8" xfId="8" applyBorder="1" applyProtection="1">
      <protection locked="0"/>
    </xf>
    <xf numFmtId="49" fontId="3" fillId="0" borderId="2" xfId="8" applyNumberFormat="1" applyBorder="1" applyProtection="1">
      <protection locked="0"/>
    </xf>
    <xf numFmtId="49" fontId="3" fillId="0" borderId="0" xfId="8" applyNumberFormat="1" applyProtection="1">
      <protection locked="0"/>
    </xf>
    <xf numFmtId="0" fontId="15" fillId="0" borderId="0" xfId="8" applyFont="1"/>
    <xf numFmtId="0" fontId="16" fillId="0" borderId="0" xfId="8" applyFont="1"/>
    <xf numFmtId="0" fontId="17" fillId="0" borderId="0" xfId="8" applyFont="1"/>
    <xf numFmtId="0" fontId="18" fillId="0" borderId="0" xfId="8" applyFont="1"/>
    <xf numFmtId="0" fontId="16" fillId="0" borderId="1" xfId="8" applyFont="1" applyBorder="1" applyAlignment="1">
      <alignment wrapText="1"/>
    </xf>
    <xf numFmtId="0" fontId="16" fillId="0" borderId="0" xfId="8" applyFont="1" applyAlignment="1">
      <alignment wrapText="1"/>
    </xf>
    <xf numFmtId="10" fontId="16" fillId="0" borderId="1" xfId="8" applyNumberFormat="1" applyFont="1" applyBorder="1"/>
    <xf numFmtId="10" fontId="16" fillId="0" borderId="1" xfId="20" applyNumberFormat="1" applyFont="1" applyBorder="1"/>
    <xf numFmtId="10" fontId="19" fillId="0" borderId="1" xfId="8" applyNumberFormat="1" applyFont="1" applyBorder="1"/>
    <xf numFmtId="10" fontId="17" fillId="0" borderId="0" xfId="8" applyNumberFormat="1" applyFont="1"/>
    <xf numFmtId="10" fontId="16" fillId="0" borderId="0" xfId="8" applyNumberFormat="1" applyFont="1"/>
    <xf numFmtId="10" fontId="16" fillId="0" borderId="1" xfId="8" applyNumberFormat="1" applyFont="1" applyBorder="1" applyAlignment="1">
      <alignment wrapText="1"/>
    </xf>
    <xf numFmtId="0" fontId="16" fillId="0" borderId="1" xfId="8" applyFont="1" applyBorder="1"/>
    <xf numFmtId="177" fontId="16" fillId="0" borderId="1" xfId="8" applyNumberFormat="1" applyFont="1" applyBorder="1"/>
    <xf numFmtId="9" fontId="19" fillId="0" borderId="0" xfId="19" applyFont="1"/>
    <xf numFmtId="177" fontId="16" fillId="0" borderId="0" xfId="8" applyNumberFormat="1" applyFont="1"/>
    <xf numFmtId="177" fontId="19" fillId="0" borderId="1" xfId="8" applyNumberFormat="1" applyFont="1" applyBorder="1" applyAlignment="1">
      <alignment horizontal="center" vertical="center" wrapText="1"/>
    </xf>
    <xf numFmtId="3" fontId="19" fillId="0" borderId="1" xfId="8" applyNumberFormat="1" applyFont="1" applyBorder="1" applyAlignment="1">
      <alignment horizontal="center" vertical="center" wrapText="1"/>
    </xf>
    <xf numFmtId="10" fontId="16" fillId="0" borderId="1" xfId="19" applyNumberFormat="1" applyFont="1" applyBorder="1"/>
    <xf numFmtId="170" fontId="16" fillId="0" borderId="1" xfId="8" applyNumberFormat="1" applyFont="1" applyBorder="1"/>
    <xf numFmtId="10" fontId="16" fillId="0" borderId="1" xfId="19" applyNumberFormat="1" applyFont="1" applyFill="1" applyBorder="1"/>
    <xf numFmtId="9" fontId="16" fillId="0" borderId="1" xfId="19" applyFont="1" applyFill="1" applyBorder="1"/>
    <xf numFmtId="49" fontId="3" fillId="0" borderId="2" xfId="8" applyNumberFormat="1" applyBorder="1" applyAlignment="1">
      <alignment horizontal="center"/>
    </xf>
    <xf numFmtId="49" fontId="3" fillId="0" borderId="0" xfId="8" applyNumberFormat="1" applyAlignment="1">
      <alignment horizontal="center"/>
    </xf>
    <xf numFmtId="49" fontId="3" fillId="0" borderId="4" xfId="8" applyNumberFormat="1" applyBorder="1" applyAlignment="1">
      <alignment horizontal="center"/>
    </xf>
    <xf numFmtId="49" fontId="3" fillId="0" borderId="5" xfId="8" applyNumberFormat="1" applyBorder="1" applyAlignment="1">
      <alignment horizontal="center"/>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wrapText="1"/>
    </xf>
    <xf numFmtId="172" fontId="2" fillId="3" borderId="1" xfId="0" applyNumberFormat="1" applyFont="1" applyFill="1" applyBorder="1" applyAlignment="1">
      <alignment wrapText="1"/>
    </xf>
    <xf numFmtId="172" fontId="11" fillId="2" borderId="1" xfId="0" applyNumberFormat="1" applyFont="1" applyFill="1" applyBorder="1" applyAlignment="1">
      <alignment horizontal="center"/>
    </xf>
    <xf numFmtId="10" fontId="11" fillId="2" borderId="1" xfId="0" applyNumberFormat="1" applyFont="1" applyFill="1" applyBorder="1" applyAlignment="1">
      <alignment horizontal="center"/>
    </xf>
    <xf numFmtId="172" fontId="0" fillId="0" borderId="0" xfId="0" applyNumberFormat="1"/>
    <xf numFmtId="0" fontId="17" fillId="0" borderId="1" xfId="8" applyFont="1" applyBorder="1"/>
    <xf numFmtId="1" fontId="22" fillId="3" borderId="1" xfId="0" applyNumberFormat="1" applyFont="1" applyFill="1" applyBorder="1" applyAlignment="1">
      <alignment wrapText="1"/>
    </xf>
    <xf numFmtId="1" fontId="2" fillId="3" borderId="12" xfId="0" applyNumberFormat="1" applyFont="1" applyFill="1" applyBorder="1" applyAlignment="1">
      <alignment wrapText="1"/>
    </xf>
    <xf numFmtId="0" fontId="20" fillId="0" borderId="0" xfId="0" applyFont="1"/>
    <xf numFmtId="0" fontId="0" fillId="0" borderId="18" xfId="0" applyBorder="1"/>
    <xf numFmtId="0" fontId="0" fillId="0" borderId="19" xfId="0" applyBorder="1"/>
    <xf numFmtId="0" fontId="0" fillId="0" borderId="13" xfId="0" applyBorder="1"/>
    <xf numFmtId="0" fontId="0" fillId="0" borderId="22" xfId="0" applyBorder="1"/>
    <xf numFmtId="0" fontId="0" fillId="0" borderId="23" xfId="0" applyBorder="1"/>
    <xf numFmtId="0" fontId="0" fillId="0" borderId="14" xfId="0" applyBorder="1"/>
    <xf numFmtId="166" fontId="0" fillId="0" borderId="0" xfId="44" applyFont="1"/>
    <xf numFmtId="43" fontId="0" fillId="0" borderId="0" xfId="43" applyFont="1"/>
    <xf numFmtId="43" fontId="0" fillId="0" borderId="0" xfId="0" applyNumberFormat="1"/>
    <xf numFmtId="0" fontId="0" fillId="7" borderId="0" xfId="0" applyFill="1"/>
    <xf numFmtId="0" fontId="23" fillId="0" borderId="55" xfId="0" applyFont="1" applyBorder="1" applyAlignment="1">
      <alignment horizontal="center"/>
    </xf>
    <xf numFmtId="0" fontId="23" fillId="0" borderId="17" xfId="0" applyFont="1" applyBorder="1" applyAlignment="1">
      <alignment horizontal="center"/>
    </xf>
    <xf numFmtId="0" fontId="23" fillId="6" borderId="1" xfId="0" applyFont="1" applyFill="1" applyBorder="1" applyAlignment="1">
      <alignment horizontal="center"/>
    </xf>
    <xf numFmtId="0" fontId="25" fillId="6" borderId="7" xfId="0" applyFont="1" applyFill="1" applyBorder="1"/>
    <xf numFmtId="0" fontId="25" fillId="6" borderId="8" xfId="0" applyFont="1" applyFill="1" applyBorder="1"/>
    <xf numFmtId="0" fontId="25" fillId="6" borderId="16" xfId="0" applyFont="1" applyFill="1" applyBorder="1" applyAlignment="1">
      <alignment horizontal="center"/>
    </xf>
    <xf numFmtId="0" fontId="25" fillId="6" borderId="2" xfId="0" applyFont="1" applyFill="1" applyBorder="1"/>
    <xf numFmtId="0" fontId="25" fillId="6" borderId="55" xfId="0" applyFont="1" applyFill="1" applyBorder="1" applyAlignment="1">
      <alignment horizontal="center"/>
    </xf>
    <xf numFmtId="0" fontId="25" fillId="6" borderId="17" xfId="0" applyFont="1" applyFill="1" applyBorder="1" applyAlignment="1">
      <alignment horizontal="center"/>
    </xf>
    <xf numFmtId="0" fontId="0" fillId="6" borderId="3" xfId="0" applyFill="1" applyBorder="1"/>
    <xf numFmtId="0" fontId="26" fillId="6" borderId="8" xfId="0" applyFont="1" applyFill="1" applyBorder="1"/>
    <xf numFmtId="0" fontId="23" fillId="6" borderId="16" xfId="0" applyFont="1" applyFill="1" applyBorder="1" applyAlignment="1">
      <alignment horizontal="center"/>
    </xf>
    <xf numFmtId="0" fontId="23" fillId="6" borderId="55" xfId="0" applyFont="1" applyFill="1" applyBorder="1" applyAlignment="1">
      <alignment horizontal="center"/>
    </xf>
    <xf numFmtId="0" fontId="1" fillId="0" borderId="0" xfId="58"/>
    <xf numFmtId="49" fontId="1" fillId="0" borderId="0" xfId="58" applyNumberFormat="1" applyProtection="1">
      <protection locked="0"/>
    </xf>
    <xf numFmtId="0" fontId="5" fillId="0" borderId="0" xfId="10" applyFont="1" applyAlignment="1" applyProtection="1">
      <alignment vertical="center" wrapText="1"/>
      <protection locked="0"/>
    </xf>
    <xf numFmtId="0" fontId="5" fillId="0" borderId="0" xfId="10" applyFont="1" applyAlignment="1" applyProtection="1">
      <alignment horizontal="center" vertical="center" wrapText="1"/>
      <protection locked="0"/>
    </xf>
    <xf numFmtId="10" fontId="5" fillId="0" borderId="0" xfId="10" applyNumberFormat="1" applyFont="1" applyAlignment="1" applyProtection="1">
      <alignment horizontal="center" vertical="center" wrapText="1"/>
      <protection locked="0"/>
    </xf>
    <xf numFmtId="0" fontId="14" fillId="0" borderId="0" xfId="10" applyFont="1" applyAlignment="1" applyProtection="1">
      <alignment horizontal="center" vertical="center" wrapText="1"/>
      <protection locked="0"/>
    </xf>
    <xf numFmtId="10" fontId="14" fillId="0" borderId="0" xfId="10" applyNumberFormat="1" applyFont="1" applyAlignment="1" applyProtection="1">
      <alignment horizontal="center" vertical="center" wrapText="1"/>
      <protection locked="0"/>
    </xf>
    <xf numFmtId="0" fontId="5" fillId="0" borderId="0" xfId="10" applyFont="1" applyAlignment="1" applyProtection="1">
      <alignment horizontal="left" vertical="center" wrapText="1"/>
      <protection locked="0"/>
    </xf>
    <xf numFmtId="49" fontId="0" fillId="0" borderId="0" xfId="0" applyNumberFormat="1" applyProtection="1">
      <protection locked="0"/>
    </xf>
    <xf numFmtId="0" fontId="4" fillId="0" borderId="7" xfId="8" applyFont="1" applyBorder="1" applyProtection="1">
      <protection locked="0"/>
    </xf>
    <xf numFmtId="0" fontId="5" fillId="0" borderId="0" xfId="8" applyFont="1" applyAlignment="1" applyProtection="1">
      <alignment vertical="center" wrapText="1"/>
      <protection locked="0"/>
    </xf>
    <xf numFmtId="0" fontId="5" fillId="0" borderId="0" xfId="8" applyFont="1" applyAlignment="1" applyProtection="1">
      <alignment horizontal="center" vertical="center" wrapText="1"/>
      <protection locked="0"/>
    </xf>
    <xf numFmtId="0" fontId="4" fillId="0" borderId="24" xfId="8" applyFont="1" applyBorder="1" applyAlignment="1" applyProtection="1">
      <alignment vertical="center"/>
      <protection locked="0"/>
    </xf>
    <xf numFmtId="0" fontId="3" fillId="0" borderId="0" xfId="8" applyAlignment="1">
      <alignment horizontal="left"/>
    </xf>
    <xf numFmtId="0" fontId="5" fillId="0" borderId="0" xfId="8" applyFont="1" applyAlignment="1">
      <alignment vertical="center" wrapText="1"/>
    </xf>
    <xf numFmtId="10" fontId="5" fillId="0" borderId="0" xfId="8" applyNumberFormat="1" applyFont="1" applyAlignment="1" applyProtection="1">
      <alignment horizontal="center" vertical="center" wrapText="1"/>
      <protection locked="0"/>
    </xf>
    <xf numFmtId="0" fontId="7" fillId="0" borderId="0" xfId="8" applyFont="1"/>
    <xf numFmtId="0" fontId="4" fillId="9" borderId="1" xfId="62" applyFont="1" applyFill="1" applyBorder="1" applyAlignment="1">
      <alignment horizontal="center" vertical="center" wrapText="1"/>
    </xf>
    <xf numFmtId="3" fontId="33" fillId="0" borderId="1" xfId="63" applyNumberFormat="1" applyFont="1" applyFill="1" applyBorder="1" applyAlignment="1">
      <alignment horizontal="center" vertical="center" wrapText="1"/>
    </xf>
    <xf numFmtId="0" fontId="3" fillId="0" borderId="1" xfId="62" applyFont="1" applyBorder="1" applyAlignment="1">
      <alignment horizontal="center" vertical="center"/>
    </xf>
    <xf numFmtId="0" fontId="7" fillId="0" borderId="0" xfId="64" applyFont="1"/>
    <xf numFmtId="0" fontId="3" fillId="0" borderId="1" xfId="62" applyFont="1" applyBorder="1" applyAlignment="1">
      <alignment horizontal="center" vertical="center" wrapText="1"/>
    </xf>
    <xf numFmtId="1" fontId="35" fillId="0" borderId="1" xfId="64" applyNumberFormat="1" applyFont="1" applyBorder="1" applyAlignment="1">
      <alignment horizontal="center" vertical="center" textRotation="90" wrapText="1"/>
    </xf>
    <xf numFmtId="0" fontId="12" fillId="0" borderId="1" xfId="64" applyFont="1" applyBorder="1" applyAlignment="1">
      <alignment horizontal="center" vertical="center"/>
    </xf>
    <xf numFmtId="3" fontId="12" fillId="28" borderId="1" xfId="65" applyNumberFormat="1" applyFont="1" applyFill="1" applyBorder="1" applyAlignment="1">
      <alignment horizontal="center" vertical="center" wrapText="1" shrinkToFit="1"/>
    </xf>
    <xf numFmtId="3" fontId="36" fillId="29" borderId="1" xfId="65" applyNumberFormat="1" applyFont="1" applyFill="1" applyBorder="1" applyAlignment="1">
      <alignment horizontal="center" vertical="center" wrapText="1" shrinkToFit="1"/>
    </xf>
    <xf numFmtId="3" fontId="36" fillId="30" borderId="1" xfId="65" applyNumberFormat="1" applyFont="1" applyFill="1" applyBorder="1" applyAlignment="1">
      <alignment horizontal="center" vertical="center" wrapText="1" shrinkToFit="1"/>
    </xf>
    <xf numFmtId="4" fontId="36" fillId="30" borderId="1" xfId="65" applyNumberFormat="1" applyFont="1" applyFill="1" applyBorder="1" applyAlignment="1">
      <alignment horizontal="center" vertical="center" wrapText="1" shrinkToFit="1"/>
    </xf>
    <xf numFmtId="4" fontId="36" fillId="31" borderId="1" xfId="65" applyNumberFormat="1" applyFont="1" applyFill="1" applyBorder="1" applyAlignment="1">
      <alignment horizontal="center" vertical="center" wrapText="1" shrinkToFit="1"/>
    </xf>
    <xf numFmtId="1" fontId="38" fillId="0" borderId="1" xfId="64" applyNumberFormat="1" applyFont="1" applyBorder="1" applyAlignment="1">
      <alignment horizontal="center" vertical="center" wrapText="1"/>
    </xf>
    <xf numFmtId="49" fontId="4" fillId="0" borderId="2" xfId="8" applyNumberFormat="1" applyFont="1" applyBorder="1" applyProtection="1">
      <protection locked="0"/>
    </xf>
    <xf numFmtId="0" fontId="3" fillId="0" borderId="3" xfId="8" applyBorder="1" applyProtection="1">
      <protection locked="0"/>
    </xf>
    <xf numFmtId="49" fontId="4" fillId="0" borderId="0" xfId="8" applyNumberFormat="1" applyFont="1" applyProtection="1">
      <protection locked="0"/>
    </xf>
    <xf numFmtId="14" fontId="3" fillId="0" borderId="2" xfId="8" applyNumberFormat="1" applyBorder="1" applyProtection="1">
      <protection locked="0"/>
    </xf>
    <xf numFmtId="0" fontId="3" fillId="0" borderId="6" xfId="8" applyBorder="1" applyProtection="1">
      <protection locked="0"/>
    </xf>
    <xf numFmtId="0" fontId="3" fillId="0" borderId="0" xfId="8" applyProtection="1">
      <protection locked="0"/>
    </xf>
    <xf numFmtId="0" fontId="3" fillId="0" borderId="19" xfId="8" applyBorder="1"/>
    <xf numFmtId="0" fontId="3" fillId="0" borderId="19" xfId="8" applyBorder="1" applyAlignment="1">
      <alignment horizontal="center"/>
    </xf>
    <xf numFmtId="0" fontId="3" fillId="0" borderId="13" xfId="8" applyBorder="1" applyAlignment="1">
      <alignment horizontal="left"/>
    </xf>
    <xf numFmtId="1" fontId="12" fillId="0" borderId="1" xfId="64" applyNumberFormat="1" applyFont="1" applyBorder="1" applyAlignment="1">
      <alignment horizontal="center" vertical="center" wrapText="1"/>
    </xf>
    <xf numFmtId="180" fontId="7" fillId="0" borderId="1" xfId="64" applyNumberFormat="1" applyFont="1" applyBorder="1" applyAlignment="1">
      <alignment horizontal="center" vertical="center" wrapText="1"/>
    </xf>
    <xf numFmtId="0" fontId="7" fillId="0" borderId="1" xfId="8" applyFont="1" applyBorder="1" applyAlignment="1">
      <alignment horizontal="center"/>
    </xf>
    <xf numFmtId="0" fontId="4" fillId="0" borderId="21" xfId="8" applyFont="1" applyBorder="1" applyAlignment="1">
      <alignment horizontal="left"/>
    </xf>
    <xf numFmtId="0" fontId="3" fillId="0" borderId="21" xfId="8" applyBorder="1" applyAlignment="1">
      <alignment horizontal="left"/>
    </xf>
    <xf numFmtId="0" fontId="7" fillId="32" borderId="1" xfId="8" applyFont="1" applyFill="1" applyBorder="1" applyAlignment="1">
      <alignment horizontal="center"/>
    </xf>
    <xf numFmtId="0" fontId="7" fillId="29" borderId="1" xfId="8" applyFont="1" applyFill="1" applyBorder="1" applyAlignment="1">
      <alignment horizontal="center"/>
    </xf>
    <xf numFmtId="0" fontId="7" fillId="30" borderId="1" xfId="8" applyFont="1" applyFill="1" applyBorder="1" applyAlignment="1">
      <alignment horizontal="center"/>
    </xf>
    <xf numFmtId="0" fontId="4" fillId="0" borderId="8" xfId="8" applyFont="1" applyBorder="1"/>
    <xf numFmtId="0" fontId="3" fillId="0" borderId="14" xfId="8" applyBorder="1" applyAlignment="1">
      <alignment horizontal="left"/>
    </xf>
    <xf numFmtId="0" fontId="4" fillId="0" borderId="0" xfId="8" applyFont="1" applyAlignment="1">
      <alignment horizontal="center"/>
    </xf>
    <xf numFmtId="49" fontId="12" fillId="12" borderId="26" xfId="8" applyNumberFormat="1" applyFont="1" applyFill="1" applyBorder="1" applyAlignment="1" applyProtection="1">
      <alignment horizontal="center" vertical="center"/>
      <protection locked="0"/>
    </xf>
    <xf numFmtId="0" fontId="12" fillId="12" borderId="26" xfId="8" applyFont="1" applyFill="1" applyBorder="1" applyAlignment="1" applyProtection="1">
      <alignment vertical="center" wrapText="1"/>
      <protection locked="0"/>
    </xf>
    <xf numFmtId="0" fontId="8" fillId="33" borderId="26" xfId="8" applyFont="1" applyFill="1" applyBorder="1" applyAlignment="1">
      <alignment horizontal="center"/>
    </xf>
    <xf numFmtId="49" fontId="12" fillId="12" borderId="1" xfId="8" applyNumberFormat="1" applyFont="1" applyFill="1" applyBorder="1" applyAlignment="1" applyProtection="1">
      <alignment horizontal="center" vertical="center"/>
      <protection locked="0"/>
    </xf>
    <xf numFmtId="0" fontId="12" fillId="12" borderId="1" xfId="8" applyFont="1" applyFill="1" applyBorder="1" applyAlignment="1" applyProtection="1">
      <alignment vertical="center" wrapText="1"/>
      <protection locked="0"/>
    </xf>
    <xf numFmtId="0" fontId="40" fillId="0" borderId="1" xfId="8" applyFont="1" applyBorder="1" applyAlignment="1" applyProtection="1">
      <alignment horizontal="center" vertical="center" wrapText="1"/>
      <protection locked="0"/>
    </xf>
    <xf numFmtId="10" fontId="5" fillId="0" borderId="1" xfId="19" applyNumberFormat="1" applyFont="1" applyFill="1" applyBorder="1" applyAlignment="1" applyProtection="1">
      <alignment horizontal="right" vertical="center" wrapText="1"/>
      <protection locked="0"/>
    </xf>
    <xf numFmtId="0" fontId="4" fillId="33" borderId="1" xfId="8" applyFont="1" applyFill="1" applyBorder="1" applyAlignment="1">
      <alignment horizontal="center" vertical="center"/>
    </xf>
    <xf numFmtId="0" fontId="8" fillId="0" borderId="2" xfId="8" applyFont="1" applyBorder="1" applyAlignment="1" applyProtection="1">
      <alignment horizontal="left" vertical="center"/>
      <protection locked="0"/>
    </xf>
    <xf numFmtId="0" fontId="3" fillId="0" borderId="0" xfId="8" applyAlignment="1" applyProtection="1">
      <alignment horizontal="left" vertical="center" wrapText="1"/>
      <protection locked="0"/>
    </xf>
    <xf numFmtId="181" fontId="31" fillId="0" borderId="0" xfId="8" applyNumberFormat="1" applyFont="1" applyAlignment="1" applyProtection="1">
      <alignment horizontal="center" vertical="center" wrapText="1"/>
      <protection locked="0"/>
    </xf>
    <xf numFmtId="1" fontId="29" fillId="34" borderId="0" xfId="23" applyNumberFormat="1" applyFont="1" applyFill="1" applyBorder="1" applyAlignment="1" applyProtection="1">
      <alignment horizontal="center" vertical="center" wrapText="1"/>
      <protection hidden="1"/>
    </xf>
    <xf numFmtId="1" fontId="8" fillId="34" borderId="21" xfId="23" applyNumberFormat="1" applyFont="1" applyFill="1" applyBorder="1" applyAlignment="1" applyProtection="1">
      <alignment horizontal="center" vertical="center" wrapText="1"/>
      <protection hidden="1"/>
    </xf>
    <xf numFmtId="0" fontId="4" fillId="0" borderId="0" xfId="8" applyFont="1" applyProtection="1">
      <protection locked="0"/>
    </xf>
    <xf numFmtId="179" fontId="5" fillId="0" borderId="26" xfId="25" applyNumberFormat="1" applyFont="1" applyFill="1" applyBorder="1" applyAlignment="1" applyProtection="1">
      <alignment horizontal="left" vertical="center" wrapText="1"/>
      <protection locked="0"/>
    </xf>
    <xf numFmtId="179" fontId="5" fillId="0" borderId="1" xfId="25" applyNumberFormat="1" applyFont="1" applyFill="1" applyBorder="1" applyAlignment="1" applyProtection="1">
      <alignment horizontal="left" vertical="center" wrapText="1"/>
      <protection locked="0"/>
    </xf>
    <xf numFmtId="178" fontId="5" fillId="0" borderId="1" xfId="25" applyNumberFormat="1" applyFont="1" applyFill="1" applyBorder="1" applyAlignment="1" applyProtection="1">
      <alignment horizontal="right" vertical="center" wrapText="1"/>
      <protection locked="0"/>
    </xf>
    <xf numFmtId="1" fontId="29" fillId="34" borderId="0" xfId="26" applyNumberFormat="1" applyFont="1" applyFill="1" applyBorder="1" applyAlignment="1" applyProtection="1">
      <alignment horizontal="center" vertical="center" wrapText="1"/>
      <protection hidden="1"/>
    </xf>
    <xf numFmtId="1" fontId="8" fillId="34" borderId="21" xfId="26" applyNumberFormat="1" applyFont="1" applyFill="1" applyBorder="1" applyAlignment="1" applyProtection="1">
      <alignment horizontal="center" vertical="center" wrapText="1"/>
      <protection hidden="1"/>
    </xf>
    <xf numFmtId="172" fontId="8" fillId="0" borderId="0" xfId="8" applyNumberFormat="1" applyFont="1" applyAlignment="1" applyProtection="1">
      <alignment horizontal="center" vertical="center" wrapText="1"/>
      <protection locked="0"/>
    </xf>
    <xf numFmtId="10" fontId="8" fillId="0" borderId="0" xfId="8" applyNumberFormat="1" applyFont="1" applyAlignment="1" applyProtection="1">
      <alignment horizontal="center" vertical="center" wrapText="1"/>
      <protection locked="0"/>
    </xf>
    <xf numFmtId="0" fontId="14" fillId="0" borderId="0" xfId="8" applyFont="1" applyAlignment="1" applyProtection="1">
      <alignment vertical="center" wrapText="1"/>
      <protection locked="0"/>
    </xf>
    <xf numFmtId="0" fontId="14" fillId="0" borderId="0" xfId="8" applyFont="1" applyAlignment="1" applyProtection="1">
      <alignment horizontal="center" vertical="center" wrapText="1"/>
      <protection locked="0"/>
    </xf>
    <xf numFmtId="10" fontId="14" fillId="0" borderId="0" xfId="8" applyNumberFormat="1" applyFont="1" applyAlignment="1" applyProtection="1">
      <alignment horizontal="center" vertical="center" wrapText="1"/>
      <protection locked="0"/>
    </xf>
    <xf numFmtId="3" fontId="4" fillId="0" borderId="7" xfId="8" applyNumberFormat="1" applyFont="1" applyBorder="1" applyProtection="1">
      <protection locked="0"/>
    </xf>
    <xf numFmtId="179" fontId="5" fillId="0" borderId="26" xfId="27" applyNumberFormat="1" applyFont="1" applyFill="1" applyBorder="1" applyAlignment="1" applyProtection="1">
      <alignment horizontal="left" vertical="center" wrapText="1"/>
      <protection locked="0"/>
    </xf>
    <xf numFmtId="179" fontId="5" fillId="0" borderId="1" xfId="27" applyNumberFormat="1" applyFont="1" applyFill="1" applyBorder="1" applyAlignment="1" applyProtection="1">
      <alignment horizontal="left" vertical="center" wrapText="1"/>
      <protection locked="0"/>
    </xf>
    <xf numFmtId="178" fontId="5" fillId="0" borderId="1" xfId="27" applyNumberFormat="1" applyFont="1" applyFill="1" applyBorder="1" applyAlignment="1" applyProtection="1">
      <alignment horizontal="right" vertical="center" wrapText="1"/>
      <protection locked="0"/>
    </xf>
    <xf numFmtId="1" fontId="29" fillId="34" borderId="0" xfId="28" applyNumberFormat="1" applyFont="1" applyFill="1" applyBorder="1" applyAlignment="1" applyProtection="1">
      <alignment horizontal="center" vertical="center" wrapText="1"/>
      <protection hidden="1"/>
    </xf>
    <xf numFmtId="1" fontId="8" fillId="34" borderId="21" xfId="28" applyNumberFormat="1" applyFont="1" applyFill="1" applyBorder="1" applyAlignment="1" applyProtection="1">
      <alignment horizontal="center" vertical="center" wrapText="1"/>
      <protection hidden="1"/>
    </xf>
    <xf numFmtId="0" fontId="5" fillId="0" borderId="0" xfId="40" applyFont="1" applyAlignment="1" applyProtection="1">
      <alignment vertical="center" wrapText="1"/>
      <protection locked="0"/>
    </xf>
    <xf numFmtId="0" fontId="5" fillId="0" borderId="0" xfId="40" applyFont="1" applyAlignment="1" applyProtection="1">
      <alignment horizontal="center" vertical="center" wrapText="1"/>
      <protection locked="0"/>
    </xf>
    <xf numFmtId="0" fontId="3" fillId="0" borderId="0" xfId="40"/>
    <xf numFmtId="10" fontId="5" fillId="16" borderId="60" xfId="19" applyNumberFormat="1" applyFont="1" applyFill="1" applyBorder="1" applyAlignment="1" applyProtection="1">
      <alignment horizontal="center" vertical="center" wrapText="1"/>
      <protection locked="0"/>
    </xf>
    <xf numFmtId="0" fontId="4" fillId="0" borderId="0" xfId="40" applyFont="1" applyAlignment="1">
      <alignment horizontal="center" vertical="center" wrapText="1"/>
    </xf>
    <xf numFmtId="0" fontId="4" fillId="10" borderId="1" xfId="40" applyFont="1" applyFill="1" applyBorder="1" applyAlignment="1">
      <alignment horizontal="center" vertical="center" wrapText="1"/>
    </xf>
    <xf numFmtId="0" fontId="12" fillId="10" borderId="1" xfId="40" applyFont="1" applyFill="1" applyBorder="1" applyAlignment="1">
      <alignment horizontal="center" vertical="center" wrapText="1"/>
    </xf>
    <xf numFmtId="0" fontId="4" fillId="0" borderId="2" xfId="40" applyFont="1" applyBorder="1" applyAlignment="1">
      <alignment horizontal="center" vertical="center" wrapText="1"/>
    </xf>
    <xf numFmtId="0" fontId="3" fillId="0" borderId="1" xfId="40" applyBorder="1" applyAlignment="1">
      <alignment horizontal="center"/>
    </xf>
    <xf numFmtId="3" fontId="3" fillId="0" borderId="2" xfId="40" applyNumberFormat="1" applyBorder="1"/>
    <xf numFmtId="0" fontId="4" fillId="9" borderId="1" xfId="40" applyFont="1" applyFill="1" applyBorder="1" applyAlignment="1">
      <alignment horizontal="center"/>
    </xf>
    <xf numFmtId="3" fontId="3" fillId="9" borderId="1" xfId="40" applyNumberFormat="1" applyFill="1" applyBorder="1"/>
    <xf numFmtId="3" fontId="4" fillId="9" borderId="1" xfId="40" applyNumberFormat="1" applyFont="1" applyFill="1" applyBorder="1"/>
    <xf numFmtId="0" fontId="7" fillId="0" borderId="0" xfId="40" applyFont="1" applyAlignment="1">
      <alignment horizontal="right"/>
    </xf>
    <xf numFmtId="0" fontId="7" fillId="0" borderId="0" xfId="40" applyFont="1"/>
    <xf numFmtId="0" fontId="3" fillId="0" borderId="8" xfId="40" applyBorder="1" applyProtection="1">
      <protection locked="0"/>
    </xf>
    <xf numFmtId="3" fontId="4" fillId="0" borderId="7" xfId="40" applyNumberFormat="1" applyFont="1" applyBorder="1" applyProtection="1">
      <protection locked="0"/>
    </xf>
    <xf numFmtId="49" fontId="3" fillId="0" borderId="2" xfId="40" applyNumberFormat="1" applyBorder="1" applyAlignment="1" applyProtection="1">
      <alignment vertical="top" wrapText="1"/>
      <protection locked="0"/>
    </xf>
    <xf numFmtId="49" fontId="3" fillId="0" borderId="0" xfId="40" applyNumberFormat="1" applyProtection="1">
      <protection locked="0"/>
    </xf>
    <xf numFmtId="49" fontId="12" fillId="0" borderId="26" xfId="8" applyNumberFormat="1" applyFont="1" applyBorder="1" applyAlignment="1" applyProtection="1">
      <alignment horizontal="center" vertical="center"/>
      <protection locked="0"/>
    </xf>
    <xf numFmtId="0" fontId="12" fillId="0" borderId="26" xfId="8" applyFont="1" applyBorder="1" applyAlignment="1" applyProtection="1">
      <alignment vertical="center" wrapText="1"/>
      <protection locked="0"/>
    </xf>
    <xf numFmtId="179" fontId="5" fillId="0" borderId="26" xfId="29" applyNumberFormat="1" applyFont="1" applyFill="1" applyBorder="1" applyAlignment="1" applyProtection="1">
      <alignment horizontal="left" vertical="center" wrapText="1"/>
      <protection locked="0"/>
    </xf>
    <xf numFmtId="49" fontId="12" fillId="0" borderId="1" xfId="8" applyNumberFormat="1" applyFont="1" applyBorder="1" applyAlignment="1" applyProtection="1">
      <alignment horizontal="center" vertical="center"/>
      <protection locked="0"/>
    </xf>
    <xf numFmtId="0" fontId="12" fillId="0" borderId="1" xfId="8" applyFont="1" applyBorder="1" applyAlignment="1" applyProtection="1">
      <alignment vertical="center" wrapText="1"/>
      <protection locked="0"/>
    </xf>
    <xf numFmtId="179" fontId="5" fillId="0" borderId="1" xfId="29" applyNumberFormat="1" applyFont="1" applyFill="1" applyBorder="1" applyAlignment="1" applyProtection="1">
      <alignment horizontal="left" vertical="center" wrapText="1"/>
      <protection locked="0"/>
    </xf>
    <xf numFmtId="178" fontId="5" fillId="0" borderId="1" xfId="29" applyNumberFormat="1" applyFont="1" applyFill="1" applyBorder="1" applyAlignment="1" applyProtection="1">
      <alignment horizontal="right" vertical="center" wrapText="1"/>
      <protection locked="0"/>
    </xf>
    <xf numFmtId="1" fontId="29" fillId="34" borderId="0" xfId="30" applyNumberFormat="1" applyFont="1" applyFill="1" applyBorder="1" applyAlignment="1" applyProtection="1">
      <alignment horizontal="center" vertical="center" wrapText="1"/>
      <protection hidden="1"/>
    </xf>
    <xf numFmtId="1" fontId="8" fillId="34" borderId="21" xfId="30" applyNumberFormat="1" applyFont="1" applyFill="1" applyBorder="1" applyAlignment="1" applyProtection="1">
      <alignment horizontal="center" vertical="center" wrapText="1"/>
      <protection hidden="1"/>
    </xf>
    <xf numFmtId="0" fontId="4" fillId="0" borderId="24" xfId="8" applyFont="1" applyBorder="1" applyAlignment="1" applyProtection="1">
      <alignment horizontal="left" vertical="center"/>
      <protection locked="0"/>
    </xf>
    <xf numFmtId="3" fontId="4" fillId="0" borderId="9" xfId="8" applyNumberFormat="1" applyFont="1" applyBorder="1" applyProtection="1">
      <protection locked="0"/>
    </xf>
    <xf numFmtId="49" fontId="3" fillId="0" borderId="2" xfId="8" applyNumberFormat="1" applyBorder="1" applyAlignment="1" applyProtection="1">
      <alignment vertical="top" wrapText="1"/>
      <protection locked="0"/>
    </xf>
    <xf numFmtId="49" fontId="3" fillId="0" borderId="0" xfId="8" applyNumberFormat="1" applyAlignment="1" applyProtection="1">
      <alignment vertical="top" wrapText="1"/>
      <protection locked="0"/>
    </xf>
    <xf numFmtId="49" fontId="3" fillId="0" borderId="3" xfId="8" applyNumberFormat="1" applyBorder="1" applyAlignment="1" applyProtection="1">
      <alignment vertical="top" wrapText="1"/>
      <protection locked="0"/>
    </xf>
    <xf numFmtId="49" fontId="3" fillId="0" borderId="4" xfId="8" applyNumberFormat="1" applyBorder="1" applyAlignment="1" applyProtection="1">
      <alignment vertical="top" wrapText="1"/>
      <protection locked="0"/>
    </xf>
    <xf numFmtId="49" fontId="3" fillId="0" borderId="5" xfId="8" applyNumberFormat="1" applyBorder="1" applyAlignment="1" applyProtection="1">
      <alignment vertical="top" wrapText="1"/>
      <protection locked="0"/>
    </xf>
    <xf numFmtId="49" fontId="3" fillId="0" borderId="6" xfId="8" applyNumberFormat="1" applyBorder="1" applyAlignment="1" applyProtection="1">
      <alignment vertical="top" wrapText="1"/>
      <protection locked="0"/>
    </xf>
    <xf numFmtId="179" fontId="5" fillId="0" borderId="26" xfId="32" applyNumberFormat="1" applyFont="1" applyFill="1" applyBorder="1" applyAlignment="1" applyProtection="1">
      <alignment horizontal="left" vertical="center" wrapText="1"/>
      <protection locked="0"/>
    </xf>
    <xf numFmtId="179" fontId="5" fillId="0" borderId="1" xfId="32" applyNumberFormat="1" applyFont="1" applyFill="1" applyBorder="1" applyAlignment="1" applyProtection="1">
      <alignment horizontal="left" vertical="center" wrapText="1"/>
      <protection locked="0"/>
    </xf>
    <xf numFmtId="178" fontId="5" fillId="0" borderId="1" xfId="32" applyNumberFormat="1" applyFont="1" applyFill="1" applyBorder="1" applyAlignment="1" applyProtection="1">
      <alignment horizontal="right" vertical="center" wrapText="1"/>
      <protection locked="0"/>
    </xf>
    <xf numFmtId="1" fontId="29" fillId="34" borderId="0" xfId="33" applyNumberFormat="1" applyFont="1" applyFill="1" applyBorder="1" applyAlignment="1" applyProtection="1">
      <alignment horizontal="center" vertical="center" wrapText="1"/>
      <protection hidden="1"/>
    </xf>
    <xf numFmtId="1" fontId="8" fillId="34" borderId="21" xfId="33" applyNumberFormat="1" applyFont="1" applyFill="1" applyBorder="1" applyAlignment="1" applyProtection="1">
      <alignment horizontal="center" vertical="center" wrapText="1"/>
      <protection hidden="1"/>
    </xf>
    <xf numFmtId="0" fontId="4" fillId="0" borderId="24" xfId="40" applyFont="1" applyBorder="1" applyAlignment="1" applyProtection="1">
      <alignment horizontal="left" vertical="center"/>
      <protection locked="0"/>
    </xf>
    <xf numFmtId="0" fontId="3" fillId="0" borderId="1" xfId="40" applyBorder="1" applyAlignment="1">
      <alignment horizontal="center" vertical="center"/>
    </xf>
    <xf numFmtId="0" fontId="3" fillId="0" borderId="0" xfId="40" applyAlignment="1">
      <alignment horizontal="right" vertical="top"/>
    </xf>
    <xf numFmtId="0" fontId="3" fillId="0" borderId="0" xfId="40" applyAlignment="1">
      <alignment vertical="top" wrapText="1"/>
    </xf>
    <xf numFmtId="0" fontId="3" fillId="0" borderId="0" xfId="40" applyAlignment="1">
      <alignment horizontal="center" vertical="center"/>
    </xf>
    <xf numFmtId="3" fontId="3" fillId="0" borderId="0" xfId="40" applyNumberFormat="1" applyAlignment="1">
      <alignment horizontal="center" vertical="center"/>
    </xf>
    <xf numFmtId="0" fontId="3" fillId="0" borderId="0" xfId="40" applyProtection="1">
      <protection locked="0"/>
    </xf>
    <xf numFmtId="10" fontId="5" fillId="0" borderId="0" xfId="40" applyNumberFormat="1" applyFont="1" applyAlignment="1" applyProtection="1">
      <alignment horizontal="center" vertical="center" wrapText="1"/>
      <protection locked="0"/>
    </xf>
    <xf numFmtId="0" fontId="29" fillId="0" borderId="18" xfId="40" applyFont="1" applyBorder="1" applyAlignment="1" applyProtection="1">
      <alignment horizontal="centerContinuous" vertical="center"/>
      <protection locked="0"/>
    </xf>
    <xf numFmtId="0" fontId="14" fillId="0" borderId="19" xfId="40" applyFont="1" applyBorder="1" applyAlignment="1" applyProtection="1">
      <alignment horizontal="centerContinuous" vertical="center"/>
      <protection locked="0"/>
    </xf>
    <xf numFmtId="0" fontId="14" fillId="0" borderId="13" xfId="40" applyFont="1" applyBorder="1" applyAlignment="1" applyProtection="1">
      <alignment horizontal="centerContinuous" vertical="center"/>
      <protection locked="0"/>
    </xf>
    <xf numFmtId="0" fontId="14" fillId="0" borderId="0" xfId="40" applyFont="1" applyAlignment="1" applyProtection="1">
      <alignment vertical="center"/>
      <protection locked="0"/>
    </xf>
    <xf numFmtId="0" fontId="29" fillId="0" borderId="20" xfId="40" applyFont="1" applyBorder="1" applyAlignment="1" applyProtection="1">
      <alignment horizontal="centerContinuous" vertical="center"/>
      <protection locked="0"/>
    </xf>
    <xf numFmtId="0" fontId="14" fillId="0" borderId="0" xfId="40" applyFont="1" applyAlignment="1" applyProtection="1">
      <alignment horizontal="centerContinuous" vertical="center"/>
      <protection locked="0"/>
    </xf>
    <xf numFmtId="0" fontId="14" fillId="0" borderId="21" xfId="40" applyFont="1" applyBorder="1" applyAlignment="1" applyProtection="1">
      <alignment horizontal="centerContinuous" vertical="center"/>
      <protection locked="0"/>
    </xf>
    <xf numFmtId="0" fontId="29" fillId="0" borderId="22" xfId="40" applyFont="1" applyBorder="1" applyAlignment="1" applyProtection="1">
      <alignment horizontal="centerContinuous" vertical="center"/>
      <protection locked="0"/>
    </xf>
    <xf numFmtId="0" fontId="14" fillId="0" borderId="23" xfId="40" applyFont="1" applyBorder="1" applyAlignment="1" applyProtection="1">
      <alignment horizontal="centerContinuous" vertical="center"/>
      <protection locked="0"/>
    </xf>
    <xf numFmtId="0" fontId="14" fillId="0" borderId="14" xfId="40" applyFont="1" applyBorder="1" applyAlignment="1" applyProtection="1">
      <alignment horizontal="centerContinuous" vertical="center"/>
      <protection locked="0"/>
    </xf>
    <xf numFmtId="42" fontId="3" fillId="0" borderId="1" xfId="53" applyFont="1" applyFill="1" applyBorder="1"/>
    <xf numFmtId="42" fontId="3" fillId="0" borderId="29" xfId="53" applyFont="1" applyBorder="1"/>
    <xf numFmtId="0" fontId="1" fillId="0" borderId="1" xfId="58" applyBorder="1" applyAlignment="1">
      <alignment horizontal="center"/>
    </xf>
    <xf numFmtId="42" fontId="3" fillId="0" borderId="1" xfId="53" applyFont="1" applyFill="1" applyBorder="1" applyAlignment="1">
      <alignment vertical="center"/>
    </xf>
    <xf numFmtId="10" fontId="3" fillId="0" borderId="1" xfId="34" applyNumberFormat="1" applyFont="1" applyBorder="1" applyAlignment="1">
      <alignment horizontal="center" vertical="center"/>
    </xf>
    <xf numFmtId="0" fontId="1" fillId="0" borderId="1" xfId="58" applyBorder="1" applyAlignment="1">
      <alignment horizontal="center" vertical="center"/>
    </xf>
    <xf numFmtId="42" fontId="3" fillId="0" borderId="29" xfId="53" applyFont="1" applyBorder="1" applyAlignment="1">
      <alignment horizontal="center" vertical="center"/>
    </xf>
    <xf numFmtId="42" fontId="1" fillId="0" borderId="29" xfId="53" applyBorder="1" applyAlignment="1">
      <alignment horizontal="center" vertical="center"/>
    </xf>
    <xf numFmtId="166" fontId="3" fillId="0" borderId="1" xfId="44" applyFont="1" applyFill="1" applyBorder="1" applyAlignment="1">
      <alignment horizontal="center" vertical="center"/>
    </xf>
    <xf numFmtId="49" fontId="4" fillId="0" borderId="0" xfId="0" applyNumberFormat="1" applyFont="1" applyProtection="1">
      <protection locked="0"/>
    </xf>
    <xf numFmtId="14" fontId="3" fillId="0" borderId="0" xfId="8" applyNumberFormat="1" applyProtection="1">
      <protection locked="0"/>
    </xf>
    <xf numFmtId="166" fontId="3" fillId="0" borderId="1" xfId="44" applyFont="1" applyBorder="1"/>
    <xf numFmtId="49" fontId="4" fillId="0" borderId="0" xfId="58" applyNumberFormat="1" applyFont="1" applyProtection="1">
      <protection locked="0"/>
    </xf>
    <xf numFmtId="49" fontId="4" fillId="0" borderId="0" xfId="40" applyNumberFormat="1" applyFont="1" applyProtection="1">
      <protection locked="0"/>
    </xf>
    <xf numFmtId="14" fontId="3" fillId="0" borderId="0" xfId="40" applyNumberFormat="1" applyProtection="1">
      <protection locked="0"/>
    </xf>
    <xf numFmtId="166" fontId="4" fillId="9" borderId="1" xfId="44" applyFont="1" applyFill="1" applyBorder="1"/>
    <xf numFmtId="0" fontId="0" fillId="0" borderId="1" xfId="58" applyFont="1" applyBorder="1" applyAlignment="1">
      <alignment horizontal="center" vertical="center" wrapText="1"/>
    </xf>
    <xf numFmtId="0" fontId="0" fillId="0" borderId="1" xfId="58" applyFont="1" applyBorder="1" applyAlignment="1">
      <alignment horizontal="center" vertical="center"/>
    </xf>
    <xf numFmtId="0" fontId="1" fillId="0" borderId="18" xfId="58" applyBorder="1"/>
    <xf numFmtId="0" fontId="1" fillId="0" borderId="20" xfId="58" applyBorder="1"/>
    <xf numFmtId="0" fontId="1" fillId="0" borderId="22" xfId="58" applyBorder="1"/>
    <xf numFmtId="10" fontId="3" fillId="0" borderId="1" xfId="34" applyNumberFormat="1" applyFont="1" applyBorder="1" applyAlignment="1">
      <alignment horizontal="center"/>
    </xf>
    <xf numFmtId="166" fontId="3" fillId="0" borderId="1" xfId="44" applyFont="1" applyFill="1" applyBorder="1"/>
    <xf numFmtId="166" fontId="3" fillId="0" borderId="1" xfId="44" applyFont="1" applyFill="1" applyBorder="1" applyAlignment="1">
      <alignment vertical="center"/>
    </xf>
    <xf numFmtId="166" fontId="1" fillId="0" borderId="1" xfId="44" applyBorder="1" applyAlignment="1">
      <alignment horizontal="center"/>
    </xf>
    <xf numFmtId="166" fontId="1" fillId="0" borderId="1" xfId="44" applyBorder="1" applyAlignment="1">
      <alignment horizontal="center" vertical="center"/>
    </xf>
    <xf numFmtId="0" fontId="3" fillId="0" borderId="1" xfId="40" applyBorder="1" applyAlignment="1">
      <alignment horizontal="justify" vertical="center" wrapText="1"/>
    </xf>
    <xf numFmtId="0" fontId="3" fillId="0" borderId="1" xfId="40" applyBorder="1" applyAlignment="1">
      <alignment horizontal="justify" vertical="center"/>
    </xf>
    <xf numFmtId="0" fontId="0" fillId="0" borderId="1" xfId="58" applyFont="1" applyBorder="1" applyAlignment="1">
      <alignment horizontal="justify" vertical="center"/>
    </xf>
    <xf numFmtId="0" fontId="0" fillId="0" borderId="1" xfId="58" applyFont="1" applyBorder="1" applyAlignment="1">
      <alignment horizontal="justify" vertical="center" wrapText="1"/>
    </xf>
    <xf numFmtId="0" fontId="42" fillId="40" borderId="26" xfId="40" applyFont="1" applyFill="1" applyBorder="1" applyAlignment="1">
      <alignment horizontal="center" vertical="center" wrapText="1"/>
    </xf>
    <xf numFmtId="0" fontId="42" fillId="40" borderId="26" xfId="40" applyFont="1" applyFill="1" applyBorder="1" applyAlignment="1">
      <alignment horizontal="center" vertical="center"/>
    </xf>
    <xf numFmtId="0" fontId="42" fillId="40" borderId="27" xfId="40" applyFont="1" applyFill="1" applyBorder="1" applyAlignment="1">
      <alignment horizontal="center" vertical="center"/>
    </xf>
    <xf numFmtId="183" fontId="42" fillId="40" borderId="31" xfId="61" applyNumberFormat="1" applyFont="1" applyFill="1" applyBorder="1"/>
    <xf numFmtId="0" fontId="42" fillId="37" borderId="26" xfId="40" applyFont="1" applyFill="1" applyBorder="1" applyAlignment="1">
      <alignment horizontal="center" vertical="center" wrapText="1"/>
    </xf>
    <xf numFmtId="0" fontId="42" fillId="37" borderId="26" xfId="40" applyFont="1" applyFill="1" applyBorder="1" applyAlignment="1">
      <alignment horizontal="center" vertical="center"/>
    </xf>
    <xf numFmtId="0" fontId="42" fillId="37" borderId="27" xfId="40" applyFont="1" applyFill="1" applyBorder="1" applyAlignment="1">
      <alignment horizontal="center" vertical="center"/>
    </xf>
    <xf numFmtId="183" fontId="42" fillId="37" borderId="31" xfId="61" applyNumberFormat="1" applyFont="1" applyFill="1" applyBorder="1"/>
    <xf numFmtId="0" fontId="42" fillId="39" borderId="26" xfId="40" applyFont="1" applyFill="1" applyBorder="1" applyAlignment="1">
      <alignment horizontal="center" vertical="center" wrapText="1"/>
    </xf>
    <xf numFmtId="0" fontId="42" fillId="39" borderId="26" xfId="40" applyFont="1" applyFill="1" applyBorder="1" applyAlignment="1">
      <alignment horizontal="center" vertical="center"/>
    </xf>
    <xf numFmtId="0" fontId="42" fillId="39" borderId="27" xfId="40" applyFont="1" applyFill="1" applyBorder="1" applyAlignment="1">
      <alignment horizontal="center" vertical="center"/>
    </xf>
    <xf numFmtId="183" fontId="42" fillId="39" borderId="31" xfId="40" applyNumberFormat="1" applyFont="1" applyFill="1" applyBorder="1"/>
    <xf numFmtId="42" fontId="42" fillId="8" borderId="15" xfId="53" applyFont="1" applyFill="1" applyBorder="1" applyAlignment="1">
      <alignment horizontal="center" vertical="center"/>
    </xf>
    <xf numFmtId="166" fontId="3" fillId="0" borderId="29" xfId="44" applyFont="1" applyBorder="1" applyAlignment="1">
      <alignment vertical="center"/>
    </xf>
    <xf numFmtId="166" fontId="3" fillId="0" borderId="29" xfId="44" applyFont="1" applyBorder="1"/>
    <xf numFmtId="0" fontId="25" fillId="6" borderId="3" xfId="0" applyFont="1" applyFill="1" applyBorder="1"/>
    <xf numFmtId="0" fontId="0" fillId="6" borderId="0" xfId="0" applyFill="1"/>
    <xf numFmtId="0" fontId="23" fillId="6" borderId="17" xfId="0" applyFont="1" applyFill="1" applyBorder="1" applyAlignment="1">
      <alignment horizontal="center"/>
    </xf>
    <xf numFmtId="0" fontId="45" fillId="0" borderId="0" xfId="0" applyFont="1"/>
    <xf numFmtId="0" fontId="31" fillId="0" borderId="0" xfId="8" applyFont="1"/>
    <xf numFmtId="0" fontId="3" fillId="0" borderId="4" xfId="8" applyBorder="1" applyProtection="1">
      <protection locked="0"/>
    </xf>
    <xf numFmtId="9" fontId="11" fillId="38" borderId="1" xfId="1" applyFont="1" applyFill="1" applyBorder="1" applyAlignment="1">
      <alignment horizontal="center"/>
    </xf>
    <xf numFmtId="42" fontId="11" fillId="38" borderId="1" xfId="53" applyFont="1" applyFill="1" applyBorder="1" applyAlignment="1">
      <alignment horizontal="center"/>
    </xf>
    <xf numFmtId="0" fontId="45" fillId="0" borderId="0" xfId="58" applyFont="1"/>
    <xf numFmtId="42" fontId="45" fillId="0" borderId="0" xfId="53" applyFont="1"/>
    <xf numFmtId="0" fontId="8" fillId="0" borderId="24" xfId="10" applyFont="1" applyBorder="1" applyAlignment="1" applyProtection="1">
      <alignment horizontal="left" vertical="center"/>
      <protection locked="0"/>
    </xf>
    <xf numFmtId="0" fontId="8" fillId="0" borderId="0" xfId="10" applyFont="1" applyAlignment="1" applyProtection="1">
      <alignment vertical="center" wrapText="1"/>
      <protection locked="0"/>
    </xf>
    <xf numFmtId="0" fontId="8" fillId="0" borderId="0" xfId="10" applyFont="1" applyAlignment="1" applyProtection="1">
      <alignment horizontal="center" vertical="center" wrapText="1"/>
      <protection locked="0"/>
    </xf>
    <xf numFmtId="10" fontId="8" fillId="0" borderId="0" xfId="10" applyNumberFormat="1" applyFont="1" applyAlignment="1" applyProtection="1">
      <alignment horizontal="center" vertical="center" wrapText="1"/>
      <protection locked="0"/>
    </xf>
    <xf numFmtId="172" fontId="8" fillId="0" borderId="60" xfId="10" applyNumberFormat="1" applyFont="1" applyBorder="1" applyAlignment="1" applyProtection="1">
      <alignment horizontal="center" vertical="center" wrapText="1"/>
      <protection locked="0"/>
    </xf>
    <xf numFmtId="172" fontId="8" fillId="0" borderId="0" xfId="10" applyNumberFormat="1" applyFont="1" applyAlignment="1" applyProtection="1">
      <alignment horizontal="center" vertical="center" wrapText="1"/>
      <protection locked="0"/>
    </xf>
    <xf numFmtId="178" fontId="8" fillId="0" borderId="60" xfId="10" applyNumberFormat="1" applyFont="1" applyBorder="1" applyAlignment="1" applyProtection="1">
      <alignment horizontal="center" vertical="center" wrapText="1"/>
      <protection locked="0"/>
    </xf>
    <xf numFmtId="0" fontId="8" fillId="10" borderId="57" xfId="10" applyFont="1" applyFill="1" applyBorder="1" applyAlignment="1" applyProtection="1">
      <alignment horizontal="left" vertical="center" wrapText="1"/>
      <protection locked="0"/>
    </xf>
    <xf numFmtId="0" fontId="8" fillId="10" borderId="62" xfId="10" applyFont="1" applyFill="1" applyBorder="1" applyAlignment="1" applyProtection="1">
      <alignment horizontal="center" vertical="center" wrapText="1"/>
      <protection locked="0"/>
    </xf>
    <xf numFmtId="10" fontId="8" fillId="10" borderId="60" xfId="10" applyNumberFormat="1" applyFont="1" applyFill="1" applyBorder="1" applyAlignment="1" applyProtection="1">
      <alignment horizontal="center" vertical="center" wrapText="1"/>
      <protection locked="0"/>
    </xf>
    <xf numFmtId="0" fontId="31" fillId="6" borderId="28" xfId="10" applyFont="1" applyFill="1" applyBorder="1" applyAlignment="1" applyProtection="1">
      <alignment vertical="center" wrapText="1"/>
      <protection locked="0"/>
    </xf>
    <xf numFmtId="4" fontId="31" fillId="6" borderId="1" xfId="10" applyNumberFormat="1" applyFont="1" applyFill="1" applyBorder="1" applyAlignment="1" applyProtection="1">
      <alignment horizontal="center" vertical="center" wrapText="1"/>
      <protection locked="0"/>
    </xf>
    <xf numFmtId="10" fontId="31" fillId="6" borderId="1" xfId="19" applyNumberFormat="1" applyFont="1" applyFill="1" applyBorder="1" applyAlignment="1" applyProtection="1">
      <alignment horizontal="center" vertical="center" wrapText="1"/>
      <protection locked="0"/>
    </xf>
    <xf numFmtId="10" fontId="31" fillId="6" borderId="29" xfId="10" applyNumberFormat="1" applyFont="1" applyFill="1" applyBorder="1" applyAlignment="1" applyProtection="1">
      <alignment horizontal="center" vertical="center" wrapText="1"/>
      <protection locked="0"/>
    </xf>
    <xf numFmtId="0" fontId="31" fillId="0" borderId="28" xfId="10" applyFont="1" applyBorder="1" applyAlignment="1" applyProtection="1">
      <alignment vertical="center" wrapText="1"/>
      <protection locked="0"/>
    </xf>
    <xf numFmtId="4" fontId="31" fillId="0" borderId="1" xfId="10" applyNumberFormat="1" applyFont="1" applyBorder="1" applyAlignment="1" applyProtection="1">
      <alignment horizontal="center" vertical="center" wrapText="1"/>
      <protection locked="0"/>
    </xf>
    <xf numFmtId="10" fontId="31" fillId="0" borderId="1" xfId="19" applyNumberFormat="1" applyFont="1" applyBorder="1" applyAlignment="1" applyProtection="1">
      <alignment horizontal="center" vertical="center" wrapText="1"/>
      <protection locked="0"/>
    </xf>
    <xf numFmtId="10" fontId="31" fillId="0" borderId="29" xfId="10" applyNumberFormat="1" applyFont="1" applyBorder="1" applyAlignment="1" applyProtection="1">
      <alignment horizontal="center" vertical="center" wrapText="1"/>
      <protection locked="0"/>
    </xf>
    <xf numFmtId="0" fontId="31" fillId="0" borderId="63" xfId="10" applyFont="1" applyBorder="1" applyAlignment="1" applyProtection="1">
      <alignment vertical="center" wrapText="1"/>
      <protection locked="0"/>
    </xf>
    <xf numFmtId="10" fontId="8" fillId="14" borderId="60" xfId="10" applyNumberFormat="1" applyFont="1" applyFill="1" applyBorder="1" applyAlignment="1" applyProtection="1">
      <alignment horizontal="center" vertical="center" wrapText="1"/>
      <protection locked="0"/>
    </xf>
    <xf numFmtId="0" fontId="31" fillId="0" borderId="0" xfId="10" applyFont="1" applyAlignment="1" applyProtection="1">
      <alignment vertical="center" wrapText="1"/>
      <protection locked="0"/>
    </xf>
    <xf numFmtId="0" fontId="31" fillId="0" borderId="0" xfId="10" applyFont="1" applyAlignment="1" applyProtection="1">
      <alignment horizontal="center" vertical="center" wrapText="1"/>
      <protection locked="0"/>
    </xf>
    <xf numFmtId="10" fontId="31" fillId="0" borderId="0" xfId="10" applyNumberFormat="1" applyFont="1" applyAlignment="1" applyProtection="1">
      <alignment horizontal="center" vertical="center" wrapText="1"/>
      <protection locked="0"/>
    </xf>
    <xf numFmtId="0" fontId="8" fillId="10" borderId="35" xfId="10" applyFont="1" applyFill="1" applyBorder="1" applyAlignment="1" applyProtection="1">
      <alignment horizontal="left" vertical="center" wrapText="1"/>
      <protection locked="0"/>
    </xf>
    <xf numFmtId="0" fontId="8" fillId="10" borderId="64" xfId="10" applyFont="1" applyFill="1" applyBorder="1" applyAlignment="1" applyProtection="1">
      <alignment horizontal="center" vertical="center" wrapText="1"/>
      <protection locked="0"/>
    </xf>
    <xf numFmtId="10" fontId="8" fillId="10" borderId="61" xfId="10" applyNumberFormat="1" applyFont="1" applyFill="1" applyBorder="1" applyAlignment="1" applyProtection="1">
      <alignment horizontal="center" vertical="center" wrapText="1"/>
      <protection locked="0"/>
    </xf>
    <xf numFmtId="0" fontId="31" fillId="0" borderId="65" xfId="10" applyFont="1" applyBorder="1" applyAlignment="1" applyProtection="1">
      <alignment vertical="center" wrapText="1"/>
      <protection locked="0"/>
    </xf>
    <xf numFmtId="180" fontId="31" fillId="0" borderId="26" xfId="10" applyNumberFormat="1" applyFont="1" applyBorder="1" applyAlignment="1" applyProtection="1">
      <alignment horizontal="center" vertical="center" wrapText="1"/>
      <protection locked="0"/>
    </xf>
    <xf numFmtId="10" fontId="31" fillId="0" borderId="26" xfId="19" applyNumberFormat="1" applyFont="1" applyBorder="1" applyAlignment="1" applyProtection="1">
      <alignment horizontal="center" vertical="center" wrapText="1"/>
      <protection locked="0"/>
    </xf>
    <xf numFmtId="10" fontId="31" fillId="0" borderId="27" xfId="10" applyNumberFormat="1" applyFont="1" applyBorder="1" applyAlignment="1" applyProtection="1">
      <alignment horizontal="center" vertical="center" wrapText="1"/>
      <protection locked="0"/>
    </xf>
    <xf numFmtId="9" fontId="31" fillId="0" borderId="1" xfId="19" applyFont="1" applyBorder="1" applyAlignment="1" applyProtection="1">
      <alignment horizontal="center" vertical="center" wrapText="1"/>
      <protection locked="0"/>
    </xf>
    <xf numFmtId="180" fontId="31" fillId="0" borderId="1" xfId="10" applyNumberFormat="1" applyFont="1" applyBorder="1" applyAlignment="1" applyProtection="1">
      <alignment horizontal="center" vertical="center" wrapText="1"/>
      <protection locked="0"/>
    </xf>
    <xf numFmtId="9" fontId="31" fillId="0" borderId="30" xfId="19" applyFont="1" applyBorder="1" applyAlignment="1" applyProtection="1">
      <alignment horizontal="center" vertical="center" wrapText="1"/>
      <protection locked="0"/>
    </xf>
    <xf numFmtId="10" fontId="31" fillId="0" borderId="30" xfId="19" applyNumberFormat="1" applyFont="1" applyBorder="1" applyAlignment="1" applyProtection="1">
      <alignment horizontal="center" vertical="center" wrapText="1"/>
      <protection locked="0"/>
    </xf>
    <xf numFmtId="10" fontId="31" fillId="0" borderId="31" xfId="10" applyNumberFormat="1" applyFont="1" applyBorder="1" applyAlignment="1" applyProtection="1">
      <alignment horizontal="center" vertical="center" wrapText="1"/>
      <protection locked="0"/>
    </xf>
    <xf numFmtId="0" fontId="31" fillId="6" borderId="65" xfId="40" applyFont="1" applyFill="1" applyBorder="1" applyAlignment="1" applyProtection="1">
      <alignment vertical="center" wrapText="1"/>
      <protection locked="0"/>
    </xf>
    <xf numFmtId="180" fontId="31" fillId="6" borderId="26" xfId="10" applyNumberFormat="1" applyFont="1" applyFill="1" applyBorder="1" applyAlignment="1" applyProtection="1">
      <alignment horizontal="center" vertical="center" wrapText="1"/>
      <protection locked="0"/>
    </xf>
    <xf numFmtId="10" fontId="31" fillId="6" borderId="27" xfId="10" applyNumberFormat="1" applyFont="1" applyFill="1" applyBorder="1" applyAlignment="1" applyProtection="1">
      <alignment horizontal="center" vertical="center" wrapText="1"/>
      <protection locked="0"/>
    </xf>
    <xf numFmtId="0" fontId="31" fillId="6" borderId="66" xfId="10" applyFont="1" applyFill="1" applyBorder="1" applyAlignment="1" applyProtection="1">
      <alignment vertical="center" wrapText="1"/>
      <protection locked="0"/>
    </xf>
    <xf numFmtId="180" fontId="31" fillId="6" borderId="17" xfId="10" applyNumberFormat="1" applyFont="1" applyFill="1" applyBorder="1" applyAlignment="1" applyProtection="1">
      <alignment horizontal="center" vertical="center" wrapText="1"/>
      <protection locked="0"/>
    </xf>
    <xf numFmtId="10" fontId="31" fillId="6" borderId="67" xfId="10" applyNumberFormat="1" applyFont="1" applyFill="1" applyBorder="1" applyAlignment="1" applyProtection="1">
      <alignment horizontal="center" vertical="center" wrapText="1"/>
      <protection locked="0"/>
    </xf>
    <xf numFmtId="0" fontId="31" fillId="6" borderId="66" xfId="8" applyFont="1" applyFill="1" applyBorder="1" applyAlignment="1" applyProtection="1">
      <alignment vertical="center" wrapText="1"/>
      <protection locked="0"/>
    </xf>
    <xf numFmtId="180" fontId="31" fillId="6" borderId="17" xfId="8" applyNumberFormat="1" applyFont="1" applyFill="1" applyBorder="1" applyAlignment="1" applyProtection="1">
      <alignment horizontal="center" vertical="center" wrapText="1"/>
      <protection locked="0"/>
    </xf>
    <xf numFmtId="10" fontId="31" fillId="6" borderId="67" xfId="8" applyNumberFormat="1" applyFont="1" applyFill="1" applyBorder="1" applyAlignment="1" applyProtection="1">
      <alignment horizontal="center" vertical="center" wrapText="1"/>
      <protection locked="0"/>
    </xf>
    <xf numFmtId="0" fontId="45" fillId="6" borderId="1" xfId="0" applyFont="1" applyFill="1" applyBorder="1" applyAlignment="1">
      <alignment horizontal="left" vertical="center" wrapText="1"/>
    </xf>
    <xf numFmtId="42" fontId="31" fillId="6" borderId="1" xfId="53" applyFont="1" applyFill="1" applyBorder="1" applyAlignment="1" applyProtection="1">
      <alignment horizontal="center" vertical="center" wrapText="1"/>
      <protection locked="0"/>
    </xf>
    <xf numFmtId="42" fontId="31" fillId="0" borderId="1" xfId="53" applyFont="1" applyBorder="1" applyAlignment="1" applyProtection="1">
      <alignment horizontal="center" vertical="center" wrapText="1"/>
      <protection locked="0"/>
    </xf>
    <xf numFmtId="42" fontId="8" fillId="14" borderId="62" xfId="53" applyFont="1" applyFill="1" applyBorder="1" applyAlignment="1" applyProtection="1">
      <alignment horizontal="center" vertical="center" wrapText="1"/>
      <protection locked="0"/>
    </xf>
    <xf numFmtId="42" fontId="31" fillId="0" borderId="1" xfId="53" applyFont="1" applyFill="1" applyBorder="1" applyAlignment="1" applyProtection="1">
      <alignment horizontal="center" vertical="center" wrapText="1"/>
      <protection locked="0"/>
    </xf>
    <xf numFmtId="42" fontId="31" fillId="0" borderId="30" xfId="53" applyFont="1" applyFill="1" applyBorder="1" applyAlignment="1" applyProtection="1">
      <alignment horizontal="center" vertical="center" wrapText="1"/>
      <protection locked="0"/>
    </xf>
    <xf numFmtId="9" fontId="31" fillId="0" borderId="1" xfId="1" applyFont="1" applyBorder="1" applyAlignment="1" applyProtection="1">
      <alignment horizontal="center" vertical="center" wrapText="1"/>
      <protection locked="0"/>
    </xf>
    <xf numFmtId="42" fontId="31" fillId="0" borderId="26" xfId="53" applyFont="1" applyFill="1" applyBorder="1" applyAlignment="1" applyProtection="1">
      <alignment horizontal="center" vertical="center" wrapText="1"/>
      <protection locked="0"/>
    </xf>
    <xf numFmtId="42" fontId="31" fillId="0" borderId="26" xfId="53" applyFont="1" applyBorder="1" applyAlignment="1" applyProtection="1">
      <alignment horizontal="center" vertical="center" wrapText="1"/>
      <protection locked="0"/>
    </xf>
    <xf numFmtId="42" fontId="31" fillId="0" borderId="30" xfId="53" applyFont="1" applyBorder="1" applyAlignment="1" applyProtection="1">
      <alignment horizontal="center" vertical="center" wrapText="1"/>
      <protection locked="0"/>
    </xf>
    <xf numFmtId="2" fontId="31" fillId="6" borderId="26" xfId="10" applyNumberFormat="1" applyFont="1" applyFill="1" applyBorder="1" applyAlignment="1" applyProtection="1">
      <alignment horizontal="center" vertical="center" wrapText="1"/>
      <protection locked="0"/>
    </xf>
    <xf numFmtId="2" fontId="31" fillId="6" borderId="17" xfId="10" applyNumberFormat="1" applyFont="1" applyFill="1" applyBorder="1" applyAlignment="1" applyProtection="1">
      <alignment horizontal="center" vertical="center" wrapText="1"/>
      <protection locked="0"/>
    </xf>
    <xf numFmtId="2" fontId="31" fillId="6" borderId="17" xfId="8" applyNumberFormat="1" applyFont="1" applyFill="1" applyBorder="1" applyAlignment="1" applyProtection="1">
      <alignment horizontal="center" vertical="center" wrapText="1"/>
      <protection locked="0"/>
    </xf>
    <xf numFmtId="42" fontId="31" fillId="6" borderId="64" xfId="53" applyFont="1" applyFill="1" applyBorder="1" applyAlignment="1" applyProtection="1">
      <alignment horizontal="center" vertical="center" wrapText="1"/>
      <protection locked="0"/>
    </xf>
    <xf numFmtId="0" fontId="8" fillId="0" borderId="65" xfId="10" applyFont="1" applyBorder="1" applyAlignment="1" applyProtection="1">
      <alignment vertical="center" wrapText="1"/>
      <protection locked="0"/>
    </xf>
    <xf numFmtId="0" fontId="8" fillId="0" borderId="28" xfId="10" applyFont="1" applyBorder="1" applyAlignment="1" applyProtection="1">
      <alignment vertical="center" wrapText="1"/>
      <protection locked="0"/>
    </xf>
    <xf numFmtId="10" fontId="31" fillId="0" borderId="29" xfId="10" applyNumberFormat="1" applyFont="1" applyBorder="1" applyAlignment="1">
      <alignment horizontal="center" vertical="center" wrapText="1"/>
    </xf>
    <xf numFmtId="0" fontId="8" fillId="0" borderId="63" xfId="10" applyFont="1" applyBorder="1" applyAlignment="1" applyProtection="1">
      <alignment vertical="center" wrapText="1"/>
      <protection locked="0"/>
    </xf>
    <xf numFmtId="172" fontId="31" fillId="0" borderId="27" xfId="10" applyNumberFormat="1" applyFont="1" applyBorder="1" applyAlignment="1" applyProtection="1">
      <alignment horizontal="center" vertical="center" wrapText="1"/>
      <protection locked="0"/>
    </xf>
    <xf numFmtId="172" fontId="31" fillId="0" borderId="29" xfId="10" applyNumberFormat="1" applyFont="1" applyBorder="1" applyAlignment="1" applyProtection="1">
      <alignment horizontal="center" vertical="center" wrapText="1"/>
      <protection locked="0"/>
    </xf>
    <xf numFmtId="172" fontId="31" fillId="0" borderId="31" xfId="10" applyNumberFormat="1" applyFont="1" applyBorder="1" applyAlignment="1" applyProtection="1">
      <alignment horizontal="center" vertical="center" wrapText="1"/>
      <protection locked="0"/>
    </xf>
    <xf numFmtId="172" fontId="14" fillId="0" borderId="0" xfId="10" applyNumberFormat="1" applyFont="1" applyAlignment="1" applyProtection="1">
      <alignment horizontal="center" vertical="center" wrapText="1"/>
      <protection locked="0"/>
    </xf>
    <xf numFmtId="0" fontId="47" fillId="0" borderId="0" xfId="8" applyFont="1"/>
    <xf numFmtId="0" fontId="47" fillId="0" borderId="1" xfId="8" applyFont="1" applyBorder="1" applyAlignment="1">
      <alignment wrapText="1"/>
    </xf>
    <xf numFmtId="0" fontId="47" fillId="0" borderId="0" xfId="8" applyFont="1" applyAlignment="1">
      <alignment wrapText="1"/>
    </xf>
    <xf numFmtId="10" fontId="31" fillId="0" borderId="0" xfId="8" applyNumberFormat="1" applyFont="1"/>
    <xf numFmtId="0" fontId="47" fillId="0" borderId="1" xfId="8" applyFont="1" applyBorder="1"/>
    <xf numFmtId="177" fontId="47" fillId="0" borderId="1" xfId="8" applyNumberFormat="1" applyFont="1" applyBorder="1"/>
    <xf numFmtId="9" fontId="46" fillId="0" borderId="0" xfId="19" applyFont="1"/>
    <xf numFmtId="177" fontId="46" fillId="0" borderId="1" xfId="8" applyNumberFormat="1" applyFont="1" applyBorder="1" applyAlignment="1">
      <alignment horizontal="center" vertical="center" wrapText="1"/>
    </xf>
    <xf numFmtId="3" fontId="46" fillId="0" borderId="1" xfId="8" applyNumberFormat="1" applyFont="1" applyBorder="1" applyAlignment="1">
      <alignment horizontal="center" vertical="center" wrapText="1"/>
    </xf>
    <xf numFmtId="10" fontId="47" fillId="0" borderId="1" xfId="19" applyNumberFormat="1" applyFont="1" applyBorder="1"/>
    <xf numFmtId="170" fontId="47" fillId="0" borderId="1" xfId="8" applyNumberFormat="1" applyFont="1" applyBorder="1"/>
    <xf numFmtId="10" fontId="47" fillId="0" borderId="1" xfId="19" applyNumberFormat="1" applyFont="1" applyFill="1" applyBorder="1"/>
    <xf numFmtId="9" fontId="47" fillId="0" borderId="1" xfId="19" applyFont="1" applyFill="1" applyBorder="1"/>
    <xf numFmtId="0" fontId="31" fillId="0" borderId="1" xfId="8" applyFont="1" applyBorder="1"/>
    <xf numFmtId="0" fontId="47" fillId="0" borderId="1" xfId="8" applyFont="1" applyBorder="1" applyAlignment="1">
      <alignment horizontal="center" vertical="center" wrapText="1"/>
    </xf>
    <xf numFmtId="10" fontId="47" fillId="0" borderId="1" xfId="8" applyNumberFormat="1" applyFont="1" applyBorder="1" applyAlignment="1">
      <alignment horizontal="center"/>
    </xf>
    <xf numFmtId="10" fontId="47" fillId="0" borderId="1" xfId="20" applyNumberFormat="1" applyFont="1" applyBorder="1" applyAlignment="1">
      <alignment horizontal="center"/>
    </xf>
    <xf numFmtId="10" fontId="46" fillId="0" borderId="1" xfId="8" applyNumberFormat="1" applyFont="1" applyBorder="1" applyAlignment="1">
      <alignment horizontal="center"/>
    </xf>
    <xf numFmtId="10" fontId="47" fillId="0" borderId="0" xfId="8" applyNumberFormat="1" applyFont="1" applyAlignment="1">
      <alignment horizontal="center"/>
    </xf>
    <xf numFmtId="10" fontId="47" fillId="0" borderId="1" xfId="8" applyNumberFormat="1" applyFont="1" applyBorder="1" applyAlignment="1">
      <alignment horizontal="center" vertical="center" wrapText="1"/>
    </xf>
    <xf numFmtId="0" fontId="29" fillId="0" borderId="0" xfId="40" applyFont="1" applyAlignment="1">
      <alignment horizontal="center" vertical="center"/>
    </xf>
    <xf numFmtId="0" fontId="48" fillId="0" borderId="0" xfId="8" applyFont="1"/>
    <xf numFmtId="1" fontId="29" fillId="20" borderId="12" xfId="40" applyNumberFormat="1" applyFont="1" applyFill="1" applyBorder="1" applyAlignment="1">
      <alignment vertical="center" wrapText="1"/>
    </xf>
    <xf numFmtId="3" fontId="48" fillId="20" borderId="1" xfId="40" applyNumberFormat="1" applyFont="1" applyFill="1" applyBorder="1"/>
    <xf numFmtId="10" fontId="48" fillId="20" borderId="1" xfId="40" applyNumberFormat="1" applyFont="1" applyFill="1" applyBorder="1"/>
    <xf numFmtId="0" fontId="48" fillId="21" borderId="0" xfId="40" applyFont="1" applyFill="1"/>
    <xf numFmtId="175" fontId="29" fillId="21" borderId="0" xfId="17" applyNumberFormat="1" applyFont="1" applyFill="1" applyAlignment="1" applyProtection="1">
      <alignment vertical="center"/>
    </xf>
    <xf numFmtId="3" fontId="48" fillId="21" borderId="0" xfId="40" applyNumberFormat="1" applyFont="1" applyFill="1" applyAlignment="1">
      <alignment vertical="center"/>
    </xf>
    <xf numFmtId="3" fontId="48" fillId="0" borderId="0" xfId="40" applyNumberFormat="1" applyFont="1" applyAlignment="1">
      <alignment vertical="center"/>
    </xf>
    <xf numFmtId="42" fontId="29" fillId="0" borderId="1" xfId="53" applyFont="1" applyBorder="1" applyAlignment="1" applyProtection="1">
      <alignment horizontal="center" vertical="center"/>
    </xf>
    <xf numFmtId="10" fontId="48" fillId="0" borderId="0" xfId="40" applyNumberFormat="1" applyFont="1" applyAlignment="1">
      <alignment vertical="center"/>
    </xf>
    <xf numFmtId="42" fontId="48" fillId="10" borderId="1" xfId="53" applyFont="1" applyFill="1" applyBorder="1" applyAlignment="1" applyProtection="1">
      <alignment horizontal="center" vertical="center"/>
      <protection locked="0"/>
    </xf>
    <xf numFmtId="175" fontId="29" fillId="0" borderId="0" xfId="17" applyNumberFormat="1" applyFont="1" applyAlignment="1" applyProtection="1">
      <alignment vertical="center"/>
    </xf>
    <xf numFmtId="174" fontId="29" fillId="19" borderId="0" xfId="40" applyNumberFormat="1" applyFont="1" applyFill="1"/>
    <xf numFmtId="3" fontId="29" fillId="19" borderId="0" xfId="40" applyNumberFormat="1" applyFont="1" applyFill="1"/>
    <xf numFmtId="10" fontId="29" fillId="19" borderId="0" xfId="40" applyNumberFormat="1" applyFont="1" applyFill="1"/>
    <xf numFmtId="0" fontId="29" fillId="19" borderId="0" xfId="40" applyFont="1" applyFill="1"/>
    <xf numFmtId="42" fontId="48" fillId="10" borderId="1" xfId="53" applyFont="1" applyFill="1" applyBorder="1" applyProtection="1"/>
    <xf numFmtId="0" fontId="48" fillId="0" borderId="0" xfId="40" applyFont="1"/>
    <xf numFmtId="1" fontId="0" fillId="6" borderId="16" xfId="0" applyNumberFormat="1" applyFill="1" applyBorder="1" applyAlignment="1">
      <alignment vertical="center" wrapText="1"/>
    </xf>
    <xf numFmtId="42" fontId="1" fillId="6" borderId="16" xfId="53" applyFont="1" applyFill="1" applyBorder="1" applyAlignment="1">
      <alignment wrapText="1"/>
    </xf>
    <xf numFmtId="0" fontId="0" fillId="6" borderId="16" xfId="0" applyFill="1" applyBorder="1" applyAlignment="1">
      <alignment horizontal="center" vertical="center" wrapText="1"/>
    </xf>
    <xf numFmtId="42" fontId="29" fillId="0" borderId="10" xfId="53" applyFont="1" applyBorder="1" applyAlignment="1" applyProtection="1">
      <alignment horizontal="center" vertical="center"/>
    </xf>
    <xf numFmtId="49" fontId="49" fillId="6" borderId="1" xfId="60" applyNumberFormat="1" applyFont="1" applyFill="1" applyBorder="1" applyAlignment="1">
      <alignment vertical="center"/>
    </xf>
    <xf numFmtId="49" fontId="49" fillId="6" borderId="1" xfId="60" applyNumberFormat="1" applyFont="1" applyFill="1" applyBorder="1" applyAlignment="1">
      <alignment vertical="center" wrapText="1"/>
    </xf>
    <xf numFmtId="10" fontId="49" fillId="6" borderId="1" xfId="16" applyNumberFormat="1" applyFont="1" applyFill="1" applyBorder="1" applyAlignment="1" applyProtection="1">
      <alignment vertical="center"/>
    </xf>
    <xf numFmtId="42" fontId="49" fillId="6" borderId="1" xfId="53" applyFont="1" applyFill="1" applyBorder="1" applyProtection="1"/>
    <xf numFmtId="0" fontId="49" fillId="6" borderId="0" xfId="8" applyFont="1" applyFill="1"/>
    <xf numFmtId="0" fontId="8" fillId="0" borderId="16" xfId="40" applyFont="1" applyBorder="1" applyAlignment="1">
      <alignment horizontal="center" vertical="center" wrapText="1"/>
    </xf>
    <xf numFmtId="10" fontId="10" fillId="0" borderId="17" xfId="40" applyNumberFormat="1" applyFont="1" applyBorder="1" applyAlignment="1">
      <alignment horizontal="center" vertical="center" wrapText="1"/>
    </xf>
    <xf numFmtId="0" fontId="8" fillId="0" borderId="0" xfId="8" applyFont="1" applyAlignment="1">
      <alignment horizontal="center" vertical="center"/>
    </xf>
    <xf numFmtId="0" fontId="31" fillId="12" borderId="10" xfId="8" applyFont="1" applyFill="1" applyBorder="1" applyAlignment="1">
      <alignment horizontal="center"/>
    </xf>
    <xf numFmtId="0" fontId="31" fillId="12" borderId="11" xfId="8" applyFont="1" applyFill="1" applyBorder="1"/>
    <xf numFmtId="166" fontId="31" fillId="12" borderId="12" xfId="44" applyFont="1" applyFill="1" applyBorder="1" applyProtection="1"/>
    <xf numFmtId="0" fontId="31" fillId="12" borderId="0" xfId="8" applyFont="1" applyFill="1"/>
    <xf numFmtId="10" fontId="8" fillId="0" borderId="1" xfId="16" applyNumberFormat="1" applyFont="1" applyFill="1" applyBorder="1" applyAlignment="1" applyProtection="1">
      <alignment horizontal="center"/>
    </xf>
    <xf numFmtId="3" fontId="8" fillId="0" borderId="0" xfId="8" applyNumberFormat="1" applyFont="1"/>
    <xf numFmtId="10" fontId="8" fillId="0" borderId="0" xfId="8" applyNumberFormat="1" applyFont="1"/>
    <xf numFmtId="0" fontId="8" fillId="15" borderId="1" xfId="0" applyFont="1" applyFill="1" applyBorder="1" applyAlignment="1">
      <alignment vertical="center"/>
    </xf>
    <xf numFmtId="9" fontId="8" fillId="16" borderId="1" xfId="1" applyFont="1" applyFill="1" applyBorder="1" applyAlignment="1">
      <alignment horizontal="center" vertical="center"/>
    </xf>
    <xf numFmtId="0" fontId="31" fillId="0" borderId="1" xfId="8" applyFont="1" applyBorder="1" applyAlignment="1">
      <alignment vertical="center"/>
    </xf>
    <xf numFmtId="10" fontId="8" fillId="0" borderId="1" xfId="1" applyNumberFormat="1" applyFont="1" applyBorder="1" applyAlignment="1" applyProtection="1">
      <alignment horizontal="center" vertical="center"/>
    </xf>
    <xf numFmtId="0" fontId="31" fillId="0" borderId="0" xfId="8" applyFont="1" applyAlignment="1">
      <alignment vertical="center"/>
    </xf>
    <xf numFmtId="166" fontId="8" fillId="0" borderId="1" xfId="44" applyFont="1" applyBorder="1" applyAlignment="1" applyProtection="1">
      <alignment vertical="center"/>
    </xf>
    <xf numFmtId="10" fontId="8" fillId="0" borderId="1" xfId="1" applyNumberFormat="1" applyFont="1" applyBorder="1" applyAlignment="1" applyProtection="1">
      <alignment vertical="center"/>
    </xf>
    <xf numFmtId="0" fontId="8" fillId="0" borderId="0" xfId="8" applyFont="1" applyAlignment="1">
      <alignment vertical="center"/>
    </xf>
    <xf numFmtId="3" fontId="31" fillId="12" borderId="11" xfId="8" applyNumberFormat="1" applyFont="1" applyFill="1" applyBorder="1"/>
    <xf numFmtId="0" fontId="31" fillId="12" borderId="12" xfId="8" applyFont="1" applyFill="1" applyBorder="1"/>
    <xf numFmtId="3" fontId="8" fillId="0" borderId="1" xfId="8" applyNumberFormat="1" applyFont="1" applyBorder="1" applyAlignment="1">
      <alignment vertical="center"/>
    </xf>
    <xf numFmtId="3" fontId="8" fillId="0" borderId="0" xfId="8" applyNumberFormat="1" applyFont="1" applyAlignment="1">
      <alignment vertical="center"/>
    </xf>
    <xf numFmtId="0" fontId="8" fillId="10" borderId="10" xfId="0" applyFont="1" applyFill="1" applyBorder="1" applyAlignment="1">
      <alignment horizontal="centerContinuous" vertical="center"/>
    </xf>
    <xf numFmtId="0" fontId="8" fillId="10" borderId="12" xfId="0" applyFont="1" applyFill="1" applyBorder="1" applyAlignment="1">
      <alignment horizontal="centerContinuous" vertical="center"/>
    </xf>
    <xf numFmtId="0" fontId="31" fillId="10" borderId="1" xfId="8" applyFont="1" applyFill="1" applyBorder="1" applyAlignment="1">
      <alignment horizontal="centerContinuous" vertical="center"/>
    </xf>
    <xf numFmtId="3" fontId="31" fillId="10" borderId="1" xfId="8" applyNumberFormat="1" applyFont="1" applyFill="1" applyBorder="1" applyAlignment="1">
      <alignment horizontal="centerContinuous" vertical="center"/>
    </xf>
    <xf numFmtId="0" fontId="31" fillId="12" borderId="9" xfId="8" applyFont="1" applyFill="1" applyBorder="1"/>
    <xf numFmtId="0" fontId="31" fillId="12" borderId="8" xfId="8" applyFont="1" applyFill="1" applyBorder="1"/>
    <xf numFmtId="0" fontId="8" fillId="9" borderId="1" xfId="0" applyFont="1" applyFill="1" applyBorder="1" applyAlignment="1">
      <alignment horizontal="center" vertical="center"/>
    </xf>
    <xf numFmtId="17" fontId="8" fillId="9" borderId="1" xfId="8" applyNumberFormat="1" applyFont="1" applyFill="1" applyBorder="1" applyAlignment="1">
      <alignment horizontal="center" vertical="center"/>
    </xf>
    <xf numFmtId="49" fontId="45" fillId="0" borderId="1" xfId="0" applyNumberFormat="1" applyFont="1" applyBorder="1"/>
    <xf numFmtId="166" fontId="31" fillId="0" borderId="1" xfId="44" applyFont="1" applyBorder="1" applyAlignment="1" applyProtection="1">
      <alignment vertical="center"/>
    </xf>
    <xf numFmtId="3" fontId="31" fillId="0" borderId="0" xfId="8" applyNumberFormat="1" applyFont="1" applyAlignment="1">
      <alignment vertical="center"/>
    </xf>
    <xf numFmtId="49" fontId="8" fillId="0" borderId="1" xfId="0" applyNumberFormat="1" applyFont="1" applyBorder="1" applyAlignment="1">
      <alignment horizontal="center" vertical="center"/>
    </xf>
    <xf numFmtId="0" fontId="8" fillId="0" borderId="1" xfId="8" applyFont="1" applyBorder="1" applyAlignment="1">
      <alignment horizontal="center" vertical="center"/>
    </xf>
    <xf numFmtId="0" fontId="31" fillId="12" borderId="5" xfId="8" applyFont="1" applyFill="1" applyBorder="1"/>
    <xf numFmtId="0" fontId="31" fillId="12" borderId="6" xfId="8" applyFont="1" applyFill="1" applyBorder="1"/>
    <xf numFmtId="176" fontId="31" fillId="0" borderId="0" xfId="16" applyNumberFormat="1" applyFont="1" applyProtection="1"/>
    <xf numFmtId="42" fontId="8" fillId="0" borderId="1" xfId="53" applyFont="1" applyFill="1" applyBorder="1" applyProtection="1"/>
    <xf numFmtId="42" fontId="8" fillId="0" borderId="1" xfId="53" applyFont="1" applyFill="1" applyBorder="1" applyAlignment="1" applyProtection="1">
      <alignment vertical="center"/>
    </xf>
    <xf numFmtId="42" fontId="8" fillId="0" borderId="1" xfId="53" applyFont="1" applyBorder="1" applyAlignment="1" applyProtection="1">
      <alignment vertical="center"/>
    </xf>
    <xf numFmtId="42" fontId="31" fillId="12" borderId="12" xfId="53" applyFont="1" applyFill="1" applyBorder="1" applyProtection="1"/>
    <xf numFmtId="42" fontId="8" fillId="0" borderId="1" xfId="53" applyFont="1" applyBorder="1" applyAlignment="1" applyProtection="1">
      <alignment horizontal="center" vertical="center"/>
    </xf>
    <xf numFmtId="0" fontId="8" fillId="0" borderId="24" xfId="8" applyFont="1" applyBorder="1" applyAlignment="1" applyProtection="1">
      <alignment vertical="center"/>
      <protection locked="0"/>
    </xf>
    <xf numFmtId="179" fontId="8" fillId="10" borderId="1" xfId="21" applyNumberFormat="1" applyFont="1" applyFill="1" applyBorder="1" applyAlignment="1" applyProtection="1">
      <alignment horizontal="center" vertical="center" wrapText="1"/>
      <protection locked="0"/>
    </xf>
    <xf numFmtId="0" fontId="8" fillId="10" borderId="1" xfId="8" applyFont="1" applyFill="1" applyBorder="1" applyAlignment="1">
      <alignment horizontal="center"/>
    </xf>
    <xf numFmtId="0" fontId="31" fillId="0" borderId="1" xfId="8" applyFont="1" applyBorder="1" applyAlignment="1">
      <alignment horizontal="center" vertical="center"/>
    </xf>
    <xf numFmtId="172" fontId="8" fillId="9" borderId="12" xfId="8" applyNumberFormat="1" applyFont="1" applyFill="1" applyBorder="1" applyAlignment="1">
      <alignment vertical="center"/>
    </xf>
    <xf numFmtId="172" fontId="8" fillId="9" borderId="1" xfId="8" applyNumberFormat="1" applyFont="1" applyFill="1" applyBorder="1"/>
    <xf numFmtId="172" fontId="8" fillId="9" borderId="12" xfId="8" applyNumberFormat="1" applyFont="1" applyFill="1" applyBorder="1"/>
    <xf numFmtId="10" fontId="8" fillId="9" borderId="12" xfId="19" applyNumberFormat="1" applyFont="1" applyFill="1" applyBorder="1" applyAlignment="1"/>
    <xf numFmtId="42" fontId="31" fillId="0" borderId="1" xfId="53" applyFont="1" applyFill="1" applyBorder="1" applyAlignment="1" applyProtection="1">
      <alignment horizontal="right" vertical="center" wrapText="1"/>
      <protection locked="0"/>
    </xf>
    <xf numFmtId="42" fontId="8" fillId="9" borderId="1" xfId="53" applyFont="1" applyFill="1" applyBorder="1" applyAlignment="1">
      <alignment vertical="center"/>
    </xf>
    <xf numFmtId="42" fontId="8" fillId="9" borderId="1" xfId="53" applyFont="1" applyFill="1" applyBorder="1" applyAlignment="1"/>
    <xf numFmtId="179" fontId="5" fillId="0" borderId="26" xfId="22" applyNumberFormat="1" applyFont="1" applyFill="1" applyBorder="1" applyAlignment="1" applyProtection="1">
      <alignment horizontal="center" vertical="center" wrapText="1"/>
      <protection locked="0"/>
    </xf>
    <xf numFmtId="42" fontId="5" fillId="0" borderId="1" xfId="53" applyFont="1" applyFill="1" applyBorder="1" applyAlignment="1" applyProtection="1">
      <alignment horizontal="center" vertical="center" wrapText="1"/>
      <protection locked="0"/>
    </xf>
    <xf numFmtId="9" fontId="5" fillId="0" borderId="1" xfId="1" applyFont="1" applyFill="1" applyBorder="1" applyAlignment="1" applyProtection="1">
      <alignment horizontal="center" vertical="center" wrapText="1"/>
      <protection locked="0"/>
    </xf>
    <xf numFmtId="178" fontId="5" fillId="0" borderId="1" xfId="22" applyNumberFormat="1" applyFont="1" applyFill="1" applyBorder="1" applyAlignment="1" applyProtection="1">
      <alignment horizontal="center" vertical="center" wrapText="1"/>
      <protection locked="0"/>
    </xf>
    <xf numFmtId="179" fontId="5" fillId="0" borderId="1" xfId="22" applyNumberFormat="1" applyFont="1" applyFill="1" applyBorder="1" applyAlignment="1" applyProtection="1">
      <alignment horizontal="center" vertical="center" wrapText="1"/>
      <protection locked="0"/>
    </xf>
    <xf numFmtId="0" fontId="31" fillId="0" borderId="0" xfId="40" applyFont="1" applyAlignment="1" applyProtection="1">
      <alignment vertical="center"/>
      <protection locked="0"/>
    </xf>
    <xf numFmtId="0" fontId="8" fillId="0" borderId="24" xfId="40" applyFont="1" applyBorder="1" applyAlignment="1" applyProtection="1">
      <alignment horizontal="centerContinuous" vertical="center"/>
      <protection locked="0"/>
    </xf>
    <xf numFmtId="0" fontId="8" fillId="0" borderId="25" xfId="40" applyFont="1" applyBorder="1" applyAlignment="1" applyProtection="1">
      <alignment horizontal="centerContinuous" vertical="center"/>
      <protection locked="0"/>
    </xf>
    <xf numFmtId="0" fontId="8" fillId="0" borderId="15" xfId="40" applyFont="1" applyBorder="1" applyAlignment="1" applyProtection="1">
      <alignment horizontal="centerContinuous" vertical="center"/>
      <protection locked="0"/>
    </xf>
    <xf numFmtId="0" fontId="8" fillId="0" borderId="57" xfId="40" applyFont="1" applyBorder="1" applyAlignment="1" applyProtection="1">
      <alignment horizontal="center"/>
      <protection locked="0"/>
    </xf>
    <xf numFmtId="0" fontId="8" fillId="0" borderId="60" xfId="40" applyFont="1" applyBorder="1" applyAlignment="1" applyProtection="1">
      <alignment horizontal="center" vertical="center" wrapText="1"/>
      <protection locked="0"/>
    </xf>
    <xf numFmtId="0" fontId="8" fillId="0" borderId="59" xfId="40" applyFont="1" applyBorder="1" applyAlignment="1" applyProtection="1">
      <alignment horizontal="center" vertical="center" wrapText="1"/>
      <protection locked="0"/>
    </xf>
    <xf numFmtId="0" fontId="8" fillId="0" borderId="62" xfId="40" applyFont="1" applyBorder="1" applyAlignment="1" applyProtection="1">
      <alignment horizontal="center" vertical="center" wrapText="1"/>
      <protection locked="0"/>
    </xf>
    <xf numFmtId="0" fontId="52" fillId="11" borderId="65" xfId="40" applyFont="1" applyFill="1" applyBorder="1" applyAlignment="1" applyProtection="1">
      <alignment vertical="center"/>
      <protection locked="0"/>
    </xf>
    <xf numFmtId="0" fontId="42" fillId="11" borderId="27" xfId="40" applyFont="1" applyFill="1" applyBorder="1" applyAlignment="1" applyProtection="1">
      <alignment horizontal="center" vertical="center" wrapText="1"/>
      <protection locked="0"/>
    </xf>
    <xf numFmtId="0" fontId="42" fillId="11" borderId="50" xfId="40" applyFont="1" applyFill="1" applyBorder="1" applyAlignment="1" applyProtection="1">
      <alignment horizontal="center" vertical="center" wrapText="1"/>
      <protection locked="0"/>
    </xf>
    <xf numFmtId="0" fontId="42" fillId="11" borderId="26" xfId="40" applyFont="1" applyFill="1" applyBorder="1" applyAlignment="1" applyProtection="1">
      <alignment horizontal="center" vertical="center" wrapText="1"/>
      <protection locked="0"/>
    </xf>
    <xf numFmtId="0" fontId="52" fillId="11" borderId="63" xfId="40" applyFont="1" applyFill="1" applyBorder="1" applyAlignment="1" applyProtection="1">
      <alignment vertical="center"/>
      <protection locked="0"/>
    </xf>
    <xf numFmtId="0" fontId="42" fillId="11" borderId="31" xfId="40" applyFont="1" applyFill="1" applyBorder="1" applyAlignment="1" applyProtection="1">
      <alignment horizontal="center" vertical="center" wrapText="1"/>
      <protection locked="0"/>
    </xf>
    <xf numFmtId="2" fontId="42" fillId="11" borderId="63" xfId="16" applyNumberFormat="1" applyFont="1" applyFill="1" applyBorder="1" applyAlignment="1" applyProtection="1">
      <alignment horizontal="center" vertical="center" wrapText="1"/>
      <protection locked="0"/>
    </xf>
    <xf numFmtId="2" fontId="42" fillId="11" borderId="30" xfId="16" applyNumberFormat="1" applyFont="1" applyFill="1" applyBorder="1" applyAlignment="1" applyProtection="1">
      <alignment horizontal="center" vertical="center" wrapText="1"/>
      <protection locked="0"/>
    </xf>
    <xf numFmtId="2" fontId="42" fillId="11" borderId="31" xfId="16" applyNumberFormat="1" applyFont="1" applyFill="1" applyBorder="1" applyAlignment="1" applyProtection="1">
      <alignment horizontal="center" vertical="center" wrapText="1"/>
      <protection locked="0"/>
    </xf>
    <xf numFmtId="0" fontId="8" fillId="0" borderId="35" xfId="40" applyFont="1" applyBorder="1" applyAlignment="1" applyProtection="1">
      <alignment horizontal="center" vertical="center"/>
      <protection locked="0"/>
    </xf>
    <xf numFmtId="0" fontId="8" fillId="0" borderId="27" xfId="40" applyFont="1" applyBorder="1" applyAlignment="1" applyProtection="1">
      <alignment vertical="center"/>
      <protection locked="0"/>
    </xf>
    <xf numFmtId="2" fontId="31" fillId="0" borderId="65" xfId="40" applyNumberFormat="1" applyFont="1" applyBorder="1" applyAlignment="1" applyProtection="1">
      <alignment horizontal="center" vertical="center"/>
      <protection locked="0"/>
    </xf>
    <xf numFmtId="2" fontId="31" fillId="0" borderId="26" xfId="40" applyNumberFormat="1" applyFont="1" applyBorder="1" applyAlignment="1" applyProtection="1">
      <alignment horizontal="center" vertical="center"/>
      <protection locked="0"/>
    </xf>
    <xf numFmtId="2" fontId="31" fillId="0" borderId="27" xfId="40" applyNumberFormat="1" applyFont="1" applyBorder="1" applyAlignment="1" applyProtection="1">
      <alignment horizontal="center" vertical="center"/>
      <protection locked="0"/>
    </xf>
    <xf numFmtId="0" fontId="8" fillId="0" borderId="37" xfId="40" applyFont="1" applyBorder="1" applyAlignment="1" applyProtection="1">
      <alignment horizontal="center" vertical="center"/>
      <protection locked="0"/>
    </xf>
    <xf numFmtId="0" fontId="8" fillId="0" borderId="31" xfId="40" applyFont="1" applyBorder="1" applyAlignment="1" applyProtection="1">
      <alignment vertical="center"/>
      <protection locked="0"/>
    </xf>
    <xf numFmtId="2" fontId="31" fillId="0" borderId="63" xfId="40" applyNumberFormat="1" applyFont="1" applyBorder="1" applyAlignment="1" applyProtection="1">
      <alignment horizontal="center" vertical="center"/>
      <protection locked="0"/>
    </xf>
    <xf numFmtId="2" fontId="31" fillId="0" borderId="30" xfId="40" applyNumberFormat="1" applyFont="1" applyBorder="1" applyAlignment="1" applyProtection="1">
      <alignment horizontal="center" vertical="center"/>
      <protection locked="0"/>
    </xf>
    <xf numFmtId="2" fontId="31" fillId="0" borderId="31" xfId="40" applyNumberFormat="1" applyFont="1" applyBorder="1" applyAlignment="1" applyProtection="1">
      <alignment horizontal="center" vertical="center"/>
      <protection locked="0"/>
    </xf>
    <xf numFmtId="0" fontId="8" fillId="17" borderId="35" xfId="40" applyFont="1" applyFill="1" applyBorder="1" applyAlignment="1" applyProtection="1">
      <alignment horizontal="center" vertical="center"/>
      <protection locked="0"/>
    </xf>
    <xf numFmtId="0" fontId="8" fillId="17" borderId="27" xfId="40" applyFont="1" applyFill="1" applyBorder="1" applyAlignment="1" applyProtection="1">
      <alignment vertical="center"/>
      <protection locked="0"/>
    </xf>
    <xf numFmtId="2" fontId="31" fillId="17" borderId="65" xfId="40" applyNumberFormat="1" applyFont="1" applyFill="1" applyBorder="1" applyAlignment="1" applyProtection="1">
      <alignment horizontal="center" vertical="center"/>
      <protection locked="0"/>
    </xf>
    <xf numFmtId="0" fontId="8" fillId="17" borderId="66" xfId="40" applyFont="1" applyFill="1" applyBorder="1" applyAlignment="1" applyProtection="1">
      <alignment horizontal="center" vertical="center"/>
      <protection locked="0"/>
    </xf>
    <xf numFmtId="0" fontId="8" fillId="17" borderId="29" xfId="40" applyFont="1" applyFill="1" applyBorder="1" applyAlignment="1" applyProtection="1">
      <alignment vertical="center"/>
      <protection locked="0"/>
    </xf>
    <xf numFmtId="2" fontId="31" fillId="17" borderId="28" xfId="40" applyNumberFormat="1" applyFont="1" applyFill="1" applyBorder="1" applyAlignment="1" applyProtection="1">
      <alignment horizontal="center" vertical="center"/>
      <protection locked="0"/>
    </xf>
    <xf numFmtId="0" fontId="8" fillId="18" borderId="68" xfId="40" applyFont="1" applyFill="1" applyBorder="1" applyAlignment="1" applyProtection="1">
      <alignment horizontal="center" vertical="center"/>
      <protection locked="0"/>
    </xf>
    <xf numFmtId="0" fontId="8" fillId="18" borderId="29" xfId="40" applyFont="1" applyFill="1" applyBorder="1" applyAlignment="1" applyProtection="1">
      <alignment vertical="center"/>
      <protection locked="0"/>
    </xf>
    <xf numFmtId="2" fontId="31" fillId="18" borderId="28" xfId="40" applyNumberFormat="1" applyFont="1" applyFill="1" applyBorder="1" applyAlignment="1" applyProtection="1">
      <alignment horizontal="center" vertical="center"/>
      <protection locked="0"/>
    </xf>
    <xf numFmtId="0" fontId="8" fillId="18" borderId="66" xfId="40" applyFont="1" applyFill="1" applyBorder="1" applyAlignment="1" applyProtection="1">
      <alignment horizontal="center" vertical="center"/>
      <protection locked="0"/>
    </xf>
    <xf numFmtId="0" fontId="8" fillId="17" borderId="68" xfId="40" applyFont="1" applyFill="1" applyBorder="1" applyAlignment="1" applyProtection="1">
      <alignment horizontal="center" vertical="center"/>
      <protection locked="0"/>
    </xf>
    <xf numFmtId="0" fontId="8" fillId="18" borderId="37" xfId="40" applyFont="1" applyFill="1" applyBorder="1" applyAlignment="1" applyProtection="1">
      <alignment horizontal="center" vertical="center"/>
      <protection locked="0"/>
    </xf>
    <xf numFmtId="0" fontId="8" fillId="18" borderId="31" xfId="40" applyFont="1" applyFill="1" applyBorder="1" applyAlignment="1" applyProtection="1">
      <alignment vertical="center"/>
      <protection locked="0"/>
    </xf>
    <xf numFmtId="2" fontId="31" fillId="18" borderId="63" xfId="40" applyNumberFormat="1" applyFont="1" applyFill="1" applyBorder="1" applyAlignment="1" applyProtection="1">
      <alignment horizontal="center" vertical="center"/>
      <protection locked="0"/>
    </xf>
    <xf numFmtId="0" fontId="31" fillId="0" borderId="0" xfId="40" applyFont="1" applyAlignment="1" applyProtection="1">
      <alignment horizontal="right" vertical="center"/>
      <protection locked="0"/>
    </xf>
    <xf numFmtId="0" fontId="31" fillId="0" borderId="44" xfId="40" applyFont="1" applyBorder="1" applyAlignment="1" applyProtection="1">
      <alignment vertical="center"/>
      <protection locked="0"/>
    </xf>
    <xf numFmtId="0" fontId="8" fillId="0" borderId="69" xfId="40" applyFont="1" applyBorder="1" applyAlignment="1" applyProtection="1">
      <alignment vertical="center"/>
      <protection locked="0"/>
    </xf>
    <xf numFmtId="184" fontId="31" fillId="0" borderId="6" xfId="40" applyNumberFormat="1" applyFont="1" applyBorder="1" applyAlignment="1" applyProtection="1">
      <alignment vertical="center"/>
      <protection locked="0"/>
    </xf>
    <xf numFmtId="184" fontId="31" fillId="0" borderId="17" xfId="40" applyNumberFormat="1" applyFont="1" applyBorder="1" applyAlignment="1" applyProtection="1">
      <alignment vertical="center"/>
      <protection locked="0"/>
    </xf>
    <xf numFmtId="184" fontId="31" fillId="0" borderId="67" xfId="40" applyNumberFormat="1" applyFont="1" applyBorder="1" applyAlignment="1" applyProtection="1">
      <alignment vertical="center"/>
      <protection locked="0"/>
    </xf>
    <xf numFmtId="0" fontId="8" fillId="0" borderId="70" xfId="40" applyFont="1" applyBorder="1" applyAlignment="1" applyProtection="1">
      <alignment vertical="center"/>
      <protection locked="0"/>
    </xf>
    <xf numFmtId="184" fontId="31" fillId="0" borderId="12" xfId="40" applyNumberFormat="1" applyFont="1" applyBorder="1" applyAlignment="1" applyProtection="1">
      <alignment vertical="center"/>
      <protection locked="0"/>
    </xf>
    <xf numFmtId="184" fontId="31" fillId="0" borderId="1" xfId="40" applyNumberFormat="1" applyFont="1" applyBorder="1" applyAlignment="1" applyProtection="1">
      <alignment vertical="center"/>
      <protection locked="0"/>
    </xf>
    <xf numFmtId="184" fontId="31" fillId="0" borderId="29" xfId="40" applyNumberFormat="1" applyFont="1" applyBorder="1" applyAlignment="1" applyProtection="1">
      <alignment vertical="center"/>
      <protection locked="0"/>
    </xf>
    <xf numFmtId="0" fontId="8" fillId="0" borderId="53" xfId="40" applyFont="1" applyBorder="1" applyAlignment="1" applyProtection="1">
      <alignment vertical="center"/>
      <protection locked="0"/>
    </xf>
    <xf numFmtId="184" fontId="31" fillId="0" borderId="42" xfId="40" applyNumberFormat="1" applyFont="1" applyBorder="1" applyAlignment="1" applyProtection="1">
      <alignment vertical="center"/>
      <protection locked="0"/>
    </xf>
    <xf numFmtId="184" fontId="31" fillId="0" borderId="30" xfId="40" applyNumberFormat="1" applyFont="1" applyBorder="1" applyAlignment="1" applyProtection="1">
      <alignment vertical="center"/>
      <protection locked="0"/>
    </xf>
    <xf numFmtId="184" fontId="31" fillId="0" borderId="31" xfId="40" applyNumberFormat="1" applyFont="1" applyBorder="1" applyAlignment="1" applyProtection="1">
      <alignment vertical="center"/>
      <protection locked="0"/>
    </xf>
    <xf numFmtId="0" fontId="8" fillId="0" borderId="48" xfId="40" applyFont="1" applyBorder="1" applyAlignment="1" applyProtection="1">
      <alignment horizontal="centerContinuous" vertical="center"/>
      <protection locked="0"/>
    </xf>
    <xf numFmtId="0" fontId="8" fillId="0" borderId="49" xfId="40" applyFont="1" applyBorder="1" applyAlignment="1" applyProtection="1">
      <alignment horizontal="centerContinuous" vertical="center"/>
      <protection locked="0"/>
    </xf>
    <xf numFmtId="0" fontId="8" fillId="0" borderId="54" xfId="40" applyFont="1" applyBorder="1" applyAlignment="1" applyProtection="1">
      <alignment horizontal="centerContinuous" vertical="center"/>
      <protection locked="0"/>
    </xf>
    <xf numFmtId="0" fontId="8" fillId="0" borderId="68" xfId="40" applyFont="1" applyBorder="1" applyAlignment="1" applyProtection="1">
      <alignment horizontal="center" vertical="center" wrapText="1"/>
      <protection locked="0"/>
    </xf>
    <xf numFmtId="0" fontId="8" fillId="0" borderId="16" xfId="40" applyFont="1" applyBorder="1" applyAlignment="1" applyProtection="1">
      <alignment horizontal="center" vertical="center" wrapText="1"/>
      <protection locked="0"/>
    </xf>
    <xf numFmtId="0" fontId="8" fillId="0" borderId="34" xfId="40" applyFont="1" applyBorder="1" applyAlignment="1" applyProtection="1">
      <alignment horizontal="center" vertical="center" wrapText="1"/>
      <protection locked="0"/>
    </xf>
    <xf numFmtId="0" fontId="31" fillId="0" borderId="65" xfId="40" applyFont="1" applyBorder="1" applyAlignment="1" applyProtection="1">
      <alignment horizontal="center" vertical="center"/>
      <protection locked="0"/>
    </xf>
    <xf numFmtId="171" fontId="31" fillId="0" borderId="26" xfId="43" applyNumberFormat="1" applyFont="1" applyBorder="1" applyAlignment="1" applyProtection="1">
      <alignment vertical="center"/>
      <protection locked="0"/>
    </xf>
    <xf numFmtId="184" fontId="31" fillId="0" borderId="26" xfId="40" applyNumberFormat="1" applyFont="1" applyBorder="1" applyAlignment="1" applyProtection="1">
      <alignment vertical="center"/>
      <protection locked="0"/>
    </xf>
    <xf numFmtId="185" fontId="31" fillId="0" borderId="27" xfId="43" applyNumberFormat="1" applyFont="1" applyBorder="1" applyAlignment="1" applyProtection="1">
      <alignment vertical="center"/>
      <protection locked="0"/>
    </xf>
    <xf numFmtId="0" fontId="31" fillId="0" borderId="28" xfId="40" applyFont="1" applyBorder="1" applyAlignment="1" applyProtection="1">
      <alignment horizontal="center" vertical="center"/>
      <protection locked="0"/>
    </xf>
    <xf numFmtId="171" fontId="31" fillId="0" borderId="1" xfId="43" applyNumberFormat="1" applyFont="1" applyBorder="1" applyAlignment="1" applyProtection="1">
      <alignment vertical="center"/>
      <protection locked="0"/>
    </xf>
    <xf numFmtId="185" fontId="31" fillId="0" borderId="29" xfId="43" applyNumberFormat="1" applyFont="1" applyBorder="1" applyAlignment="1" applyProtection="1">
      <alignment vertical="center"/>
      <protection locked="0"/>
    </xf>
    <xf numFmtId="0" fontId="31" fillId="0" borderId="63" xfId="40" applyFont="1" applyBorder="1" applyAlignment="1" applyProtection="1">
      <alignment horizontal="center" vertical="center"/>
      <protection locked="0"/>
    </xf>
    <xf numFmtId="171" fontId="31" fillId="0" borderId="30" xfId="43" applyNumberFormat="1" applyFont="1" applyBorder="1" applyAlignment="1" applyProtection="1">
      <alignment vertical="center"/>
      <protection locked="0"/>
    </xf>
    <xf numFmtId="0" fontId="8" fillId="0" borderId="66" xfId="40" applyFont="1" applyBorder="1" applyAlignment="1" applyProtection="1">
      <alignment vertical="center"/>
      <protection locked="0"/>
    </xf>
    <xf numFmtId="171" fontId="8" fillId="0" borderId="17" xfId="43" applyNumberFormat="1" applyFont="1" applyBorder="1" applyAlignment="1" applyProtection="1">
      <alignment vertical="center"/>
      <protection locked="0"/>
    </xf>
    <xf numFmtId="0" fontId="8" fillId="0" borderId="17" xfId="40" applyFont="1" applyBorder="1" applyAlignment="1" applyProtection="1">
      <alignment vertical="center"/>
      <protection locked="0"/>
    </xf>
    <xf numFmtId="171" fontId="8" fillId="0" borderId="67" xfId="43" applyNumberFormat="1" applyFont="1" applyBorder="1" applyAlignment="1" applyProtection="1">
      <alignment vertical="center"/>
      <protection locked="0"/>
    </xf>
    <xf numFmtId="0" fontId="31" fillId="0" borderId="51" xfId="40" applyFont="1" applyBorder="1" applyAlignment="1" applyProtection="1">
      <alignment vertical="center"/>
      <protection locked="0"/>
    </xf>
    <xf numFmtId="0" fontId="31" fillId="0" borderId="11" xfId="40" applyFont="1" applyBorder="1" applyAlignment="1" applyProtection="1">
      <alignment vertical="center"/>
      <protection locked="0"/>
    </xf>
    <xf numFmtId="0" fontId="31" fillId="0" borderId="12" xfId="40" applyFont="1" applyBorder="1" applyAlignment="1" applyProtection="1">
      <alignment vertical="center"/>
      <protection locked="0"/>
    </xf>
    <xf numFmtId="171" fontId="8" fillId="0" borderId="29" xfId="43" applyNumberFormat="1" applyFont="1" applyBorder="1" applyAlignment="1" applyProtection="1">
      <alignment vertical="center"/>
      <protection locked="0"/>
    </xf>
    <xf numFmtId="0" fontId="31" fillId="0" borderId="52" xfId="40" applyFont="1" applyBorder="1" applyAlignment="1" applyProtection="1">
      <alignment vertical="center"/>
      <protection locked="0"/>
    </xf>
    <xf numFmtId="0" fontId="31" fillId="0" borderId="33" xfId="40" applyFont="1" applyBorder="1" applyAlignment="1" applyProtection="1">
      <alignment vertical="center"/>
      <protection locked="0"/>
    </xf>
    <xf numFmtId="0" fontId="31" fillId="0" borderId="42" xfId="40" applyFont="1" applyBorder="1" applyAlignment="1" applyProtection="1">
      <alignment vertical="center"/>
      <protection locked="0"/>
    </xf>
    <xf numFmtId="10" fontId="8" fillId="0" borderId="31" xfId="16" applyNumberFormat="1" applyFont="1" applyBorder="1" applyAlignment="1" applyProtection="1">
      <alignment vertical="center"/>
      <protection locked="0"/>
    </xf>
    <xf numFmtId="171" fontId="31" fillId="0" borderId="27" xfId="43" applyNumberFormat="1" applyFont="1" applyBorder="1" applyAlignment="1" applyProtection="1">
      <alignment vertical="center"/>
      <protection locked="0"/>
    </xf>
    <xf numFmtId="171" fontId="31" fillId="0" borderId="29" xfId="43" applyNumberFormat="1" applyFont="1" applyBorder="1" applyAlignment="1" applyProtection="1">
      <alignment vertical="center"/>
      <protection locked="0"/>
    </xf>
    <xf numFmtId="171" fontId="31" fillId="0" borderId="31" xfId="43" applyNumberFormat="1" applyFont="1" applyBorder="1" applyAlignment="1" applyProtection="1">
      <alignment vertical="center"/>
      <protection locked="0"/>
    </xf>
    <xf numFmtId="0" fontId="31" fillId="0" borderId="26" xfId="40" applyFont="1" applyBorder="1" applyAlignment="1" applyProtection="1">
      <alignment vertical="center"/>
      <protection locked="0"/>
    </xf>
    <xf numFmtId="0" fontId="31" fillId="0" borderId="1" xfId="40" applyFont="1" applyBorder="1" applyAlignment="1" applyProtection="1">
      <alignment vertical="center"/>
      <protection locked="0"/>
    </xf>
    <xf numFmtId="0" fontId="31" fillId="0" borderId="30" xfId="40" applyFont="1" applyBorder="1" applyAlignment="1" applyProtection="1">
      <alignment vertical="center"/>
      <protection locked="0"/>
    </xf>
    <xf numFmtId="9" fontId="0" fillId="6" borderId="0" xfId="1" applyFont="1" applyFill="1"/>
    <xf numFmtId="2" fontId="31" fillId="0" borderId="0" xfId="40" applyNumberFormat="1" applyFont="1" applyAlignment="1" applyProtection="1">
      <alignment horizontal="center" vertical="center"/>
      <protection locked="0"/>
    </xf>
    <xf numFmtId="0" fontId="8" fillId="0" borderId="57" xfId="40" applyFont="1" applyBorder="1" applyAlignment="1" applyProtection="1">
      <alignment vertical="center"/>
      <protection locked="0"/>
    </xf>
    <xf numFmtId="0" fontId="8" fillId="0" borderId="0" xfId="8" applyFont="1" applyAlignment="1" applyProtection="1">
      <alignment vertical="center" wrapText="1"/>
      <protection locked="0"/>
    </xf>
    <xf numFmtId="0" fontId="8" fillId="0" borderId="0" xfId="8" applyFont="1" applyAlignment="1" applyProtection="1">
      <alignment horizontal="center" vertical="center" wrapText="1"/>
      <protection locked="0"/>
    </xf>
    <xf numFmtId="0" fontId="8" fillId="10" borderId="35" xfId="8" applyFont="1" applyFill="1" applyBorder="1" applyAlignment="1" applyProtection="1">
      <alignment horizontal="left" vertical="center" wrapText="1"/>
      <protection locked="0"/>
    </xf>
    <xf numFmtId="0" fontId="8" fillId="10" borderId="64" xfId="8" applyFont="1" applyFill="1" applyBorder="1" applyAlignment="1" applyProtection="1">
      <alignment horizontal="center" vertical="center" wrapText="1"/>
      <protection locked="0"/>
    </xf>
    <xf numFmtId="10" fontId="8" fillId="10" borderId="61" xfId="8" applyNumberFormat="1" applyFont="1" applyFill="1" applyBorder="1" applyAlignment="1" applyProtection="1">
      <alignment horizontal="center" vertical="center" wrapText="1"/>
      <protection locked="0"/>
    </xf>
    <xf numFmtId="0" fontId="31" fillId="0" borderId="1" xfId="8" applyFont="1" applyBorder="1" applyAlignment="1" applyProtection="1">
      <alignment vertical="center" wrapText="1"/>
      <protection locked="0"/>
    </xf>
    <xf numFmtId="0" fontId="31" fillId="0" borderId="1" xfId="8" applyFont="1" applyBorder="1" applyAlignment="1" applyProtection="1">
      <alignment horizontal="center" vertical="center" wrapText="1"/>
      <protection locked="0"/>
    </xf>
    <xf numFmtId="10" fontId="31" fillId="0" borderId="1" xfId="1" applyNumberFormat="1" applyFont="1" applyBorder="1" applyAlignment="1" applyProtection="1">
      <alignment horizontal="center" vertical="center" wrapText="1"/>
      <protection locked="0"/>
    </xf>
    <xf numFmtId="166" fontId="31" fillId="0" borderId="1" xfId="44" applyFont="1" applyBorder="1" applyAlignment="1" applyProtection="1">
      <alignment horizontal="center" vertical="center" wrapText="1"/>
      <protection locked="0"/>
    </xf>
    <xf numFmtId="166" fontId="8" fillId="14" borderId="47" xfId="44" applyFont="1" applyFill="1" applyBorder="1" applyAlignment="1" applyProtection="1">
      <alignment horizontal="center" vertical="center" wrapText="1"/>
      <protection locked="0"/>
    </xf>
    <xf numFmtId="10" fontId="8" fillId="14" borderId="45" xfId="8" applyNumberFormat="1" applyFont="1" applyFill="1" applyBorder="1" applyAlignment="1" applyProtection="1">
      <alignment horizontal="center" vertical="center" wrapText="1"/>
      <protection locked="0"/>
    </xf>
    <xf numFmtId="0" fontId="31" fillId="0" borderId="0" xfId="8" applyFont="1" applyAlignment="1" applyProtection="1">
      <alignment vertical="center" wrapText="1"/>
      <protection locked="0"/>
    </xf>
    <xf numFmtId="0" fontId="31" fillId="0" borderId="0" xfId="8" applyFont="1" applyAlignment="1" applyProtection="1">
      <alignment horizontal="center" vertical="center" wrapText="1"/>
      <protection locked="0"/>
    </xf>
    <xf numFmtId="10" fontId="31" fillId="0" borderId="0" xfId="8" applyNumberFormat="1" applyFont="1" applyAlignment="1" applyProtection="1">
      <alignment horizontal="center" vertical="center" wrapText="1"/>
      <protection locked="0"/>
    </xf>
    <xf numFmtId="3" fontId="31" fillId="0" borderId="1" xfId="8" applyNumberFormat="1" applyFont="1" applyBorder="1" applyAlignment="1" applyProtection="1">
      <alignment horizontal="center" vertical="center" wrapText="1"/>
      <protection locked="0"/>
    </xf>
    <xf numFmtId="10" fontId="31" fillId="0" borderId="1" xfId="8" applyNumberFormat="1" applyFont="1" applyBorder="1" applyAlignment="1" applyProtection="1">
      <alignment horizontal="center" vertical="center" wrapText="1"/>
      <protection locked="0"/>
    </xf>
    <xf numFmtId="176" fontId="31" fillId="0" borderId="1" xfId="8" applyNumberFormat="1" applyFont="1" applyBorder="1" applyAlignment="1" applyProtection="1">
      <alignment horizontal="center" vertical="center" wrapText="1"/>
      <protection locked="0"/>
    </xf>
    <xf numFmtId="3" fontId="8" fillId="14" borderId="62" xfId="8" applyNumberFormat="1" applyFont="1" applyFill="1" applyBorder="1" applyAlignment="1" applyProtection="1">
      <alignment horizontal="center" vertical="center" wrapText="1"/>
      <protection locked="0"/>
    </xf>
    <xf numFmtId="10" fontId="8" fillId="14" borderId="60" xfId="8" applyNumberFormat="1" applyFont="1" applyFill="1" applyBorder="1" applyAlignment="1" applyProtection="1">
      <alignment horizontal="center" vertical="center" wrapText="1"/>
      <protection locked="0"/>
    </xf>
    <xf numFmtId="179" fontId="31" fillId="0" borderId="1" xfId="61" applyNumberFormat="1" applyFont="1" applyBorder="1" applyAlignment="1" applyProtection="1">
      <alignment vertical="center" wrapText="1"/>
      <protection locked="0"/>
    </xf>
    <xf numFmtId="2" fontId="31" fillId="0" borderId="1" xfId="8" applyNumberFormat="1" applyFont="1" applyBorder="1" applyAlignment="1" applyProtection="1">
      <alignment horizontal="center" vertical="center" wrapText="1"/>
      <protection locked="0"/>
    </xf>
    <xf numFmtId="42" fontId="8" fillId="14" borderId="47" xfId="53" applyFont="1" applyFill="1" applyBorder="1" applyAlignment="1" applyProtection="1">
      <alignment horizontal="center" vertical="center" wrapText="1"/>
      <protection locked="0"/>
    </xf>
    <xf numFmtId="49" fontId="3" fillId="0" borderId="0" xfId="40" applyNumberFormat="1" applyAlignment="1" applyProtection="1">
      <alignment vertical="top" wrapText="1"/>
      <protection locked="0"/>
    </xf>
    <xf numFmtId="49" fontId="3" fillId="0" borderId="3" xfId="40" applyNumberFormat="1" applyBorder="1" applyAlignment="1" applyProtection="1">
      <alignment vertical="top" wrapText="1"/>
      <protection locked="0"/>
    </xf>
    <xf numFmtId="49" fontId="3" fillId="0" borderId="4" xfId="40" applyNumberFormat="1" applyBorder="1" applyAlignment="1" applyProtection="1">
      <alignment vertical="top" wrapText="1"/>
      <protection locked="0"/>
    </xf>
    <xf numFmtId="49" fontId="3" fillId="0" borderId="6" xfId="40" applyNumberFormat="1" applyBorder="1" applyAlignment="1" applyProtection="1">
      <alignment vertical="top" wrapText="1"/>
      <protection locked="0"/>
    </xf>
    <xf numFmtId="0" fontId="24" fillId="0" borderId="0" xfId="8" applyFont="1" applyAlignment="1">
      <alignment horizontal="center" vertical="center" wrapText="1"/>
    </xf>
    <xf numFmtId="0" fontId="24" fillId="9" borderId="1" xfId="8" applyFont="1" applyFill="1" applyBorder="1" applyAlignment="1">
      <alignment horizontal="center" vertical="center" wrapText="1"/>
    </xf>
    <xf numFmtId="171" fontId="31" fillId="0" borderId="0" xfId="31" applyNumberFormat="1" applyFont="1" applyBorder="1"/>
    <xf numFmtId="171" fontId="24" fillId="0" borderId="0" xfId="31" applyNumberFormat="1" applyFont="1" applyFill="1" applyBorder="1"/>
    <xf numFmtId="0" fontId="24" fillId="22" borderId="1" xfId="8" applyFont="1" applyFill="1" applyBorder="1" applyAlignment="1">
      <alignment wrapText="1"/>
    </xf>
    <xf numFmtId="169" fontId="24" fillId="22" borderId="1" xfId="31" applyNumberFormat="1" applyFont="1" applyFill="1" applyBorder="1" applyAlignment="1">
      <alignment horizontal="center" vertical="center"/>
    </xf>
    <xf numFmtId="171" fontId="31" fillId="0" borderId="1" xfId="31" applyNumberFormat="1" applyFont="1" applyBorder="1" applyAlignment="1">
      <alignment horizontal="center" vertical="center"/>
    </xf>
    <xf numFmtId="171" fontId="24" fillId="9" borderId="1" xfId="31" applyNumberFormat="1" applyFont="1" applyFill="1" applyBorder="1" applyAlignment="1">
      <alignment horizontal="center" vertical="center"/>
    </xf>
    <xf numFmtId="171" fontId="24" fillId="18" borderId="1" xfId="31" applyNumberFormat="1" applyFont="1" applyFill="1" applyBorder="1" applyAlignment="1">
      <alignment horizontal="center" vertical="center"/>
    </xf>
    <xf numFmtId="171" fontId="24" fillId="22" borderId="1" xfId="31" applyNumberFormat="1" applyFont="1" applyFill="1" applyBorder="1" applyAlignment="1">
      <alignment horizontal="center" vertical="center"/>
    </xf>
    <xf numFmtId="0" fontId="45" fillId="0" borderId="1" xfId="8" applyFont="1" applyBorder="1" applyAlignment="1">
      <alignment horizontal="left" vertical="center" wrapText="1"/>
    </xf>
    <xf numFmtId="171" fontId="45" fillId="0" borderId="1" xfId="31" applyNumberFormat="1" applyFont="1" applyFill="1" applyBorder="1" applyAlignment="1">
      <alignment horizontal="center" vertical="center"/>
    </xf>
    <xf numFmtId="10" fontId="45" fillId="0" borderId="1" xfId="19" applyNumberFormat="1" applyFont="1" applyFill="1" applyBorder="1" applyAlignment="1">
      <alignment horizontal="center" vertical="center"/>
    </xf>
    <xf numFmtId="169" fontId="45" fillId="0" borderId="1" xfId="31" applyNumberFormat="1" applyFont="1" applyFill="1" applyBorder="1" applyAlignment="1">
      <alignment horizontal="center" vertical="center"/>
    </xf>
    <xf numFmtId="172" fontId="8" fillId="0" borderId="60" xfId="8" applyNumberFormat="1" applyFont="1" applyBorder="1" applyAlignment="1" applyProtection="1">
      <alignment horizontal="center" vertical="center" wrapText="1"/>
      <protection locked="0"/>
    </xf>
    <xf numFmtId="0" fontId="31" fillId="0" borderId="65" xfId="8" applyFont="1" applyBorder="1" applyAlignment="1" applyProtection="1">
      <alignment vertical="center" wrapText="1"/>
      <protection locked="0"/>
    </xf>
    <xf numFmtId="0" fontId="31" fillId="0" borderId="26" xfId="8" applyFont="1" applyBorder="1" applyAlignment="1" applyProtection="1">
      <alignment horizontal="center" vertical="center" wrapText="1"/>
      <protection locked="0"/>
    </xf>
    <xf numFmtId="2" fontId="31" fillId="0" borderId="26" xfId="8" applyNumberFormat="1" applyFont="1" applyBorder="1" applyAlignment="1" applyProtection="1">
      <alignment horizontal="center" vertical="center" wrapText="1"/>
      <protection locked="0"/>
    </xf>
    <xf numFmtId="166" fontId="31" fillId="0" borderId="26" xfId="44" applyFont="1" applyFill="1" applyBorder="1" applyAlignment="1" applyProtection="1">
      <alignment horizontal="center" vertical="center" wrapText="1"/>
      <protection locked="0"/>
    </xf>
    <xf numFmtId="166" fontId="31" fillId="0" borderId="26" xfId="44" applyFont="1" applyBorder="1" applyAlignment="1" applyProtection="1">
      <alignment horizontal="center" vertical="center" wrapText="1"/>
      <protection locked="0"/>
    </xf>
    <xf numFmtId="10" fontId="31" fillId="0" borderId="27" xfId="8" applyNumberFormat="1" applyFont="1" applyBorder="1" applyAlignment="1" applyProtection="1">
      <alignment horizontal="center" vertical="center" wrapText="1"/>
      <protection locked="0"/>
    </xf>
    <xf numFmtId="0" fontId="31" fillId="0" borderId="28" xfId="8" applyFont="1" applyBorder="1" applyAlignment="1" applyProtection="1">
      <alignment vertical="center" wrapText="1"/>
      <protection locked="0"/>
    </xf>
    <xf numFmtId="166" fontId="31" fillId="0" borderId="1" xfId="44" applyFont="1" applyFill="1" applyBorder="1" applyAlignment="1" applyProtection="1">
      <alignment horizontal="center" vertical="center" wrapText="1"/>
      <protection locked="0"/>
    </xf>
    <xf numFmtId="10" fontId="31" fillId="0" borderId="29" xfId="8" applyNumberFormat="1" applyFont="1" applyBorder="1" applyAlignment="1" applyProtection="1">
      <alignment horizontal="center" vertical="center" wrapText="1"/>
      <protection locked="0"/>
    </xf>
    <xf numFmtId="0" fontId="31" fillId="0" borderId="63" xfId="8" applyFont="1" applyBorder="1" applyAlignment="1" applyProtection="1">
      <alignment vertical="center" wrapText="1"/>
      <protection locked="0"/>
    </xf>
    <xf numFmtId="166" fontId="31" fillId="0" borderId="30" xfId="44" applyFont="1" applyFill="1" applyBorder="1" applyAlignment="1" applyProtection="1">
      <alignment horizontal="center" vertical="center" wrapText="1"/>
      <protection locked="0"/>
    </xf>
    <xf numFmtId="166" fontId="31" fillId="0" borderId="30" xfId="44" applyFont="1" applyBorder="1" applyAlignment="1" applyProtection="1">
      <alignment horizontal="center" vertical="center" wrapText="1"/>
      <protection locked="0"/>
    </xf>
    <xf numFmtId="9" fontId="31" fillId="0" borderId="26" xfId="19" applyFont="1" applyBorder="1" applyAlignment="1" applyProtection="1">
      <alignment horizontal="center" vertical="center" wrapText="1"/>
      <protection locked="0"/>
    </xf>
    <xf numFmtId="176" fontId="31" fillId="0" borderId="29" xfId="8" applyNumberFormat="1" applyFont="1" applyBorder="1" applyAlignment="1" applyProtection="1">
      <alignment horizontal="center" vertical="center" wrapText="1"/>
      <protection locked="0"/>
    </xf>
    <xf numFmtId="182" fontId="31" fillId="0" borderId="29" xfId="8" applyNumberFormat="1" applyFont="1" applyBorder="1" applyAlignment="1" applyProtection="1">
      <alignment horizontal="center" vertical="center" wrapText="1"/>
      <protection locked="0"/>
    </xf>
    <xf numFmtId="182" fontId="31" fillId="0" borderId="31" xfId="8" applyNumberFormat="1" applyFont="1" applyBorder="1" applyAlignment="1" applyProtection="1">
      <alignment horizontal="center" vertical="center" wrapText="1"/>
      <protection locked="0"/>
    </xf>
    <xf numFmtId="42" fontId="3" fillId="0" borderId="1" xfId="53" applyFont="1" applyFill="1" applyBorder="1" applyAlignment="1">
      <alignment horizontal="center" vertical="center"/>
    </xf>
    <xf numFmtId="42" fontId="1" fillId="0" borderId="1" xfId="53" applyBorder="1" applyAlignment="1">
      <alignment horizontal="center" vertical="center"/>
    </xf>
    <xf numFmtId="183" fontId="11" fillId="17" borderId="31" xfId="40" applyNumberFormat="1" applyFont="1" applyFill="1" applyBorder="1" applyAlignment="1">
      <alignment horizontal="center" vertical="center"/>
    </xf>
    <xf numFmtId="183" fontId="29" fillId="5" borderId="1" xfId="61" applyNumberFormat="1" applyFont="1" applyFill="1" applyBorder="1"/>
    <xf numFmtId="0" fontId="8" fillId="10" borderId="1" xfId="40" applyFont="1" applyFill="1" applyBorder="1" applyAlignment="1">
      <alignment horizontal="center" vertical="center" wrapText="1"/>
    </xf>
    <xf numFmtId="0" fontId="8" fillId="14" borderId="1" xfId="40" applyFont="1" applyFill="1" applyBorder="1" applyAlignment="1">
      <alignment horizontal="center" vertical="center"/>
    </xf>
    <xf numFmtId="0" fontId="8" fillId="14" borderId="1" xfId="40" applyFont="1" applyFill="1" applyBorder="1" applyAlignment="1">
      <alignment wrapText="1"/>
    </xf>
    <xf numFmtId="0" fontId="8" fillId="14" borderId="1" xfId="40" applyFont="1" applyFill="1" applyBorder="1"/>
    <xf numFmtId="0" fontId="8" fillId="14" borderId="4" xfId="40" applyFont="1" applyFill="1" applyBorder="1"/>
    <xf numFmtId="0" fontId="8" fillId="14" borderId="6" xfId="40" applyFont="1" applyFill="1" applyBorder="1"/>
    <xf numFmtId="0" fontId="31" fillId="0" borderId="1" xfId="40" applyFont="1" applyBorder="1" applyAlignment="1">
      <alignment horizontal="center" vertical="center"/>
    </xf>
    <xf numFmtId="0" fontId="31" fillId="0" borderId="1" xfId="40" applyFont="1" applyBorder="1" applyAlignment="1">
      <alignment wrapText="1"/>
    </xf>
    <xf numFmtId="3" fontId="31" fillId="0" borderId="1" xfId="40" applyNumberFormat="1" applyFont="1" applyBorder="1" applyAlignment="1">
      <alignment horizontal="center" vertical="center"/>
    </xf>
    <xf numFmtId="0" fontId="31" fillId="0" borderId="9" xfId="40" applyFont="1" applyBorder="1"/>
    <xf numFmtId="0" fontId="31" fillId="0" borderId="8" xfId="40" applyFont="1" applyBorder="1"/>
    <xf numFmtId="0" fontId="31" fillId="0" borderId="0" xfId="40" applyFont="1"/>
    <xf numFmtId="0" fontId="31" fillId="0" borderId="3" xfId="40" applyFont="1" applyBorder="1"/>
    <xf numFmtId="0" fontId="31" fillId="0" borderId="1" xfId="40" applyFont="1" applyBorder="1" applyAlignment="1">
      <alignment vertical="top" wrapText="1"/>
    </xf>
    <xf numFmtId="0" fontId="31" fillId="0" borderId="7" xfId="40" applyFont="1" applyBorder="1"/>
    <xf numFmtId="0" fontId="31" fillId="0" borderId="2" xfId="40" applyFont="1" applyBorder="1"/>
    <xf numFmtId="3" fontId="8" fillId="14" borderId="1" xfId="40" applyNumberFormat="1" applyFont="1" applyFill="1" applyBorder="1"/>
    <xf numFmtId="3" fontId="8" fillId="14" borderId="1" xfId="40" applyNumberFormat="1" applyFont="1" applyFill="1" applyBorder="1" applyAlignment="1">
      <alignment horizontal="center"/>
    </xf>
    <xf numFmtId="0" fontId="31" fillId="14" borderId="1" xfId="40" applyFont="1" applyFill="1" applyBorder="1" applyAlignment="1">
      <alignment horizontal="center" vertical="center"/>
    </xf>
    <xf numFmtId="3" fontId="31" fillId="14" borderId="1" xfId="40" applyNumberFormat="1" applyFont="1" applyFill="1" applyBorder="1" applyAlignment="1">
      <alignment horizontal="center" vertical="center"/>
    </xf>
    <xf numFmtId="3" fontId="8" fillId="14" borderId="1" xfId="40" applyNumberFormat="1" applyFont="1" applyFill="1" applyBorder="1" applyAlignment="1">
      <alignment horizontal="center" vertical="center"/>
    </xf>
    <xf numFmtId="0" fontId="31" fillId="0" borderId="4" xfId="40" applyFont="1" applyBorder="1"/>
    <xf numFmtId="0" fontId="31" fillId="0" borderId="6" xfId="40" applyFont="1" applyBorder="1"/>
    <xf numFmtId="0" fontId="31" fillId="0" borderId="0" xfId="40" applyFont="1" applyAlignment="1">
      <alignment horizontal="right" vertical="top"/>
    </xf>
    <xf numFmtId="0" fontId="31" fillId="0" borderId="0" xfId="40" applyFont="1" applyAlignment="1">
      <alignment vertical="top" wrapText="1"/>
    </xf>
    <xf numFmtId="0" fontId="31" fillId="0" borderId="0" xfId="40" applyFont="1" applyAlignment="1">
      <alignment horizontal="center" vertical="center"/>
    </xf>
    <xf numFmtId="3" fontId="31" fillId="0" borderId="0" xfId="40" applyNumberFormat="1" applyFont="1" applyAlignment="1">
      <alignment horizontal="center" vertical="center"/>
    </xf>
    <xf numFmtId="0" fontId="31" fillId="14" borderId="16" xfId="40" applyFont="1" applyFill="1" applyBorder="1" applyAlignment="1">
      <alignment horizontal="center" vertical="center"/>
    </xf>
    <xf numFmtId="3" fontId="31" fillId="14" borderId="16" xfId="40" applyNumberFormat="1" applyFont="1" applyFill="1" applyBorder="1" applyAlignment="1">
      <alignment horizontal="center" vertical="center"/>
    </xf>
    <xf numFmtId="3" fontId="8" fillId="14" borderId="16" xfId="40" applyNumberFormat="1" applyFont="1" applyFill="1" applyBorder="1" applyAlignment="1">
      <alignment horizontal="center" vertical="center"/>
    </xf>
    <xf numFmtId="3" fontId="8" fillId="14" borderId="60" xfId="40" applyNumberFormat="1" applyFont="1" applyFill="1" applyBorder="1" applyAlignment="1">
      <alignment horizontal="center" vertical="center"/>
    </xf>
    <xf numFmtId="42" fontId="31" fillId="0" borderId="1" xfId="53" applyFont="1" applyBorder="1" applyAlignment="1">
      <alignment horizontal="center" vertical="center"/>
    </xf>
    <xf numFmtId="166" fontId="8" fillId="14" borderId="1" xfId="44" applyFont="1" applyFill="1" applyBorder="1" applyAlignment="1">
      <alignment horizontal="center" vertical="center"/>
    </xf>
    <xf numFmtId="166" fontId="8" fillId="14" borderId="16" xfId="44" applyFont="1" applyFill="1" applyBorder="1" applyAlignment="1">
      <alignment horizontal="center" vertical="center"/>
    </xf>
    <xf numFmtId="166" fontId="8" fillId="14" borderId="60" xfId="44" applyFont="1" applyFill="1" applyBorder="1" applyAlignment="1">
      <alignment horizontal="center" vertical="center"/>
    </xf>
    <xf numFmtId="10" fontId="0" fillId="0" borderId="0" xfId="1" applyNumberFormat="1" applyFont="1"/>
    <xf numFmtId="9" fontId="8" fillId="14" borderId="60" xfId="1" applyFont="1" applyFill="1" applyBorder="1" applyAlignment="1" applyProtection="1">
      <alignment horizontal="center" vertical="center" wrapText="1"/>
      <protection locked="0"/>
    </xf>
    <xf numFmtId="0" fontId="11" fillId="38" borderId="1" xfId="0" applyFont="1" applyFill="1" applyBorder="1" applyAlignment="1">
      <alignment horizontal="center"/>
    </xf>
    <xf numFmtId="0" fontId="11" fillId="38" borderId="0" xfId="0" applyFont="1" applyFill="1" applyAlignment="1">
      <alignment horizontal="center"/>
    </xf>
    <xf numFmtId="1" fontId="21" fillId="0" borderId="1" xfId="0" applyNumberFormat="1" applyFont="1" applyBorder="1" applyAlignment="1">
      <alignment horizontal="center"/>
    </xf>
    <xf numFmtId="1" fontId="3" fillId="0" borderId="1" xfId="40" applyNumberFormat="1" applyBorder="1" applyAlignment="1" applyProtection="1">
      <alignment horizontal="center" vertical="center"/>
      <protection locked="0"/>
    </xf>
    <xf numFmtId="0" fontId="11" fillId="38" borderId="1" xfId="40" applyFont="1" applyFill="1" applyBorder="1" applyAlignment="1" applyProtection="1">
      <alignment horizontal="left" vertical="center" wrapText="1"/>
      <protection locked="0"/>
    </xf>
    <xf numFmtId="0" fontId="3" fillId="0" borderId="12" xfId="40" applyBorder="1" applyAlignment="1" applyProtection="1">
      <alignment horizontal="left" vertical="center" wrapText="1"/>
      <protection locked="0"/>
    </xf>
    <xf numFmtId="42" fontId="21" fillId="0" borderId="1" xfId="53" applyFont="1" applyFill="1" applyBorder="1"/>
    <xf numFmtId="2" fontId="21" fillId="0" borderId="1" xfId="0" applyNumberFormat="1" applyFont="1" applyBorder="1" applyAlignment="1">
      <alignment horizontal="center"/>
    </xf>
    <xf numFmtId="0" fontId="21" fillId="0" borderId="0" xfId="0" applyFont="1"/>
    <xf numFmtId="186" fontId="0" fillId="0" borderId="0" xfId="67" applyNumberFormat="1" applyFont="1" applyFill="1"/>
    <xf numFmtId="187" fontId="21" fillId="0" borderId="1" xfId="53" applyNumberFormat="1" applyFont="1" applyFill="1" applyBorder="1" applyAlignment="1">
      <alignment horizontal="center"/>
    </xf>
    <xf numFmtId="42" fontId="0" fillId="0" borderId="0" xfId="0" applyNumberFormat="1" applyAlignment="1">
      <alignment horizontal="center"/>
    </xf>
    <xf numFmtId="42" fontId="0" fillId="0" borderId="0" xfId="0" applyNumberFormat="1"/>
    <xf numFmtId="186" fontId="0" fillId="0" borderId="0" xfId="0" applyNumberFormat="1"/>
    <xf numFmtId="2" fontId="31" fillId="6" borderId="1" xfId="1" applyNumberFormat="1" applyFont="1" applyFill="1" applyBorder="1" applyAlignment="1" applyProtection="1">
      <alignment horizontal="center" vertical="center" wrapText="1"/>
      <protection locked="0"/>
    </xf>
    <xf numFmtId="2" fontId="31" fillId="0" borderId="1" xfId="1" applyNumberFormat="1" applyFont="1" applyBorder="1" applyAlignment="1" applyProtection="1">
      <alignment horizontal="center" vertical="center" wrapText="1"/>
      <protection locked="0"/>
    </xf>
    <xf numFmtId="2" fontId="31" fillId="0" borderId="30" xfId="1" applyNumberFormat="1" applyFont="1" applyBorder="1" applyAlignment="1" applyProtection="1">
      <alignment horizontal="center" vertical="center" wrapText="1"/>
      <protection locked="0"/>
    </xf>
    <xf numFmtId="0" fontId="31" fillId="12" borderId="1" xfId="10" applyFont="1" applyFill="1" applyBorder="1" applyAlignment="1" applyProtection="1">
      <alignment horizontal="center" vertical="center" wrapText="1"/>
      <protection locked="0"/>
    </xf>
    <xf numFmtId="10" fontId="48" fillId="10" borderId="1" xfId="16" applyNumberFormat="1" applyFont="1" applyFill="1" applyBorder="1" applyAlignment="1" applyProtection="1">
      <alignment horizontal="center" vertical="center"/>
    </xf>
    <xf numFmtId="10" fontId="48" fillId="10" borderId="1" xfId="16" applyNumberFormat="1" applyFont="1" applyFill="1" applyBorder="1" applyAlignment="1" applyProtection="1">
      <alignment horizontal="center"/>
    </xf>
    <xf numFmtId="10" fontId="29" fillId="0" borderId="1" xfId="16" applyNumberFormat="1" applyFont="1" applyBorder="1" applyAlignment="1" applyProtection="1">
      <alignment horizontal="center" vertical="center"/>
    </xf>
    <xf numFmtId="10" fontId="31" fillId="0" borderId="1" xfId="1" applyNumberFormat="1" applyFont="1" applyBorder="1"/>
    <xf numFmtId="182" fontId="31" fillId="0" borderId="0" xfId="10" applyNumberFormat="1" applyFont="1" applyAlignment="1" applyProtection="1">
      <alignment horizontal="center" vertical="center" wrapText="1"/>
      <protection locked="0"/>
    </xf>
    <xf numFmtId="0" fontId="55" fillId="0" borderId="0" xfId="0" applyFont="1"/>
    <xf numFmtId="171" fontId="55" fillId="0" borderId="0" xfId="56" applyNumberFormat="1" applyFont="1" applyFill="1" applyAlignment="1"/>
    <xf numFmtId="171" fontId="55" fillId="0" borderId="0" xfId="56" applyNumberFormat="1" applyFont="1" applyFill="1" applyAlignment="1">
      <alignment horizontal="center"/>
    </xf>
    <xf numFmtId="0" fontId="55" fillId="0" borderId="0" xfId="0" applyFont="1" applyAlignment="1">
      <alignment vertical="center"/>
    </xf>
    <xf numFmtId="49" fontId="4" fillId="0" borderId="5" xfId="8" applyNumberFormat="1" applyFont="1" applyBorder="1" applyAlignment="1" applyProtection="1">
      <alignment horizontal="center"/>
      <protection locked="0"/>
    </xf>
    <xf numFmtId="0" fontId="5" fillId="0" borderId="5" xfId="8" applyFont="1" applyBorder="1" applyAlignment="1" applyProtection="1">
      <alignment wrapText="1"/>
      <protection locked="0"/>
    </xf>
    <xf numFmtId="0" fontId="56" fillId="0" borderId="12" xfId="0" applyFont="1" applyBorder="1" applyAlignment="1">
      <alignment vertical="center"/>
    </xf>
    <xf numFmtId="0" fontId="57" fillId="0" borderId="0" xfId="0" applyFont="1" applyAlignment="1">
      <alignment vertical="center"/>
    </xf>
    <xf numFmtId="0" fontId="56" fillId="0" borderId="0" xfId="0" applyFont="1" applyAlignment="1">
      <alignment vertical="center"/>
    </xf>
    <xf numFmtId="171" fontId="58" fillId="0" borderId="0" xfId="56" applyNumberFormat="1" applyFont="1" applyFill="1" applyBorder="1" applyAlignment="1">
      <alignment horizontal="center" vertical="center"/>
    </xf>
    <xf numFmtId="0" fontId="59" fillId="41" borderId="17" xfId="8" applyFont="1" applyFill="1" applyBorder="1" applyAlignment="1" applyProtection="1">
      <alignment wrapText="1"/>
      <protection locked="0"/>
    </xf>
    <xf numFmtId="0" fontId="60" fillId="41" borderId="1" xfId="0" applyFont="1" applyFill="1" applyBorder="1" applyAlignment="1">
      <alignment vertical="center"/>
    </xf>
    <xf numFmtId="0" fontId="59" fillId="41" borderId="1" xfId="0" applyFont="1" applyFill="1" applyBorder="1" applyAlignment="1">
      <alignment vertical="center"/>
    </xf>
    <xf numFmtId="49" fontId="11" fillId="41" borderId="66" xfId="8" applyNumberFormat="1" applyFont="1" applyFill="1" applyBorder="1" applyAlignment="1" applyProtection="1">
      <alignment horizontal="left"/>
      <protection locked="0"/>
    </xf>
    <xf numFmtId="170" fontId="61" fillId="41" borderId="29" xfId="56" applyNumberFormat="1" applyFont="1" applyFill="1" applyBorder="1" applyAlignment="1">
      <alignment horizontal="center" vertical="center"/>
    </xf>
    <xf numFmtId="49" fontId="11" fillId="41" borderId="5" xfId="8" applyNumberFormat="1" applyFont="1" applyFill="1" applyBorder="1" applyAlignment="1" applyProtection="1">
      <alignment horizontal="left"/>
      <protection locked="0"/>
    </xf>
    <xf numFmtId="0" fontId="59" fillId="41" borderId="5" xfId="8" applyFont="1" applyFill="1" applyBorder="1" applyAlignment="1" applyProtection="1">
      <alignment wrapText="1"/>
      <protection locked="0"/>
    </xf>
    <xf numFmtId="0" fontId="60" fillId="41" borderId="12" xfId="0" applyFont="1" applyFill="1" applyBorder="1" applyAlignment="1">
      <alignment vertical="center"/>
    </xf>
    <xf numFmtId="0" fontId="59" fillId="41" borderId="0" xfId="0" applyFont="1" applyFill="1" applyAlignment="1">
      <alignment vertical="center"/>
    </xf>
    <xf numFmtId="0" fontId="60" fillId="41" borderId="0" xfId="0" applyFont="1" applyFill="1" applyAlignment="1">
      <alignment vertical="center"/>
    </xf>
    <xf numFmtId="170" fontId="61" fillId="41" borderId="0" xfId="56" applyNumberFormat="1" applyFont="1" applyFill="1" applyBorder="1" applyAlignment="1">
      <alignment horizontal="center" vertical="center"/>
    </xf>
    <xf numFmtId="0" fontId="31" fillId="6" borderId="1" xfId="10" applyFont="1" applyFill="1" applyBorder="1" applyAlignment="1" applyProtection="1">
      <alignment vertical="center" wrapText="1"/>
      <protection locked="0"/>
    </xf>
    <xf numFmtId="10" fontId="31" fillId="6" borderId="1" xfId="10" applyNumberFormat="1" applyFont="1" applyFill="1" applyBorder="1" applyAlignment="1" applyProtection="1">
      <alignment horizontal="center" vertical="center" wrapText="1"/>
      <protection locked="0"/>
    </xf>
    <xf numFmtId="0" fontId="63" fillId="0" borderId="1" xfId="68" applyFont="1" applyBorder="1" applyAlignment="1">
      <alignment horizontal="center" vertical="center"/>
    </xf>
    <xf numFmtId="170" fontId="64" fillId="0" borderId="1" xfId="68" applyNumberFormat="1" applyFont="1" applyBorder="1" applyAlignment="1">
      <alignment horizontal="right" vertical="center"/>
    </xf>
    <xf numFmtId="10" fontId="61" fillId="41" borderId="0" xfId="1" applyNumberFormat="1" applyFont="1" applyFill="1" applyBorder="1" applyAlignment="1">
      <alignment horizontal="center" vertical="center"/>
    </xf>
    <xf numFmtId="0" fontId="14" fillId="0" borderId="1" xfId="68" applyFont="1" applyBorder="1" applyAlignment="1">
      <alignment vertical="center" wrapText="1"/>
    </xf>
    <xf numFmtId="49" fontId="25" fillId="0" borderId="1" xfId="68" applyNumberFormat="1" applyFont="1" applyBorder="1" applyAlignment="1">
      <alignment horizontal="center" vertical="center"/>
    </xf>
    <xf numFmtId="10" fontId="8" fillId="9" borderId="12" xfId="1" applyNumberFormat="1" applyFont="1" applyFill="1" applyBorder="1" applyAlignment="1">
      <alignment horizontal="center" vertical="center"/>
    </xf>
    <xf numFmtId="172" fontId="52" fillId="0" borderId="0" xfId="10" applyNumberFormat="1" applyFont="1" applyAlignment="1" applyProtection="1">
      <alignment horizontal="center" vertical="center" wrapText="1"/>
      <protection locked="0"/>
    </xf>
    <xf numFmtId="166" fontId="55" fillId="0" borderId="0" xfId="44" applyFont="1" applyFill="1" applyBorder="1"/>
    <xf numFmtId="9" fontId="31" fillId="0" borderId="17" xfId="19" applyFont="1" applyBorder="1" applyAlignment="1" applyProtection="1">
      <alignment horizontal="center" vertical="center" wrapText="1"/>
      <protection locked="0"/>
    </xf>
    <xf numFmtId="10" fontId="31" fillId="0" borderId="17" xfId="19" applyNumberFormat="1" applyFont="1" applyBorder="1" applyAlignment="1" applyProtection="1">
      <alignment horizontal="center" vertical="center" wrapText="1"/>
      <protection locked="0"/>
    </xf>
    <xf numFmtId="0" fontId="42" fillId="38" borderId="1" xfId="0" applyFont="1" applyFill="1" applyBorder="1" applyAlignment="1">
      <alignment horizontal="center" vertical="center" wrapText="1"/>
    </xf>
    <xf numFmtId="49" fontId="31" fillId="0" borderId="10" xfId="8" applyNumberFormat="1" applyFont="1" applyBorder="1" applyAlignment="1" applyProtection="1">
      <alignment vertical="center"/>
      <protection locked="0"/>
    </xf>
    <xf numFmtId="0" fontId="45" fillId="0" borderId="11" xfId="0" applyFont="1" applyBorder="1"/>
    <xf numFmtId="0" fontId="31" fillId="0" borderId="12" xfId="8" applyFont="1" applyBorder="1" applyProtection="1">
      <protection locked="0"/>
    </xf>
    <xf numFmtId="49" fontId="8" fillId="0" borderId="2" xfId="8" applyNumberFormat="1" applyFont="1" applyBorder="1" applyAlignment="1" applyProtection="1">
      <alignment vertical="center"/>
      <protection locked="0"/>
    </xf>
    <xf numFmtId="0" fontId="31" fillId="0" borderId="3" xfId="8" applyFont="1" applyBorder="1" applyProtection="1">
      <protection locked="0"/>
    </xf>
    <xf numFmtId="49" fontId="45" fillId="0" borderId="2" xfId="0" applyNumberFormat="1" applyFont="1" applyBorder="1" applyProtection="1">
      <protection locked="0"/>
    </xf>
    <xf numFmtId="49" fontId="31" fillId="0" borderId="0" xfId="8" applyNumberFormat="1" applyFont="1" applyProtection="1">
      <protection locked="0"/>
    </xf>
    <xf numFmtId="49" fontId="31" fillId="0" borderId="3" xfId="8" applyNumberFormat="1" applyFont="1" applyBorder="1" applyProtection="1">
      <protection locked="0"/>
    </xf>
    <xf numFmtId="49" fontId="8" fillId="0" borderId="9" xfId="8" applyNumberFormat="1" applyFont="1" applyBorder="1" applyProtection="1">
      <protection locked="0"/>
    </xf>
    <xf numFmtId="49" fontId="8" fillId="0" borderId="8" xfId="8" applyNumberFormat="1" applyFont="1" applyBorder="1" applyProtection="1">
      <protection locked="0"/>
    </xf>
    <xf numFmtId="49" fontId="31" fillId="0" borderId="10" xfId="8" applyNumberFormat="1" applyFont="1" applyBorder="1" applyProtection="1">
      <protection locked="0"/>
    </xf>
    <xf numFmtId="49" fontId="31" fillId="0" borderId="2" xfId="8" applyNumberFormat="1" applyFont="1" applyBorder="1" applyProtection="1">
      <protection locked="0"/>
    </xf>
    <xf numFmtId="1" fontId="42" fillId="42" borderId="1" xfId="71" applyNumberFormat="1" applyFont="1" applyFill="1" applyBorder="1" applyAlignment="1" applyProtection="1">
      <alignment horizontal="center" vertical="center"/>
    </xf>
    <xf numFmtId="0" fontId="42" fillId="42" borderId="1" xfId="0" applyFont="1" applyFill="1" applyBorder="1" applyAlignment="1">
      <alignment horizontal="center" vertical="center" wrapText="1"/>
    </xf>
    <xf numFmtId="0" fontId="24" fillId="42" borderId="1" xfId="0" applyFont="1" applyFill="1" applyBorder="1" applyAlignment="1">
      <alignment horizontal="center" vertical="center"/>
    </xf>
    <xf numFmtId="3" fontId="24" fillId="42" borderId="1" xfId="0" applyNumberFormat="1" applyFont="1" applyFill="1" applyBorder="1" applyAlignment="1">
      <alignment horizontal="center" vertical="center"/>
    </xf>
    <xf numFmtId="166" fontId="24" fillId="42" borderId="1" xfId="44" applyFont="1" applyFill="1" applyBorder="1" applyAlignment="1">
      <alignment horizontal="center" vertical="center"/>
    </xf>
    <xf numFmtId="166" fontId="42" fillId="42" borderId="1" xfId="44" applyFont="1" applyFill="1" applyBorder="1" applyAlignment="1">
      <alignment horizontal="center" vertical="center"/>
    </xf>
    <xf numFmtId="0" fontId="45" fillId="0" borderId="1" xfId="40" applyFont="1" applyBorder="1" applyAlignment="1">
      <alignment vertical="top" wrapText="1"/>
    </xf>
    <xf numFmtId="0" fontId="3" fillId="6" borderId="1" xfId="40" applyFill="1" applyBorder="1" applyAlignment="1">
      <alignment horizontal="justify" vertical="center"/>
    </xf>
    <xf numFmtId="0" fontId="3" fillId="6" borderId="1" xfId="40" applyFill="1" applyBorder="1" applyAlignment="1">
      <alignment horizontal="justify" vertical="center" wrapText="1"/>
    </xf>
    <xf numFmtId="0" fontId="3" fillId="6" borderId="1" xfId="40" applyFill="1" applyBorder="1" applyAlignment="1">
      <alignment horizontal="center"/>
    </xf>
    <xf numFmtId="0" fontId="3" fillId="6" borderId="1" xfId="40" applyFill="1" applyBorder="1" applyAlignment="1">
      <alignment horizontal="center" vertical="center"/>
    </xf>
    <xf numFmtId="42" fontId="3" fillId="6" borderId="1" xfId="53" applyFont="1" applyFill="1" applyBorder="1" applyAlignment="1">
      <alignment vertical="center"/>
    </xf>
    <xf numFmtId="10" fontId="3" fillId="6" borderId="1" xfId="34" applyNumberFormat="1" applyFont="1" applyFill="1" applyBorder="1" applyAlignment="1">
      <alignment horizontal="center"/>
    </xf>
    <xf numFmtId="179" fontId="3" fillId="0" borderId="1" xfId="44" applyNumberFormat="1" applyFont="1" applyFill="1" applyBorder="1"/>
    <xf numFmtId="0" fontId="31" fillId="0" borderId="1" xfId="40" applyFont="1" applyBorder="1" applyAlignment="1">
      <alignment vertical="center" wrapText="1"/>
    </xf>
    <xf numFmtId="0" fontId="31" fillId="0" borderId="16" xfId="40" applyFont="1" applyBorder="1" applyAlignment="1">
      <alignment vertical="top" wrapText="1"/>
    </xf>
    <xf numFmtId="10" fontId="17" fillId="0" borderId="1" xfId="8" applyNumberFormat="1" applyFont="1" applyBorder="1"/>
    <xf numFmtId="0" fontId="24" fillId="9" borderId="1" xfId="8" applyFont="1" applyFill="1" applyBorder="1" applyAlignment="1">
      <alignment wrapText="1"/>
    </xf>
    <xf numFmtId="0" fontId="24" fillId="18" borderId="1" xfId="8" applyFont="1" applyFill="1" applyBorder="1" applyAlignment="1">
      <alignment wrapText="1"/>
    </xf>
    <xf numFmtId="0" fontId="14" fillId="0" borderId="1" xfId="68" applyFont="1" applyBorder="1" applyAlignment="1">
      <alignment horizontal="centerContinuous" vertical="center"/>
    </xf>
    <xf numFmtId="9" fontId="8" fillId="14" borderId="47" xfId="1" applyFont="1" applyFill="1" applyBorder="1" applyAlignment="1" applyProtection="1">
      <alignment horizontal="center" vertical="center" wrapText="1"/>
      <protection locked="0"/>
    </xf>
    <xf numFmtId="10" fontId="31" fillId="0" borderId="27" xfId="1" applyNumberFormat="1" applyFont="1" applyBorder="1" applyAlignment="1" applyProtection="1">
      <alignment horizontal="center" vertical="center" wrapText="1"/>
      <protection locked="0"/>
    </xf>
    <xf numFmtId="0" fontId="21" fillId="0" borderId="1" xfId="0" applyFont="1" applyBorder="1" applyAlignment="1">
      <alignment vertical="center"/>
    </xf>
    <xf numFmtId="49" fontId="4" fillId="0" borderId="1" xfId="8" applyNumberFormat="1" applyFont="1" applyBorder="1" applyAlignment="1" applyProtection="1">
      <alignment vertical="center" wrapText="1"/>
      <protection locked="0"/>
    </xf>
    <xf numFmtId="49" fontId="31" fillId="0" borderId="7" xfId="8" applyNumberFormat="1" applyFont="1" applyBorder="1" applyAlignment="1" applyProtection="1">
      <alignment vertical="center"/>
      <protection locked="0"/>
    </xf>
    <xf numFmtId="0" fontId="45" fillId="0" borderId="9" xfId="0" applyFont="1" applyBorder="1"/>
    <xf numFmtId="0" fontId="31" fillId="0" borderId="8" xfId="8" applyFont="1" applyBorder="1" applyProtection="1">
      <protection locked="0"/>
    </xf>
    <xf numFmtId="0" fontId="8" fillId="0" borderId="7" xfId="8" applyFont="1" applyBorder="1" applyProtection="1">
      <protection locked="0"/>
    </xf>
    <xf numFmtId="49" fontId="45" fillId="0" borderId="10" xfId="0" applyNumberFormat="1" applyFont="1" applyBorder="1" applyProtection="1">
      <protection locked="0"/>
    </xf>
    <xf numFmtId="3" fontId="8" fillId="14" borderId="59" xfId="10" applyNumberFormat="1" applyFont="1" applyFill="1" applyBorder="1" applyAlignment="1" applyProtection="1">
      <alignment horizontal="center" vertical="center" wrapText="1"/>
      <protection locked="0"/>
    </xf>
    <xf numFmtId="0" fontId="31" fillId="0" borderId="68" xfId="10" applyFont="1" applyBorder="1" applyAlignment="1" applyProtection="1">
      <alignment vertical="center" wrapText="1"/>
      <protection locked="0"/>
    </xf>
    <xf numFmtId="9" fontId="31" fillId="0" borderId="55" xfId="19" applyFont="1" applyBorder="1" applyAlignment="1" applyProtection="1">
      <alignment horizontal="center" vertical="center" wrapText="1"/>
      <protection locked="0"/>
    </xf>
    <xf numFmtId="180" fontId="31" fillId="0" borderId="16" xfId="10" applyNumberFormat="1" applyFont="1" applyBorder="1" applyAlignment="1" applyProtection="1">
      <alignment horizontal="center" vertical="center" wrapText="1"/>
      <protection locked="0"/>
    </xf>
    <xf numFmtId="42" fontId="31" fillId="0" borderId="16" xfId="53" applyFont="1" applyFill="1" applyBorder="1" applyAlignment="1" applyProtection="1">
      <alignment horizontal="center" vertical="center" wrapText="1"/>
      <protection locked="0"/>
    </xf>
    <xf numFmtId="10" fontId="31" fillId="0" borderId="16" xfId="19" applyNumberFormat="1" applyFont="1" applyBorder="1" applyAlignment="1" applyProtection="1">
      <alignment horizontal="center" vertical="center" wrapText="1"/>
      <protection locked="0"/>
    </xf>
    <xf numFmtId="0" fontId="25" fillId="0" borderId="0" xfId="0" applyFont="1" applyAlignment="1">
      <alignment horizontal="left"/>
    </xf>
    <xf numFmtId="49" fontId="31" fillId="0" borderId="4" xfId="8" applyNumberFormat="1" applyFont="1" applyBorder="1" applyProtection="1">
      <protection locked="0"/>
    </xf>
    <xf numFmtId="49" fontId="31" fillId="0" borderId="5" xfId="8" applyNumberFormat="1" applyFont="1" applyBorder="1" applyProtection="1">
      <protection locked="0"/>
    </xf>
    <xf numFmtId="49" fontId="31" fillId="0" borderId="6" xfId="8" applyNumberFormat="1" applyFont="1" applyBorder="1" applyProtection="1">
      <protection locked="0"/>
    </xf>
    <xf numFmtId="0" fontId="29" fillId="0" borderId="1" xfId="0" applyFont="1" applyBorder="1" applyAlignment="1">
      <alignment horizontal="center" vertical="center" wrapText="1"/>
    </xf>
    <xf numFmtId="0" fontId="0" fillId="0" borderId="1" xfId="0" applyBorder="1" applyAlignment="1">
      <alignment horizontal="center"/>
    </xf>
    <xf numFmtId="14" fontId="31" fillId="0" borderId="11" xfId="8" applyNumberFormat="1" applyFont="1" applyBorder="1" applyAlignment="1" applyProtection="1">
      <alignment horizontal="center"/>
      <protection locked="0"/>
    </xf>
    <xf numFmtId="14" fontId="31" fillId="0" borderId="12" xfId="8" applyNumberFormat="1" applyFont="1" applyBorder="1" applyAlignment="1" applyProtection="1">
      <alignment horizontal="center"/>
      <protection locked="0"/>
    </xf>
    <xf numFmtId="1" fontId="4" fillId="0" borderId="1" xfId="8" applyNumberFormat="1" applyFont="1" applyBorder="1" applyAlignment="1" applyProtection="1">
      <alignment horizontal="center" vertical="center" wrapText="1"/>
      <protection locked="0"/>
    </xf>
    <xf numFmtId="2" fontId="3" fillId="0" borderId="20" xfId="8" applyNumberFormat="1" applyBorder="1" applyAlignment="1">
      <alignment horizontal="center" wrapText="1"/>
    </xf>
    <xf numFmtId="2" fontId="3" fillId="0" borderId="0" xfId="8" applyNumberFormat="1" applyAlignment="1">
      <alignment horizontal="center" wrapText="1"/>
    </xf>
    <xf numFmtId="2" fontId="3" fillId="0" borderId="21" xfId="8" applyNumberFormat="1" applyBorder="1" applyAlignment="1">
      <alignment horizontal="center" wrapText="1"/>
    </xf>
    <xf numFmtId="0" fontId="11" fillId="38" borderId="10" xfId="0" applyFont="1" applyFill="1" applyBorder="1" applyAlignment="1">
      <alignment horizontal="left"/>
    </xf>
    <xf numFmtId="0" fontId="11" fillId="38" borderId="12" xfId="0" applyFont="1" applyFill="1" applyBorder="1" applyAlignment="1">
      <alignment horizontal="left"/>
    </xf>
    <xf numFmtId="0" fontId="11" fillId="2" borderId="10" xfId="0" applyFont="1" applyFill="1" applyBorder="1" applyAlignment="1">
      <alignment horizontal="center"/>
    </xf>
    <xf numFmtId="0" fontId="11" fillId="2" borderId="12" xfId="0" applyFont="1" applyFill="1" applyBorder="1" applyAlignment="1">
      <alignment horizontal="center"/>
    </xf>
    <xf numFmtId="49" fontId="3" fillId="0" borderId="10" xfId="8" applyNumberFormat="1" applyBorder="1" applyAlignment="1">
      <alignment horizontal="center"/>
    </xf>
    <xf numFmtId="49" fontId="3" fillId="0" borderId="11" xfId="8" applyNumberFormat="1" applyBorder="1" applyAlignment="1">
      <alignment horizontal="center"/>
    </xf>
    <xf numFmtId="49" fontId="3" fillId="0" borderId="12" xfId="8" applyNumberFormat="1" applyBorder="1" applyAlignment="1">
      <alignment horizontal="center"/>
    </xf>
    <xf numFmtId="0" fontId="13" fillId="0" borderId="1" xfId="8" applyFont="1" applyBorder="1" applyAlignment="1">
      <alignment horizontal="center" vertical="center" wrapText="1"/>
    </xf>
    <xf numFmtId="0" fontId="13" fillId="0" borderId="1" xfId="8" applyFont="1" applyBorder="1" applyAlignment="1">
      <alignment horizontal="center" vertical="center"/>
    </xf>
    <xf numFmtId="1" fontId="4" fillId="0" borderId="1" xfId="0" applyNumberFormat="1" applyFont="1" applyBorder="1" applyAlignment="1">
      <alignment horizontal="center" vertical="center" wrapText="1"/>
    </xf>
    <xf numFmtId="0" fontId="11" fillId="38" borderId="10" xfId="0" applyFont="1" applyFill="1" applyBorder="1" applyAlignment="1">
      <alignment horizontal="left" vertical="center"/>
    </xf>
    <xf numFmtId="0" fontId="11" fillId="38" borderId="12" xfId="0" applyFont="1" applyFill="1" applyBorder="1" applyAlignment="1">
      <alignment horizontal="left" vertical="center"/>
    </xf>
    <xf numFmtId="42" fontId="31" fillId="12" borderId="10" xfId="53" applyFont="1" applyFill="1" applyBorder="1" applyAlignment="1" applyProtection="1">
      <alignment horizontal="center" vertical="center" wrapText="1"/>
      <protection locked="0"/>
    </xf>
    <xf numFmtId="42" fontId="31" fillId="12" borderId="12" xfId="53" applyFont="1" applyFill="1" applyBorder="1" applyAlignment="1" applyProtection="1">
      <alignment horizontal="center" vertical="center" wrapText="1"/>
      <protection locked="0"/>
    </xf>
    <xf numFmtId="42" fontId="31" fillId="12" borderId="32" xfId="53" applyFont="1" applyFill="1" applyBorder="1" applyAlignment="1" applyProtection="1">
      <alignment horizontal="center" vertical="center" wrapText="1"/>
      <protection locked="0"/>
    </xf>
    <xf numFmtId="42" fontId="31" fillId="12" borderId="42" xfId="53" applyFont="1" applyFill="1" applyBorder="1" applyAlignment="1" applyProtection="1">
      <alignment horizontal="center" vertical="center" wrapText="1"/>
      <protection locked="0"/>
    </xf>
    <xf numFmtId="42" fontId="31" fillId="12" borderId="1" xfId="53" applyFont="1" applyFill="1" applyBorder="1" applyAlignment="1" applyProtection="1">
      <alignment horizontal="center" vertical="center" wrapText="1"/>
      <protection locked="0"/>
    </xf>
    <xf numFmtId="0" fontId="8" fillId="0" borderId="28" xfId="10" applyFont="1" applyBorder="1" applyAlignment="1" applyProtection="1">
      <alignment horizontal="left" vertical="center" wrapText="1"/>
      <protection locked="0"/>
    </xf>
    <xf numFmtId="0" fontId="8" fillId="0" borderId="1" xfId="10" applyFont="1" applyBorder="1" applyAlignment="1" applyProtection="1">
      <alignment horizontal="left" vertical="center" wrapText="1"/>
      <protection locked="0"/>
    </xf>
    <xf numFmtId="0" fontId="8" fillId="0" borderId="63" xfId="10" applyFont="1" applyBorder="1" applyAlignment="1" applyProtection="1">
      <alignment horizontal="left" vertical="center" wrapText="1"/>
      <protection locked="0"/>
    </xf>
    <xf numFmtId="0" fontId="8" fillId="0" borderId="30" xfId="10" applyFont="1" applyBorder="1" applyAlignment="1" applyProtection="1">
      <alignment horizontal="left" vertical="center" wrapText="1"/>
      <protection locked="0"/>
    </xf>
    <xf numFmtId="42" fontId="31" fillId="6" borderId="1" xfId="53" applyFont="1" applyFill="1" applyBorder="1" applyAlignment="1" applyProtection="1">
      <alignment horizontal="center" vertical="center" wrapText="1"/>
      <protection locked="0"/>
    </xf>
    <xf numFmtId="0" fontId="8" fillId="0" borderId="65" xfId="10" applyFont="1" applyBorder="1" applyAlignment="1" applyProtection="1">
      <alignment horizontal="left" vertical="center" wrapText="1"/>
      <protection locked="0"/>
    </xf>
    <xf numFmtId="0" fontId="8" fillId="0" borderId="26" xfId="10" applyFont="1" applyBorder="1" applyAlignment="1" applyProtection="1">
      <alignment horizontal="left" vertical="center" wrapText="1"/>
      <protection locked="0"/>
    </xf>
    <xf numFmtId="0" fontId="8" fillId="14" borderId="22" xfId="10" applyFont="1" applyFill="1" applyBorder="1" applyAlignment="1" applyProtection="1">
      <alignment horizontal="center" vertical="center" wrapText="1"/>
      <protection locked="0"/>
    </xf>
    <xf numFmtId="0" fontId="8" fillId="14" borderId="23" xfId="10" applyFont="1" applyFill="1" applyBorder="1" applyAlignment="1" applyProtection="1">
      <alignment horizontal="center" vertical="center" wrapText="1"/>
      <protection locked="0"/>
    </xf>
    <xf numFmtId="0" fontId="8" fillId="14" borderId="25" xfId="10" applyFont="1" applyFill="1" applyBorder="1" applyAlignment="1" applyProtection="1">
      <alignment horizontal="center" vertical="center" wrapText="1"/>
      <protection locked="0"/>
    </xf>
    <xf numFmtId="0" fontId="8" fillId="14" borderId="59" xfId="10" applyFont="1" applyFill="1" applyBorder="1" applyAlignment="1" applyProtection="1">
      <alignment horizontal="center" vertical="center" wrapText="1"/>
      <protection locked="0"/>
    </xf>
    <xf numFmtId="0" fontId="8" fillId="14" borderId="24" xfId="10" applyFont="1" applyFill="1" applyBorder="1" applyAlignment="1" applyProtection="1">
      <alignment horizontal="center" vertical="center" wrapText="1"/>
      <protection locked="0"/>
    </xf>
    <xf numFmtId="0" fontId="8" fillId="10" borderId="39" xfId="10" applyFont="1" applyFill="1" applyBorder="1" applyAlignment="1" applyProtection="1">
      <alignment horizontal="center" vertical="center" wrapText="1"/>
      <protection locked="0"/>
    </xf>
    <xf numFmtId="0" fontId="8" fillId="10" borderId="56" xfId="10" applyFont="1" applyFill="1" applyBorder="1" applyAlignment="1" applyProtection="1">
      <alignment horizontal="center" vertical="center" wrapText="1"/>
      <protection locked="0"/>
    </xf>
    <xf numFmtId="0" fontId="13" fillId="0" borderId="18" xfId="10" applyFont="1" applyBorder="1" applyAlignment="1" applyProtection="1">
      <alignment horizontal="center" vertical="center" wrapText="1"/>
      <protection locked="0"/>
    </xf>
    <xf numFmtId="0" fontId="13" fillId="0" borderId="19" xfId="10" applyFont="1" applyBorder="1" applyAlignment="1" applyProtection="1">
      <alignment horizontal="center" vertical="center" wrapText="1"/>
      <protection locked="0"/>
    </xf>
    <xf numFmtId="0" fontId="13" fillId="0" borderId="13" xfId="10" applyFont="1" applyBorder="1" applyAlignment="1" applyProtection="1">
      <alignment horizontal="center" vertical="center" wrapText="1"/>
      <protection locked="0"/>
    </xf>
    <xf numFmtId="0" fontId="13" fillId="0" borderId="20" xfId="10" applyFont="1" applyBorder="1" applyAlignment="1" applyProtection="1">
      <alignment horizontal="center" vertical="center" wrapText="1"/>
      <protection locked="0"/>
    </xf>
    <xf numFmtId="0" fontId="13" fillId="0" borderId="0" xfId="10" applyFont="1" applyAlignment="1" applyProtection="1">
      <alignment horizontal="center" vertical="center" wrapText="1"/>
      <protection locked="0"/>
    </xf>
    <xf numFmtId="0" fontId="13" fillId="0" borderId="21" xfId="10" applyFont="1" applyBorder="1" applyAlignment="1" applyProtection="1">
      <alignment horizontal="center" vertical="center" wrapText="1"/>
      <protection locked="0"/>
    </xf>
    <xf numFmtId="0" fontId="13" fillId="0" borderId="22" xfId="10" applyFont="1" applyBorder="1" applyAlignment="1" applyProtection="1">
      <alignment horizontal="center" vertical="center" wrapText="1"/>
      <protection locked="0"/>
    </xf>
    <xf numFmtId="0" fontId="13" fillId="0" borderId="23" xfId="10" applyFont="1" applyBorder="1" applyAlignment="1" applyProtection="1">
      <alignment horizontal="center" vertical="center" wrapText="1"/>
      <protection locked="0"/>
    </xf>
    <xf numFmtId="0" fontId="13" fillId="0" borderId="14" xfId="10" applyFont="1" applyBorder="1" applyAlignment="1" applyProtection="1">
      <alignment horizontal="center" vertical="center" wrapText="1"/>
      <protection locked="0"/>
    </xf>
    <xf numFmtId="1" fontId="8" fillId="0" borderId="24" xfId="10" applyNumberFormat="1" applyFont="1" applyBorder="1" applyAlignment="1" applyProtection="1">
      <alignment horizontal="center" vertical="center" wrapText="1"/>
      <protection locked="0"/>
    </xf>
    <xf numFmtId="0" fontId="31" fillId="0" borderId="25" xfId="10" applyFont="1" applyBorder="1" applyAlignment="1" applyProtection="1">
      <alignment horizontal="center" vertical="center" wrapText="1"/>
      <protection locked="0"/>
    </xf>
    <xf numFmtId="0" fontId="31" fillId="0" borderId="15" xfId="10" applyFont="1" applyBorder="1" applyAlignment="1" applyProtection="1">
      <alignment horizontal="center" vertical="center" wrapText="1"/>
      <protection locked="0"/>
    </xf>
    <xf numFmtId="0" fontId="8" fillId="20" borderId="24" xfId="10" applyFont="1" applyFill="1" applyBorder="1" applyAlignment="1" applyProtection="1">
      <alignment horizontal="center" vertical="center" wrapText="1"/>
      <protection locked="0"/>
    </xf>
    <xf numFmtId="0" fontId="8" fillId="20" borderId="25" xfId="10" applyFont="1" applyFill="1" applyBorder="1" applyAlignment="1" applyProtection="1">
      <alignment horizontal="center" vertical="center" wrapText="1"/>
      <protection locked="0"/>
    </xf>
    <xf numFmtId="0" fontId="8" fillId="20" borderId="15" xfId="10" applyFont="1" applyFill="1" applyBorder="1" applyAlignment="1" applyProtection="1">
      <alignment horizontal="center" vertical="center" wrapText="1"/>
      <protection locked="0"/>
    </xf>
    <xf numFmtId="42" fontId="31" fillId="6" borderId="39" xfId="53" applyFont="1" applyFill="1" applyBorder="1" applyAlignment="1" applyProtection="1">
      <alignment horizontal="center" vertical="center" wrapText="1"/>
      <protection locked="0"/>
    </xf>
    <xf numFmtId="42" fontId="31" fillId="6" borderId="56" xfId="53" applyFont="1" applyFill="1" applyBorder="1" applyAlignment="1" applyProtection="1">
      <alignment horizontal="center" vertical="center" wrapText="1"/>
      <protection locked="0"/>
    </xf>
    <xf numFmtId="0" fontId="8" fillId="0" borderId="24" xfId="10" applyFont="1" applyBorder="1" applyAlignment="1" applyProtection="1">
      <alignment horizontal="left" vertical="center" wrapText="1"/>
      <protection locked="0"/>
    </xf>
    <xf numFmtId="0" fontId="8" fillId="0" borderId="25" xfId="10" applyFont="1" applyBorder="1" applyAlignment="1" applyProtection="1">
      <alignment horizontal="left" vertical="center" wrapText="1"/>
      <protection locked="0"/>
    </xf>
    <xf numFmtId="0" fontId="8" fillId="0" borderId="59" xfId="10" applyFont="1" applyBorder="1" applyAlignment="1" applyProtection="1">
      <alignment horizontal="left" vertical="center" wrapText="1"/>
      <protection locked="0"/>
    </xf>
    <xf numFmtId="0" fontId="8" fillId="14" borderId="15" xfId="10" applyFont="1" applyFill="1" applyBorder="1" applyAlignment="1" applyProtection="1">
      <alignment horizontal="center" vertical="center" wrapText="1"/>
      <protection locked="0"/>
    </xf>
    <xf numFmtId="0" fontId="8" fillId="10" borderId="58" xfId="10" applyFont="1" applyFill="1" applyBorder="1" applyAlignment="1" applyProtection="1">
      <alignment horizontal="center" vertical="center" wrapText="1"/>
      <protection locked="0"/>
    </xf>
    <xf numFmtId="0" fontId="8" fillId="10" borderId="59" xfId="10" applyFont="1" applyFill="1" applyBorder="1" applyAlignment="1" applyProtection="1">
      <alignment horizontal="center" vertical="center" wrapText="1"/>
      <protection locked="0"/>
    </xf>
    <xf numFmtId="0" fontId="46" fillId="0" borderId="1" xfId="8" applyFont="1" applyBorder="1" applyAlignment="1">
      <alignment horizontal="center"/>
    </xf>
    <xf numFmtId="0" fontId="46" fillId="0" borderId="10" xfId="8" applyFont="1" applyBorder="1" applyAlignment="1">
      <alignment horizontal="center" vertical="center"/>
    </xf>
    <xf numFmtId="0" fontId="46" fillId="0" borderId="12" xfId="8" applyFont="1" applyBorder="1" applyAlignment="1">
      <alignment horizontal="center" vertical="center"/>
    </xf>
    <xf numFmtId="0" fontId="47" fillId="0" borderId="1" xfId="8" applyFont="1" applyBorder="1" applyAlignment="1">
      <alignment horizontal="left"/>
    </xf>
    <xf numFmtId="0" fontId="47" fillId="0" borderId="1" xfId="8" applyFont="1" applyBorder="1" applyAlignment="1">
      <alignment horizontal="center"/>
    </xf>
    <xf numFmtId="0" fontId="46" fillId="0" borderId="16" xfId="8" applyFont="1" applyBorder="1" applyAlignment="1">
      <alignment horizontal="center" vertical="center"/>
    </xf>
    <xf numFmtId="0" fontId="46" fillId="0" borderId="17" xfId="8" applyFont="1" applyBorder="1" applyAlignment="1">
      <alignment horizontal="center" vertical="center"/>
    </xf>
    <xf numFmtId="0" fontId="46" fillId="0" borderId="1" xfId="8" applyFont="1" applyBorder="1" applyAlignment="1">
      <alignment horizontal="center" vertical="center" wrapText="1"/>
    </xf>
    <xf numFmtId="0" fontId="46" fillId="0" borderId="1" xfId="8" applyFont="1" applyBorder="1" applyAlignment="1">
      <alignment horizontal="center" vertical="center"/>
    </xf>
    <xf numFmtId="0" fontId="47" fillId="0" borderId="1" xfId="8" applyFont="1" applyBorder="1" applyAlignment="1">
      <alignment horizontal="center" vertical="center"/>
    </xf>
    <xf numFmtId="0" fontId="46" fillId="0" borderId="1" xfId="8" applyFont="1" applyBorder="1" applyAlignment="1">
      <alignment horizontal="left" wrapText="1"/>
    </xf>
    <xf numFmtId="0" fontId="47" fillId="0" borderId="10" xfId="8" applyFont="1" applyBorder="1" applyAlignment="1">
      <alignment horizontal="left" wrapText="1"/>
    </xf>
    <xf numFmtId="0" fontId="47" fillId="0" borderId="12" xfId="8" applyFont="1" applyBorder="1" applyAlignment="1">
      <alignment horizontal="left" wrapText="1"/>
    </xf>
    <xf numFmtId="0" fontId="46" fillId="0" borderId="1" xfId="8" applyFont="1" applyBorder="1" applyAlignment="1">
      <alignment horizontal="left"/>
    </xf>
    <xf numFmtId="0" fontId="47" fillId="0" borderId="1" xfId="8" applyFont="1" applyBorder="1" applyAlignment="1">
      <alignment horizontal="left" wrapText="1"/>
    </xf>
    <xf numFmtId="0" fontId="46" fillId="0" borderId="10" xfId="8" applyFont="1" applyBorder="1" applyAlignment="1">
      <alignment horizontal="left" wrapText="1"/>
    </xf>
    <xf numFmtId="0" fontId="46" fillId="0" borderId="12" xfId="8" applyFont="1" applyBorder="1" applyAlignment="1">
      <alignment horizontal="left" wrapText="1"/>
    </xf>
    <xf numFmtId="0" fontId="47" fillId="0" borderId="10" xfId="8" applyFont="1" applyBorder="1" applyAlignment="1">
      <alignment horizontal="left"/>
    </xf>
    <xf numFmtId="0" fontId="47" fillId="0" borderId="12" xfId="8" applyFont="1" applyBorder="1" applyAlignment="1">
      <alignment horizontal="left"/>
    </xf>
    <xf numFmtId="0" fontId="46" fillId="0" borderId="10" xfId="8" applyFont="1" applyBorder="1" applyAlignment="1">
      <alignment horizontal="left"/>
    </xf>
    <xf numFmtId="0" fontId="46" fillId="0" borderId="12" xfId="8" applyFont="1" applyBorder="1" applyAlignment="1">
      <alignment horizontal="left"/>
    </xf>
    <xf numFmtId="1" fontId="29" fillId="20" borderId="10" xfId="40" applyNumberFormat="1" applyFont="1" applyFill="1" applyBorder="1" applyAlignment="1">
      <alignment horizontal="center" vertical="center" wrapText="1"/>
    </xf>
    <xf numFmtId="1" fontId="29" fillId="20" borderId="11" xfId="40" applyNumberFormat="1" applyFont="1" applyFill="1" applyBorder="1" applyAlignment="1">
      <alignment horizontal="center" vertical="center" wrapText="1"/>
    </xf>
    <xf numFmtId="42" fontId="43" fillId="38" borderId="1" xfId="53" applyFont="1" applyFill="1" applyBorder="1" applyAlignment="1" applyProtection="1">
      <alignment horizontal="center" vertical="center"/>
    </xf>
    <xf numFmtId="0" fontId="43" fillId="38" borderId="1" xfId="60" applyFont="1" applyFill="1" applyBorder="1" applyAlignment="1">
      <alignment horizontal="center" vertical="center" wrapText="1"/>
    </xf>
    <xf numFmtId="49" fontId="43" fillId="38" borderId="16" xfId="60" applyNumberFormat="1" applyFont="1" applyFill="1" applyBorder="1" applyAlignment="1">
      <alignment horizontal="center" vertical="center" wrapText="1"/>
    </xf>
    <xf numFmtId="49" fontId="43" fillId="38" borderId="17" xfId="60" applyNumberFormat="1" applyFont="1" applyFill="1" applyBorder="1" applyAlignment="1">
      <alignment horizontal="center" vertical="center" wrapText="1"/>
    </xf>
    <xf numFmtId="10" fontId="43" fillId="38" borderId="1" xfId="16" applyNumberFormat="1" applyFont="1" applyFill="1" applyBorder="1" applyAlignment="1" applyProtection="1">
      <alignment horizontal="center" vertical="center"/>
    </xf>
    <xf numFmtId="0" fontId="29" fillId="0" borderId="0" xfId="40" applyFont="1" applyAlignment="1">
      <alignment horizontal="center" vertical="center" wrapText="1"/>
    </xf>
    <xf numFmtId="1" fontId="48" fillId="0" borderId="1" xfId="60" applyNumberFormat="1" applyFont="1" applyBorder="1" applyAlignment="1" applyProtection="1">
      <alignment horizontal="center" vertical="center"/>
      <protection locked="0"/>
    </xf>
    <xf numFmtId="1" fontId="48" fillId="0" borderId="1" xfId="60" applyNumberFormat="1" applyFont="1" applyBorder="1" applyAlignment="1" applyProtection="1">
      <alignment horizontal="justify" vertical="center" wrapText="1"/>
      <protection locked="0"/>
    </xf>
    <xf numFmtId="49" fontId="29" fillId="0" borderId="16" xfId="60" applyNumberFormat="1" applyFont="1" applyBorder="1" applyAlignment="1">
      <alignment horizontal="center" vertical="center" wrapText="1"/>
    </xf>
    <xf numFmtId="49" fontId="29" fillId="0" borderId="17" xfId="60" applyNumberFormat="1" applyFont="1" applyBorder="1" applyAlignment="1">
      <alignment horizontal="center" vertical="center" wrapText="1"/>
    </xf>
    <xf numFmtId="0" fontId="12" fillId="0" borderId="1" xfId="40" applyFont="1" applyBorder="1" applyAlignment="1">
      <alignment horizontal="center" vertical="center" wrapText="1"/>
    </xf>
    <xf numFmtId="0" fontId="13" fillId="0" borderId="1" xfId="40" applyFont="1" applyBorder="1" applyAlignment="1">
      <alignment horizontal="center" vertical="center" wrapText="1"/>
    </xf>
    <xf numFmtId="1" fontId="8" fillId="0" borderId="10" xfId="40" applyNumberFormat="1" applyFont="1" applyBorder="1" applyAlignment="1">
      <alignment horizontal="center" vertical="center" wrapText="1"/>
    </xf>
    <xf numFmtId="0" fontId="8" fillId="0" borderId="11" xfId="40" applyFont="1" applyBorder="1" applyAlignment="1">
      <alignment horizontal="center" vertical="center" wrapText="1"/>
    </xf>
    <xf numFmtId="0" fontId="8" fillId="0" borderId="12" xfId="40" applyFont="1" applyBorder="1" applyAlignment="1">
      <alignment horizontal="center" vertical="center" wrapText="1"/>
    </xf>
    <xf numFmtId="0" fontId="43" fillId="38" borderId="1" xfId="40" applyFont="1" applyFill="1" applyBorder="1" applyAlignment="1">
      <alignment horizontal="center" vertical="center"/>
    </xf>
    <xf numFmtId="0" fontId="43" fillId="38" borderId="16" xfId="40" applyFont="1" applyFill="1" applyBorder="1" applyAlignment="1" applyProtection="1">
      <alignment horizontal="center" vertical="center"/>
      <protection locked="0"/>
    </xf>
    <xf numFmtId="0" fontId="43" fillId="38" borderId="17" xfId="40" applyFont="1" applyFill="1" applyBorder="1" applyAlignment="1" applyProtection="1">
      <alignment horizontal="center" vertical="center"/>
      <protection locked="0"/>
    </xf>
    <xf numFmtId="0" fontId="43" fillId="38" borderId="1" xfId="40" applyFont="1" applyFill="1" applyBorder="1" applyAlignment="1">
      <alignment horizontal="center" vertical="center" wrapText="1"/>
    </xf>
    <xf numFmtId="0" fontId="43" fillId="38" borderId="10" xfId="4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2" xfId="0" applyFont="1" applyFill="1" applyBorder="1" applyAlignment="1">
      <alignment horizontal="center" vertical="center" wrapText="1"/>
    </xf>
    <xf numFmtId="0" fontId="50" fillId="0" borderId="7" xfId="8" applyFont="1" applyBorder="1" applyAlignment="1">
      <alignment horizontal="center" vertical="center" wrapText="1"/>
    </xf>
    <xf numFmtId="0" fontId="50" fillId="0" borderId="8" xfId="8" applyFont="1" applyBorder="1" applyAlignment="1">
      <alignment horizontal="center" vertical="center" wrapText="1"/>
    </xf>
    <xf numFmtId="0" fontId="50" fillId="0" borderId="2" xfId="8" applyFont="1" applyBorder="1" applyAlignment="1">
      <alignment horizontal="center" vertical="center" wrapText="1"/>
    </xf>
    <xf numFmtId="0" fontId="50" fillId="0" borderId="3" xfId="8" applyFont="1" applyBorder="1" applyAlignment="1">
      <alignment horizontal="center" vertical="center" wrapText="1"/>
    </xf>
    <xf numFmtId="0" fontId="50" fillId="0" borderId="4" xfId="8" applyFont="1" applyBorder="1" applyAlignment="1">
      <alignment horizontal="center" vertical="center" wrapText="1"/>
    </xf>
    <xf numFmtId="0" fontId="50" fillId="0" borderId="6" xfId="8"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8" fillId="0" borderId="10" xfId="0" applyFont="1" applyBorder="1" applyAlignment="1">
      <alignment horizontal="right" vertical="center" indent="2"/>
    </xf>
    <xf numFmtId="0" fontId="8" fillId="0" borderId="11" xfId="0" applyFont="1" applyBorder="1" applyAlignment="1">
      <alignment horizontal="right" vertical="center" indent="2"/>
    </xf>
    <xf numFmtId="0" fontId="8" fillId="0" borderId="12" xfId="0" applyFont="1" applyBorder="1" applyAlignment="1">
      <alignment horizontal="right" vertical="center" indent="2"/>
    </xf>
    <xf numFmtId="0" fontId="8" fillId="24" borderId="10" xfId="0" applyFont="1" applyFill="1" applyBorder="1" applyAlignment="1">
      <alignment horizontal="left" vertical="center"/>
    </xf>
    <xf numFmtId="0" fontId="8" fillId="24" borderId="12" xfId="0" applyFont="1" applyFill="1" applyBorder="1" applyAlignment="1">
      <alignment horizontal="left" vertical="center"/>
    </xf>
    <xf numFmtId="49" fontId="8" fillId="0" borderId="1" xfId="60" applyNumberFormat="1" applyFont="1" applyBorder="1" applyAlignment="1">
      <alignment horizontal="center" vertical="center" wrapText="1"/>
    </xf>
    <xf numFmtId="0" fontId="8" fillId="22" borderId="10" xfId="0" applyFont="1" applyFill="1" applyBorder="1" applyAlignment="1">
      <alignment horizontal="left" vertical="center"/>
    </xf>
    <xf numFmtId="0" fontId="8" fillId="22" borderId="12" xfId="0" applyFont="1" applyFill="1" applyBorder="1" applyAlignment="1">
      <alignment horizontal="left" vertical="center"/>
    </xf>
    <xf numFmtId="0" fontId="8" fillId="25" borderId="10" xfId="0" applyFont="1" applyFill="1" applyBorder="1" applyAlignment="1">
      <alignment horizontal="left" vertical="center"/>
    </xf>
    <xf numFmtId="0" fontId="8" fillId="25" borderId="12" xfId="0" applyFont="1" applyFill="1" applyBorder="1" applyAlignment="1">
      <alignment horizontal="left" vertical="center"/>
    </xf>
    <xf numFmtId="49" fontId="8" fillId="0" borderId="16" xfId="60" applyNumberFormat="1" applyFont="1" applyBorder="1" applyAlignment="1">
      <alignment horizontal="center" vertical="center" wrapText="1"/>
    </xf>
    <xf numFmtId="49" fontId="8" fillId="0" borderId="17" xfId="60" applyNumberFormat="1" applyFont="1" applyBorder="1" applyAlignment="1">
      <alignment horizontal="center" vertical="center" wrapText="1"/>
    </xf>
    <xf numFmtId="0" fontId="8" fillId="26" borderId="10" xfId="0" applyFont="1" applyFill="1" applyBorder="1" applyAlignment="1">
      <alignment horizontal="left" vertical="center"/>
    </xf>
    <xf numFmtId="0" fontId="8" fillId="26" borderId="12" xfId="0" applyFont="1" applyFill="1" applyBorder="1" applyAlignment="1">
      <alignment horizontal="left" vertical="center"/>
    </xf>
    <xf numFmtId="0" fontId="8" fillId="23" borderId="1" xfId="60" applyFont="1" applyFill="1" applyBorder="1" applyAlignment="1">
      <alignment horizontal="left" vertical="center" wrapText="1"/>
    </xf>
    <xf numFmtId="10" fontId="8" fillId="0" borderId="1" xfId="16" applyNumberFormat="1" applyFont="1" applyFill="1" applyBorder="1" applyAlignment="1" applyProtection="1">
      <alignment horizontal="center" vertical="center"/>
    </xf>
    <xf numFmtId="42" fontId="8" fillId="0" borderId="1" xfId="53" applyFont="1" applyFill="1" applyBorder="1" applyAlignment="1" applyProtection="1">
      <alignment horizontal="center" vertical="center"/>
    </xf>
    <xf numFmtId="0" fontId="8" fillId="18" borderId="1" xfId="60" applyFont="1" applyFill="1" applyBorder="1" applyAlignment="1">
      <alignment horizontal="left" vertical="center" wrapText="1"/>
    </xf>
    <xf numFmtId="0" fontId="8" fillId="9" borderId="1" xfId="60" applyFont="1" applyFill="1" applyBorder="1" applyAlignment="1">
      <alignment horizontal="left" vertical="center" wrapText="1"/>
    </xf>
    <xf numFmtId="0" fontId="8" fillId="10" borderId="1" xfId="60" applyFont="1" applyFill="1" applyBorder="1" applyAlignment="1">
      <alignment horizontal="left" vertical="center" wrapText="1"/>
    </xf>
    <xf numFmtId="0" fontId="8" fillId="0" borderId="1" xfId="8" applyFont="1" applyBorder="1" applyAlignment="1">
      <alignment horizontal="center" vertical="center" wrapText="1"/>
    </xf>
    <xf numFmtId="2" fontId="8" fillId="0" borderId="1" xfId="8" applyNumberFormat="1" applyFont="1" applyBorder="1" applyAlignment="1">
      <alignment horizontal="center" vertical="center" wrapText="1"/>
    </xf>
    <xf numFmtId="0" fontId="42" fillId="38" borderId="7" xfId="8" applyFont="1" applyFill="1" applyBorder="1" applyAlignment="1">
      <alignment horizontal="center" vertical="center"/>
    </xf>
    <xf numFmtId="0" fontId="42" fillId="38" borderId="9" xfId="8" applyFont="1" applyFill="1" applyBorder="1" applyAlignment="1">
      <alignment horizontal="center" vertical="center"/>
    </xf>
    <xf numFmtId="0" fontId="42" fillId="38" borderId="8" xfId="8" applyFont="1" applyFill="1" applyBorder="1" applyAlignment="1">
      <alignment horizontal="center" vertical="center"/>
    </xf>
    <xf numFmtId="0" fontId="42" fillId="38" borderId="4" xfId="8" applyFont="1" applyFill="1" applyBorder="1" applyAlignment="1">
      <alignment horizontal="center" vertical="center"/>
    </xf>
    <xf numFmtId="0" fontId="42" fillId="38" borderId="5" xfId="8" applyFont="1" applyFill="1" applyBorder="1" applyAlignment="1">
      <alignment horizontal="center" vertical="center"/>
    </xf>
    <xf numFmtId="0" fontId="42" fillId="38" borderId="6" xfId="8" applyFont="1" applyFill="1" applyBorder="1" applyAlignment="1">
      <alignment horizontal="center" vertical="center"/>
    </xf>
    <xf numFmtId="0" fontId="42" fillId="38" borderId="1" xfId="8" applyFont="1" applyFill="1" applyBorder="1" applyAlignment="1">
      <alignment horizontal="center" vertical="center" wrapText="1"/>
    </xf>
    <xf numFmtId="0" fontId="42" fillId="38" borderId="1" xfId="8" applyFont="1" applyFill="1" applyBorder="1" applyAlignment="1">
      <alignment horizontal="center" vertical="center"/>
    </xf>
    <xf numFmtId="17" fontId="42" fillId="38" borderId="7" xfId="8" applyNumberFormat="1" applyFont="1" applyFill="1" applyBorder="1" applyAlignment="1" applyProtection="1">
      <alignment horizontal="center" vertical="center"/>
      <protection locked="0"/>
    </xf>
    <xf numFmtId="17" fontId="42" fillId="38" borderId="4" xfId="8" applyNumberFormat="1" applyFont="1" applyFill="1" applyBorder="1" applyAlignment="1" applyProtection="1">
      <alignment horizontal="center" vertical="center"/>
      <protection locked="0"/>
    </xf>
    <xf numFmtId="0" fontId="18" fillId="0" borderId="1" xfId="8" applyFont="1" applyBorder="1" applyAlignment="1">
      <alignment horizontal="left" wrapText="1"/>
    </xf>
    <xf numFmtId="0" fontId="18" fillId="0" borderId="10" xfId="8" applyFont="1" applyBorder="1" applyAlignment="1">
      <alignment horizontal="left" wrapText="1"/>
    </xf>
    <xf numFmtId="0" fontId="18" fillId="0" borderId="12" xfId="8" applyFont="1" applyBorder="1" applyAlignment="1">
      <alignment horizontal="left" wrapText="1"/>
    </xf>
    <xf numFmtId="0" fontId="16" fillId="0" borderId="10" xfId="8" applyFont="1" applyBorder="1" applyAlignment="1">
      <alignment horizontal="left"/>
    </xf>
    <xf numFmtId="0" fontId="16" fillId="0" borderId="12" xfId="8" applyFont="1" applyBorder="1" applyAlignment="1">
      <alignment horizontal="left"/>
    </xf>
    <xf numFmtId="0" fontId="19" fillId="0" borderId="10" xfId="8" applyFont="1" applyBorder="1" applyAlignment="1">
      <alignment horizontal="left"/>
    </xf>
    <xf numFmtId="0" fontId="19" fillId="0" borderId="12" xfId="8" applyFont="1" applyBorder="1" applyAlignment="1">
      <alignment horizontal="left"/>
    </xf>
    <xf numFmtId="0" fontId="16" fillId="0" borderId="1" xfId="8" applyFont="1" applyBorder="1" applyAlignment="1">
      <alignment horizontal="left"/>
    </xf>
    <xf numFmtId="0" fontId="16" fillId="0" borderId="10" xfId="8" applyFont="1" applyBorder="1" applyAlignment="1">
      <alignment horizontal="left" wrapText="1"/>
    </xf>
    <xf numFmtId="0" fontId="16" fillId="0" borderId="12" xfId="8" applyFont="1" applyBorder="1" applyAlignment="1">
      <alignment horizontal="left" wrapText="1"/>
    </xf>
    <xf numFmtId="0" fontId="19" fillId="0" borderId="1" xfId="8" applyFont="1" applyBorder="1" applyAlignment="1">
      <alignment horizontal="left"/>
    </xf>
    <xf numFmtId="0" fontId="16" fillId="0" borderId="1" xfId="8" applyFont="1" applyBorder="1" applyAlignment="1">
      <alignment horizontal="left" wrapText="1"/>
    </xf>
    <xf numFmtId="0" fontId="19" fillId="0" borderId="1" xfId="8" applyFont="1" applyBorder="1" applyAlignment="1">
      <alignment horizontal="left" wrapText="1"/>
    </xf>
    <xf numFmtId="0" fontId="16" fillId="0" borderId="1" xfId="8" applyFont="1" applyBorder="1" applyAlignment="1">
      <alignment horizontal="center"/>
    </xf>
    <xf numFmtId="0" fontId="19" fillId="0" borderId="10" xfId="8" applyFont="1" applyBorder="1" applyAlignment="1">
      <alignment horizontal="center" vertical="center"/>
    </xf>
    <xf numFmtId="0" fontId="19" fillId="0" borderId="12" xfId="8" applyFont="1" applyBorder="1" applyAlignment="1">
      <alignment horizontal="center" vertical="center"/>
    </xf>
    <xf numFmtId="0" fontId="18" fillId="0" borderId="1" xfId="8" applyFont="1" applyBorder="1" applyAlignment="1">
      <alignment horizontal="center"/>
    </xf>
    <xf numFmtId="0" fontId="19" fillId="0" borderId="16" xfId="8" applyFont="1" applyBorder="1" applyAlignment="1">
      <alignment horizontal="center" vertical="center"/>
    </xf>
    <xf numFmtId="0" fontId="19" fillId="0" borderId="17" xfId="8" applyFont="1" applyBorder="1" applyAlignment="1">
      <alignment horizontal="center" vertical="center"/>
    </xf>
    <xf numFmtId="0" fontId="19" fillId="0" borderId="1" xfId="8" applyFont="1" applyBorder="1" applyAlignment="1">
      <alignment horizontal="center" vertical="center" wrapText="1"/>
    </xf>
    <xf numFmtId="0" fontId="19" fillId="0" borderId="1" xfId="8" applyFont="1" applyBorder="1" applyAlignment="1">
      <alignment horizontal="center" vertical="center"/>
    </xf>
    <xf numFmtId="0" fontId="8" fillId="9" borderId="1" xfId="8" applyFont="1" applyFill="1" applyBorder="1" applyAlignment="1" applyProtection="1">
      <alignment horizontal="left" vertical="center" wrapText="1"/>
      <protection locked="0"/>
    </xf>
    <xf numFmtId="0" fontId="13" fillId="0" borderId="18" xfId="8" applyFont="1" applyBorder="1" applyAlignment="1" applyProtection="1">
      <alignment horizontal="center" vertical="center" wrapText="1"/>
      <protection locked="0"/>
    </xf>
    <xf numFmtId="0" fontId="13" fillId="0" borderId="19" xfId="8" applyFont="1" applyBorder="1" applyAlignment="1" applyProtection="1">
      <alignment horizontal="center" vertical="center" wrapText="1"/>
      <protection locked="0"/>
    </xf>
    <xf numFmtId="0" fontId="13" fillId="0" borderId="13" xfId="8" applyFont="1" applyBorder="1" applyAlignment="1" applyProtection="1">
      <alignment horizontal="center" vertical="center" wrapText="1"/>
      <protection locked="0"/>
    </xf>
    <xf numFmtId="0" fontId="13" fillId="0" borderId="20" xfId="8" applyFont="1" applyBorder="1" applyAlignment="1" applyProtection="1">
      <alignment horizontal="center" vertical="center" wrapText="1"/>
      <protection locked="0"/>
    </xf>
    <xf numFmtId="0" fontId="13" fillId="0" borderId="0" xfId="8" applyFont="1" applyAlignment="1" applyProtection="1">
      <alignment horizontal="center" vertical="center" wrapText="1"/>
      <protection locked="0"/>
    </xf>
    <xf numFmtId="0" fontId="13" fillId="0" borderId="21" xfId="8" applyFont="1" applyBorder="1" applyAlignment="1" applyProtection="1">
      <alignment horizontal="center" vertical="center" wrapText="1"/>
      <protection locked="0"/>
    </xf>
    <xf numFmtId="0" fontId="13" fillId="0" borderId="22" xfId="8" applyFont="1" applyBorder="1" applyAlignment="1" applyProtection="1">
      <alignment horizontal="center" vertical="center" wrapText="1"/>
      <protection locked="0"/>
    </xf>
    <xf numFmtId="0" fontId="13" fillId="0" borderId="23" xfId="8" applyFont="1" applyBorder="1" applyAlignment="1" applyProtection="1">
      <alignment horizontal="center" vertical="center" wrapText="1"/>
      <protection locked="0"/>
    </xf>
    <xf numFmtId="0" fontId="13" fillId="0" borderId="14" xfId="8" applyFont="1" applyBorder="1" applyAlignment="1" applyProtection="1">
      <alignment horizontal="center" vertical="center" wrapText="1"/>
      <protection locked="0"/>
    </xf>
    <xf numFmtId="2" fontId="8" fillId="0" borderId="24" xfId="8" applyNumberFormat="1" applyFont="1" applyBorder="1" applyAlignment="1" applyProtection="1">
      <alignment horizontal="center" vertical="center" wrapText="1"/>
      <protection locked="0"/>
    </xf>
    <xf numFmtId="0" fontId="8" fillId="0" borderId="25" xfId="8" applyFont="1" applyBorder="1" applyAlignment="1" applyProtection="1">
      <alignment horizontal="center" vertical="center" wrapText="1"/>
      <protection locked="0"/>
    </xf>
    <xf numFmtId="0" fontId="8" fillId="0" borderId="15" xfId="8" applyFont="1" applyBorder="1" applyAlignment="1" applyProtection="1">
      <alignment horizontal="center" vertical="center" wrapText="1"/>
      <protection locked="0"/>
    </xf>
    <xf numFmtId="0" fontId="8" fillId="20" borderId="24" xfId="8" applyFont="1" applyFill="1" applyBorder="1" applyAlignment="1" applyProtection="1">
      <alignment horizontal="center" vertical="center" wrapText="1"/>
      <protection locked="0"/>
    </xf>
    <xf numFmtId="0" fontId="8" fillId="20" borderId="25" xfId="8" applyFont="1" applyFill="1" applyBorder="1" applyAlignment="1" applyProtection="1">
      <alignment horizontal="center" vertical="center" wrapText="1"/>
      <protection locked="0"/>
    </xf>
    <xf numFmtId="0" fontId="8" fillId="20" borderId="15" xfId="8" applyFont="1" applyFill="1" applyBorder="1" applyAlignment="1" applyProtection="1">
      <alignment horizontal="center" vertical="center" wrapText="1"/>
      <protection locked="0"/>
    </xf>
    <xf numFmtId="0" fontId="31" fillId="0" borderId="1" xfId="8" applyFont="1" applyBorder="1" applyAlignment="1" applyProtection="1">
      <alignment horizontal="left" vertical="center" wrapText="1"/>
      <protection locked="0"/>
    </xf>
    <xf numFmtId="0" fontId="8" fillId="10" borderId="10" xfId="8" applyFont="1" applyFill="1" applyBorder="1" applyAlignment="1" applyProtection="1">
      <alignment horizontal="center" vertical="center" wrapText="1"/>
      <protection locked="0"/>
    </xf>
    <xf numFmtId="0" fontId="8" fillId="10" borderId="12" xfId="8" applyFont="1" applyFill="1" applyBorder="1" applyAlignment="1" applyProtection="1">
      <alignment horizontal="center" vertical="center" wrapText="1"/>
      <protection locked="0"/>
    </xf>
    <xf numFmtId="1" fontId="34" fillId="27" borderId="10" xfId="64" applyNumberFormat="1" applyFont="1" applyFill="1" applyBorder="1" applyAlignment="1">
      <alignment horizontal="center" vertical="center" wrapText="1"/>
    </xf>
    <xf numFmtId="1" fontId="34" fillId="27" borderId="11" xfId="64" applyNumberFormat="1" applyFont="1" applyFill="1" applyBorder="1" applyAlignment="1">
      <alignment horizontal="center" vertical="center" wrapText="1"/>
    </xf>
    <xf numFmtId="1" fontId="34" fillId="27" borderId="12" xfId="64" applyNumberFormat="1" applyFont="1" applyFill="1" applyBorder="1" applyAlignment="1">
      <alignment horizontal="center" vertical="center" wrapText="1"/>
    </xf>
    <xf numFmtId="4" fontId="33" fillId="0" borderId="1" xfId="62" applyNumberFormat="1" applyFont="1" applyBorder="1" applyAlignment="1">
      <alignment horizontal="center" vertical="center" wrapText="1"/>
    </xf>
    <xf numFmtId="0" fontId="3" fillId="0" borderId="1" xfId="62" applyFont="1" applyBorder="1" applyAlignment="1">
      <alignment horizontal="left" vertical="center" wrapText="1"/>
    </xf>
    <xf numFmtId="3" fontId="8" fillId="10" borderId="1" xfId="62" applyNumberFormat="1" applyFont="1" applyFill="1" applyBorder="1" applyAlignment="1">
      <alignment horizontal="center" vertical="center" wrapText="1"/>
    </xf>
    <xf numFmtId="0" fontId="34" fillId="27" borderId="1" xfId="64" applyFont="1" applyFill="1" applyBorder="1" applyAlignment="1">
      <alignment horizontal="center" vertical="center" textRotation="90"/>
    </xf>
    <xf numFmtId="0" fontId="32" fillId="13" borderId="1" xfId="62" applyFont="1" applyFill="1" applyBorder="1" applyAlignment="1">
      <alignment horizontal="center" vertical="center"/>
    </xf>
    <xf numFmtId="0" fontId="4" fillId="9" borderId="1" xfId="62" applyFont="1" applyFill="1" applyBorder="1" applyAlignment="1">
      <alignment horizontal="center" vertical="center" wrapText="1"/>
    </xf>
    <xf numFmtId="0" fontId="4" fillId="0" borderId="24" xfId="8" applyFont="1" applyBorder="1" applyAlignment="1" applyProtection="1">
      <alignment horizontal="center" vertical="center"/>
      <protection locked="0"/>
    </xf>
    <xf numFmtId="0" fontId="4" fillId="0" borderId="25" xfId="8" applyFont="1" applyBorder="1" applyAlignment="1" applyProtection="1">
      <alignment horizontal="center" vertical="center"/>
      <protection locked="0"/>
    </xf>
    <xf numFmtId="0" fontId="4" fillId="0" borderId="15" xfId="8" applyFont="1" applyBorder="1" applyAlignment="1" applyProtection="1">
      <alignment horizontal="center" vertical="center"/>
      <protection locked="0"/>
    </xf>
    <xf numFmtId="2" fontId="4" fillId="0" borderId="24" xfId="8" applyNumberFormat="1" applyFont="1" applyBorder="1" applyAlignment="1" applyProtection="1">
      <alignment horizontal="center" vertical="center" wrapText="1"/>
      <protection locked="0"/>
    </xf>
    <xf numFmtId="2" fontId="4" fillId="0" borderId="25" xfId="8" applyNumberFormat="1" applyFont="1" applyBorder="1" applyAlignment="1" applyProtection="1">
      <alignment horizontal="center" vertical="center" wrapText="1"/>
      <protection locked="0"/>
    </xf>
    <xf numFmtId="2" fontId="4" fillId="0" borderId="15" xfId="8" applyNumberFormat="1" applyFont="1" applyBorder="1" applyAlignment="1" applyProtection="1">
      <alignment horizontal="center" vertical="center" wrapText="1"/>
      <protection locked="0"/>
    </xf>
    <xf numFmtId="0" fontId="29" fillId="20" borderId="57" xfId="8" applyFont="1" applyFill="1" applyBorder="1" applyAlignment="1" applyProtection="1">
      <alignment horizontal="center" vertical="center" wrapText="1"/>
      <protection locked="0"/>
    </xf>
    <xf numFmtId="0" fontId="29" fillId="20" borderId="62" xfId="8" applyFont="1" applyFill="1" applyBorder="1" applyAlignment="1" applyProtection="1">
      <alignment horizontal="center" vertical="center" wrapText="1"/>
      <protection locked="0"/>
    </xf>
    <xf numFmtId="0" fontId="29" fillId="20" borderId="60" xfId="8" applyFont="1" applyFill="1" applyBorder="1" applyAlignment="1" applyProtection="1">
      <alignment horizontal="center" vertical="center" wrapText="1"/>
      <protection locked="0"/>
    </xf>
    <xf numFmtId="3" fontId="3" fillId="0" borderId="1" xfId="62" applyNumberFormat="1" applyFont="1" applyBorder="1" applyAlignment="1">
      <alignment horizontal="left" vertical="center" wrapText="1"/>
    </xf>
    <xf numFmtId="3" fontId="4" fillId="0" borderId="1" xfId="62" applyNumberFormat="1" applyFont="1" applyBorder="1" applyAlignment="1">
      <alignment horizontal="left" vertical="center" wrapText="1"/>
    </xf>
    <xf numFmtId="0" fontId="8" fillId="33" borderId="24" xfId="8" applyFont="1" applyFill="1" applyBorder="1" applyAlignment="1">
      <alignment horizontal="left" vertical="center" wrapText="1"/>
    </xf>
    <xf numFmtId="0" fontId="8" fillId="33" borderId="25" xfId="8" applyFont="1" applyFill="1" applyBorder="1" applyAlignment="1">
      <alignment horizontal="left" vertical="center" wrapText="1"/>
    </xf>
    <xf numFmtId="0" fontId="29" fillId="0" borderId="25" xfId="8" applyFont="1" applyBorder="1" applyAlignment="1" applyProtection="1">
      <alignment horizontal="center" vertical="center" wrapText="1"/>
      <protection locked="0"/>
    </xf>
    <xf numFmtId="0" fontId="29" fillId="0" borderId="15" xfId="8" applyFont="1" applyBorder="1" applyAlignment="1" applyProtection="1">
      <alignment horizontal="center" vertical="center" wrapText="1"/>
      <protection locked="0"/>
    </xf>
    <xf numFmtId="49" fontId="3" fillId="0" borderId="2" xfId="8" applyNumberFormat="1" applyBorder="1" applyAlignment="1" applyProtection="1">
      <alignment horizontal="left" vertical="top" wrapText="1"/>
      <protection locked="0"/>
    </xf>
    <xf numFmtId="49" fontId="3" fillId="0" borderId="0" xfId="8" applyNumberFormat="1" applyAlignment="1" applyProtection="1">
      <alignment horizontal="left" vertical="top" wrapText="1"/>
      <protection locked="0"/>
    </xf>
    <xf numFmtId="49" fontId="3" fillId="0" borderId="3" xfId="8" applyNumberFormat="1" applyBorder="1" applyAlignment="1" applyProtection="1">
      <alignment horizontal="left" vertical="top" wrapText="1"/>
      <protection locked="0"/>
    </xf>
    <xf numFmtId="49" fontId="3" fillId="0" borderId="4" xfId="8" applyNumberFormat="1" applyBorder="1" applyAlignment="1" applyProtection="1">
      <alignment horizontal="left" vertical="top" wrapText="1"/>
      <protection locked="0"/>
    </xf>
    <xf numFmtId="49" fontId="3" fillId="0" borderId="5" xfId="8" applyNumberFormat="1" applyBorder="1" applyAlignment="1" applyProtection="1">
      <alignment horizontal="left" vertical="top" wrapText="1"/>
      <protection locked="0"/>
    </xf>
    <xf numFmtId="49" fontId="3" fillId="0" borderId="6" xfId="8" applyNumberFormat="1" applyBorder="1" applyAlignment="1" applyProtection="1">
      <alignment horizontal="left" vertical="top" wrapText="1"/>
      <protection locked="0"/>
    </xf>
    <xf numFmtId="0" fontId="3" fillId="0" borderId="10" xfId="8" applyBorder="1" applyAlignment="1" applyProtection="1">
      <alignment horizontal="left" vertical="center" wrapText="1"/>
      <protection locked="0"/>
    </xf>
    <xf numFmtId="0" fontId="3" fillId="0" borderId="11" xfId="8" applyBorder="1" applyAlignment="1" applyProtection="1">
      <alignment horizontal="left" vertical="center" wrapText="1"/>
      <protection locked="0"/>
    </xf>
    <xf numFmtId="0" fontId="3" fillId="0" borderId="12" xfId="8" applyBorder="1" applyAlignment="1" applyProtection="1">
      <alignment horizontal="left" vertical="center" wrapText="1"/>
      <protection locked="0"/>
    </xf>
    <xf numFmtId="0" fontId="3" fillId="0" borderId="1" xfId="8" applyBorder="1" applyAlignment="1" applyProtection="1">
      <alignment horizontal="left" vertical="center" wrapText="1"/>
      <protection locked="0"/>
    </xf>
    <xf numFmtId="0" fontId="3" fillId="0" borderId="29" xfId="8" applyBorder="1" applyAlignment="1" applyProtection="1">
      <alignment horizontal="left" vertical="center" wrapText="1"/>
      <protection locked="0"/>
    </xf>
    <xf numFmtId="0" fontId="3" fillId="0" borderId="32" xfId="8" applyBorder="1" applyAlignment="1" applyProtection="1">
      <alignment horizontal="left" vertical="center" wrapText="1"/>
      <protection locked="0"/>
    </xf>
    <xf numFmtId="0" fontId="3" fillId="0" borderId="33" xfId="8" applyBorder="1" applyAlignment="1" applyProtection="1">
      <alignment horizontal="left" vertical="center" wrapText="1"/>
      <protection locked="0"/>
    </xf>
    <xf numFmtId="0" fontId="3" fillId="0" borderId="42" xfId="8" applyBorder="1" applyAlignment="1" applyProtection="1">
      <alignment horizontal="left" vertical="center" wrapText="1"/>
      <protection locked="0"/>
    </xf>
    <xf numFmtId="0" fontId="3" fillId="0" borderId="43" xfId="8" applyBorder="1" applyAlignment="1" applyProtection="1">
      <alignment horizontal="left" vertical="center" wrapText="1"/>
      <protection locked="0"/>
    </xf>
    <xf numFmtId="0" fontId="29" fillId="0" borderId="35" xfId="8" applyFont="1" applyBorder="1" applyAlignment="1" applyProtection="1">
      <alignment horizontal="center" vertical="center" textRotation="90"/>
      <protection locked="0"/>
    </xf>
    <xf numFmtId="0" fontId="3" fillId="0" borderId="36" xfId="8" applyBorder="1"/>
    <xf numFmtId="0" fontId="3" fillId="0" borderId="37" xfId="8" applyBorder="1"/>
    <xf numFmtId="0" fontId="8" fillId="33" borderId="39" xfId="8" applyFont="1" applyFill="1" applyBorder="1" applyAlignment="1">
      <alignment horizontal="left" vertical="center" wrapText="1"/>
    </xf>
    <xf numFmtId="0" fontId="8" fillId="33" borderId="19" xfId="8" applyFont="1" applyFill="1" applyBorder="1" applyAlignment="1">
      <alignment horizontal="left" vertical="center" wrapText="1"/>
    </xf>
    <xf numFmtId="0" fontId="8" fillId="33" borderId="13" xfId="8" applyFont="1" applyFill="1" applyBorder="1" applyAlignment="1">
      <alignment horizontal="left" vertical="center" wrapText="1"/>
    </xf>
    <xf numFmtId="0" fontId="13" fillId="35" borderId="10" xfId="8" applyFont="1" applyFill="1" applyBorder="1" applyAlignment="1">
      <alignment horizontal="center" vertical="center"/>
    </xf>
    <xf numFmtId="0" fontId="13" fillId="35" borderId="11" xfId="8" applyFont="1" applyFill="1" applyBorder="1" applyAlignment="1">
      <alignment horizontal="center" vertical="center"/>
    </xf>
    <xf numFmtId="0" fontId="13" fillId="35" borderId="12" xfId="8" applyFont="1" applyFill="1" applyBorder="1" applyAlignment="1">
      <alignment horizontal="center" vertical="center"/>
    </xf>
    <xf numFmtId="0" fontId="13" fillId="36" borderId="1" xfId="8" applyFont="1" applyFill="1" applyBorder="1" applyAlignment="1">
      <alignment horizontal="center" vertical="center"/>
    </xf>
    <xf numFmtId="0" fontId="13" fillId="36" borderId="29" xfId="8" applyFont="1" applyFill="1" applyBorder="1" applyAlignment="1">
      <alignment horizontal="center" vertical="center"/>
    </xf>
    <xf numFmtId="0" fontId="3" fillId="0" borderId="17" xfId="8" applyBorder="1" applyAlignment="1" applyProtection="1">
      <alignment horizontal="left" vertical="center" wrapText="1"/>
      <protection locked="0"/>
    </xf>
    <xf numFmtId="0" fontId="3" fillId="0" borderId="67" xfId="8" applyBorder="1" applyAlignment="1" applyProtection="1">
      <alignment horizontal="left" vertical="center" wrapText="1"/>
      <protection locked="0"/>
    </xf>
    <xf numFmtId="0" fontId="3" fillId="0" borderId="41" xfId="8" applyBorder="1" applyAlignment="1" applyProtection="1">
      <alignment horizontal="left" vertical="center" wrapText="1"/>
      <protection locked="0"/>
    </xf>
    <xf numFmtId="0" fontId="29" fillId="0" borderId="36" xfId="8" applyFont="1" applyBorder="1" applyAlignment="1" applyProtection="1">
      <alignment horizontal="center" vertical="center" textRotation="90"/>
      <protection locked="0"/>
    </xf>
    <xf numFmtId="0" fontId="29" fillId="0" borderId="37" xfId="8" applyFont="1" applyBorder="1" applyAlignment="1" applyProtection="1">
      <alignment horizontal="center" vertical="center" textRotation="90"/>
      <protection locked="0"/>
    </xf>
    <xf numFmtId="0" fontId="8" fillId="33" borderId="39" xfId="8" applyFont="1" applyFill="1" applyBorder="1" applyAlignment="1">
      <alignment horizontal="left" vertical="center"/>
    </xf>
    <xf numFmtId="0" fontId="8" fillId="33" borderId="19" xfId="8" applyFont="1" applyFill="1" applyBorder="1" applyAlignment="1">
      <alignment horizontal="left" vertical="center"/>
    </xf>
    <xf numFmtId="0" fontId="8" fillId="33" borderId="13" xfId="8" applyFont="1" applyFill="1" applyBorder="1" applyAlignment="1">
      <alignment horizontal="left" vertical="center"/>
    </xf>
    <xf numFmtId="0" fontId="3" fillId="0" borderId="4" xfId="8" applyBorder="1" applyAlignment="1" applyProtection="1">
      <alignment horizontal="justify" vertical="center" wrapText="1"/>
      <protection locked="0"/>
    </xf>
    <xf numFmtId="0" fontId="3" fillId="0" borderId="5" xfId="8" applyBorder="1" applyAlignment="1" applyProtection="1">
      <alignment horizontal="justify" vertical="center" wrapText="1"/>
      <protection locked="0"/>
    </xf>
    <xf numFmtId="0" fontId="3" fillId="0" borderId="40" xfId="8" applyBorder="1" applyAlignment="1" applyProtection="1">
      <alignment horizontal="justify" vertical="center" wrapText="1"/>
      <protection locked="0"/>
    </xf>
    <xf numFmtId="0" fontId="3" fillId="0" borderId="38" xfId="8" applyBorder="1" applyAlignment="1" applyProtection="1">
      <alignment horizontal="justify" vertical="center" wrapText="1"/>
      <protection locked="0"/>
    </xf>
    <xf numFmtId="0" fontId="3" fillId="0" borderId="23" xfId="8" applyBorder="1" applyAlignment="1" applyProtection="1">
      <alignment horizontal="justify" vertical="center" wrapText="1"/>
      <protection locked="0"/>
    </xf>
    <xf numFmtId="0" fontId="3" fillId="0" borderId="14" xfId="8" applyBorder="1" applyAlignment="1" applyProtection="1">
      <alignment horizontal="justify" vertical="center" wrapText="1"/>
      <protection locked="0"/>
    </xf>
    <xf numFmtId="0" fontId="8" fillId="33" borderId="26" xfId="8" applyFont="1" applyFill="1" applyBorder="1" applyAlignment="1">
      <alignment horizontal="center"/>
    </xf>
    <xf numFmtId="0" fontId="8" fillId="33" borderId="27" xfId="8" applyFont="1" applyFill="1" applyBorder="1" applyAlignment="1">
      <alignment horizontal="center"/>
    </xf>
    <xf numFmtId="0" fontId="4" fillId="0" borderId="1" xfId="8" applyFont="1" applyBorder="1" applyAlignment="1" applyProtection="1">
      <alignment horizontal="center" vertical="center" wrapText="1"/>
      <protection locked="0"/>
    </xf>
    <xf numFmtId="0" fontId="4" fillId="0" borderId="29" xfId="8" applyFont="1" applyBorder="1" applyAlignment="1" applyProtection="1">
      <alignment horizontal="center" vertical="center" wrapText="1"/>
      <protection locked="0"/>
    </xf>
    <xf numFmtId="0" fontId="4" fillId="33" borderId="1" xfId="8" applyFont="1" applyFill="1" applyBorder="1" applyAlignment="1">
      <alignment horizontal="center" vertical="center"/>
    </xf>
    <xf numFmtId="0" fontId="4" fillId="33" borderId="29" xfId="8" applyFont="1" applyFill="1" applyBorder="1" applyAlignment="1">
      <alignment horizontal="center" vertical="center"/>
    </xf>
    <xf numFmtId="181" fontId="8" fillId="0" borderId="1" xfId="8" applyNumberFormat="1" applyFont="1" applyBorder="1" applyAlignment="1" applyProtection="1">
      <alignment horizontal="center" vertical="center" wrapText="1"/>
      <protection locked="0"/>
    </xf>
    <xf numFmtId="1" fontId="41" fillId="34" borderId="1" xfId="23" applyNumberFormat="1" applyFont="1" applyFill="1" applyBorder="1" applyAlignment="1" applyProtection="1">
      <alignment horizontal="center" vertical="center" wrapText="1"/>
      <protection hidden="1"/>
    </xf>
    <xf numFmtId="1" fontId="41" fillId="34" borderId="29" xfId="23" applyNumberFormat="1" applyFont="1" applyFill="1" applyBorder="1" applyAlignment="1" applyProtection="1">
      <alignment horizontal="center" vertical="center" wrapText="1"/>
      <protection hidden="1"/>
    </xf>
    <xf numFmtId="0" fontId="8" fillId="33" borderId="2" xfId="8" applyFont="1" applyFill="1" applyBorder="1" applyAlignment="1">
      <alignment horizontal="left" vertical="center"/>
    </xf>
    <xf numFmtId="0" fontId="8" fillId="33" borderId="0" xfId="8" applyFont="1" applyFill="1" applyAlignment="1">
      <alignment horizontal="left" vertical="center"/>
    </xf>
    <xf numFmtId="0" fontId="8" fillId="33" borderId="21" xfId="8" applyFont="1" applyFill="1" applyBorder="1" applyAlignment="1">
      <alignment horizontal="left" vertical="center"/>
    </xf>
    <xf numFmtId="0" fontId="39" fillId="0" borderId="18" xfId="8" applyFont="1" applyBorder="1" applyAlignment="1">
      <alignment horizontal="center" vertical="center" wrapText="1"/>
    </xf>
    <xf numFmtId="0" fontId="39" fillId="0" borderId="20" xfId="8" applyFont="1" applyBorder="1" applyAlignment="1">
      <alignment horizontal="center" vertical="center" wrapText="1"/>
    </xf>
    <xf numFmtId="0" fontId="4" fillId="0" borderId="25" xfId="8" applyFont="1" applyBorder="1" applyAlignment="1" applyProtection="1">
      <alignment horizontal="center" vertical="center" wrapText="1"/>
      <protection locked="0"/>
    </xf>
    <xf numFmtId="0" fontId="4" fillId="0" borderId="15" xfId="8" applyFont="1" applyBorder="1" applyAlignment="1" applyProtection="1">
      <alignment horizontal="center" vertical="center" wrapText="1"/>
      <protection locked="0"/>
    </xf>
    <xf numFmtId="1" fontId="8" fillId="0" borderId="58" xfId="40" applyNumberFormat="1" applyFont="1" applyBorder="1" applyAlignment="1" applyProtection="1">
      <alignment horizontal="center" vertical="center" wrapText="1"/>
      <protection locked="0"/>
    </xf>
    <xf numFmtId="0" fontId="45" fillId="0" borderId="25" xfId="0" applyFont="1" applyBorder="1" applyAlignment="1">
      <alignment horizontal="center" vertical="center" wrapText="1"/>
    </xf>
    <xf numFmtId="0" fontId="45" fillId="0" borderId="15" xfId="0" applyFont="1" applyBorder="1" applyAlignment="1">
      <alignment horizontal="center" vertical="center" wrapText="1"/>
    </xf>
    <xf numFmtId="0" fontId="8" fillId="20" borderId="48" xfId="40" applyFont="1" applyFill="1" applyBorder="1" applyAlignment="1" applyProtection="1">
      <alignment horizontal="center" vertical="center"/>
      <protection locked="0"/>
    </xf>
    <xf numFmtId="0" fontId="8" fillId="20" borderId="49" xfId="40" applyFont="1" applyFill="1" applyBorder="1" applyAlignment="1" applyProtection="1">
      <alignment horizontal="center" vertical="center"/>
      <protection locked="0"/>
    </xf>
    <xf numFmtId="0" fontId="8" fillId="20" borderId="54" xfId="40" applyFont="1" applyFill="1" applyBorder="1" applyAlignment="1" applyProtection="1">
      <alignment horizontal="center" vertical="center"/>
      <protection locked="0"/>
    </xf>
    <xf numFmtId="0" fontId="8" fillId="0" borderId="22" xfId="40" applyFont="1" applyBorder="1" applyAlignment="1" applyProtection="1">
      <alignment horizontal="center" vertical="center" wrapText="1"/>
      <protection locked="0"/>
    </xf>
    <xf numFmtId="0" fontId="8" fillId="0" borderId="23" xfId="40" applyFont="1" applyBorder="1" applyAlignment="1" applyProtection="1">
      <alignment horizontal="center" vertical="center" wrapText="1"/>
      <protection locked="0"/>
    </xf>
    <xf numFmtId="0" fontId="8" fillId="0" borderId="14" xfId="40" applyFont="1" applyBorder="1" applyAlignment="1" applyProtection="1">
      <alignment horizontal="center" vertical="center" wrapText="1"/>
      <protection locked="0"/>
    </xf>
    <xf numFmtId="0" fontId="0" fillId="0" borderId="4" xfId="0" applyBorder="1" applyAlignment="1">
      <alignment horizontal="center"/>
    </xf>
    <xf numFmtId="0" fontId="0" fillId="0" borderId="6" xfId="0" applyBorder="1" applyAlignment="1">
      <alignment horizontal="center"/>
    </xf>
    <xf numFmtId="2" fontId="25" fillId="0" borderId="4" xfId="0" applyNumberFormat="1" applyFont="1" applyBorder="1" applyAlignment="1">
      <alignment horizontal="center"/>
    </xf>
    <xf numFmtId="2" fontId="25" fillId="0" borderId="6" xfId="0" applyNumberFormat="1" applyFont="1" applyBorder="1" applyAlignment="1">
      <alignment horizontal="center"/>
    </xf>
    <xf numFmtId="2" fontId="25" fillId="0" borderId="5" xfId="0" applyNumberFormat="1" applyFont="1" applyBorder="1" applyAlignment="1">
      <alignment horizontal="center"/>
    </xf>
    <xf numFmtId="2" fontId="0" fillId="0" borderId="4" xfId="0" applyNumberFormat="1" applyBorder="1" applyAlignment="1">
      <alignment horizontal="center"/>
    </xf>
    <xf numFmtId="2" fontId="0" fillId="0" borderId="6" xfId="0" applyNumberFormat="1" applyBorder="1" applyAlignment="1">
      <alignment horizontal="center"/>
    </xf>
    <xf numFmtId="0" fontId="0" fillId="0" borderId="5"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left"/>
    </xf>
    <xf numFmtId="0" fontId="0" fillId="0" borderId="6" xfId="0" applyBorder="1" applyAlignment="1">
      <alignment horizontal="left"/>
    </xf>
    <xf numFmtId="0" fontId="25" fillId="0" borderId="4" xfId="0" applyFont="1" applyBorder="1" applyAlignment="1">
      <alignment horizontal="center"/>
    </xf>
    <xf numFmtId="0" fontId="25" fillId="0" borderId="6" xfId="0" applyFont="1" applyBorder="1" applyAlignment="1">
      <alignment horizontal="center"/>
    </xf>
    <xf numFmtId="0" fontId="25" fillId="0" borderId="5" xfId="0" applyFont="1" applyBorder="1" applyAlignment="1">
      <alignment horizontal="center"/>
    </xf>
    <xf numFmtId="0" fontId="25" fillId="0" borderId="2" xfId="0" applyFont="1" applyBorder="1" applyAlignment="1">
      <alignment horizontal="center"/>
    </xf>
    <xf numFmtId="0" fontId="25" fillId="0" borderId="3" xfId="0" applyFont="1" applyBorder="1" applyAlignment="1">
      <alignment horizontal="center"/>
    </xf>
    <xf numFmtId="0" fontId="25" fillId="0" borderId="0" xfId="0" applyFont="1" applyAlignment="1">
      <alignment horizontal="center"/>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0" xfId="0" applyAlignment="1">
      <alignment horizontal="center"/>
    </xf>
    <xf numFmtId="0" fontId="0" fillId="6" borderId="2" xfId="0" applyFill="1" applyBorder="1" applyAlignment="1">
      <alignment horizontal="center"/>
    </xf>
    <xf numFmtId="0" fontId="0" fillId="6" borderId="3" xfId="0" applyFill="1"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25" fillId="6" borderId="2" xfId="0" applyFont="1" applyFill="1" applyBorder="1" applyAlignment="1">
      <alignment horizontal="center"/>
    </xf>
    <xf numFmtId="0" fontId="25" fillId="6" borderId="3" xfId="0" applyFont="1" applyFill="1" applyBorder="1" applyAlignment="1">
      <alignment horizontal="center"/>
    </xf>
    <xf numFmtId="0" fontId="25" fillId="6" borderId="0" xfId="0" applyFont="1" applyFill="1" applyAlignment="1">
      <alignment horizontal="center"/>
    </xf>
    <xf numFmtId="2" fontId="0" fillId="6" borderId="2" xfId="0" applyNumberFormat="1" applyFill="1" applyBorder="1" applyAlignment="1">
      <alignment horizontal="center"/>
    </xf>
    <xf numFmtId="2" fontId="0" fillId="6" borderId="3" xfId="0" applyNumberFormat="1" applyFill="1" applyBorder="1" applyAlignment="1">
      <alignment horizontal="center"/>
    </xf>
    <xf numFmtId="0" fontId="0" fillId="6" borderId="0" xfId="0" applyFill="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2" xfId="0" applyFill="1" applyBorder="1" applyAlignment="1">
      <alignment horizontal="left"/>
    </xf>
    <xf numFmtId="0" fontId="0" fillId="6" borderId="3" xfId="0" applyFill="1" applyBorder="1" applyAlignment="1">
      <alignment horizontal="left"/>
    </xf>
    <xf numFmtId="2" fontId="25" fillId="6" borderId="2" xfId="0" applyNumberFormat="1" applyFont="1" applyFill="1" applyBorder="1" applyAlignment="1">
      <alignment horizontal="center"/>
    </xf>
    <xf numFmtId="2" fontId="25" fillId="6" borderId="3" xfId="0" applyNumberFormat="1" applyFont="1" applyFill="1" applyBorder="1" applyAlignment="1">
      <alignment horizontal="center"/>
    </xf>
    <xf numFmtId="0" fontId="25" fillId="6" borderId="7" xfId="0" applyFont="1" applyFill="1" applyBorder="1" applyAlignment="1">
      <alignment horizontal="center"/>
    </xf>
    <xf numFmtId="0" fontId="25" fillId="6" borderId="8" xfId="0" applyFont="1" applyFill="1" applyBorder="1" applyAlignment="1">
      <alignment horizontal="center"/>
    </xf>
    <xf numFmtId="0" fontId="25" fillId="6" borderId="9" xfId="0" applyFont="1" applyFill="1" applyBorder="1" applyAlignment="1">
      <alignment horizontal="center"/>
    </xf>
    <xf numFmtId="0" fontId="0" fillId="6" borderId="9" xfId="0" applyFill="1" applyBorder="1" applyAlignment="1">
      <alignment horizontal="center"/>
    </xf>
    <xf numFmtId="0" fontId="0" fillId="6" borderId="7" xfId="0" applyFill="1" applyBorder="1" applyAlignment="1">
      <alignment horizontal="left"/>
    </xf>
    <xf numFmtId="0" fontId="0" fillId="6" borderId="8" xfId="0" applyFill="1" applyBorder="1" applyAlignment="1">
      <alignment horizontal="left"/>
    </xf>
    <xf numFmtId="2" fontId="25" fillId="6" borderId="7" xfId="0" applyNumberFormat="1" applyFont="1" applyFill="1" applyBorder="1" applyAlignment="1">
      <alignment horizontal="center"/>
    </xf>
    <xf numFmtId="2" fontId="25" fillId="6" borderId="8" xfId="0" applyNumberFormat="1" applyFont="1" applyFill="1" applyBorder="1" applyAlignment="1">
      <alignment horizontal="center"/>
    </xf>
    <xf numFmtId="0" fontId="27" fillId="6" borderId="7" xfId="0" applyFont="1" applyFill="1" applyBorder="1" applyAlignment="1">
      <alignment horizontal="center"/>
    </xf>
    <xf numFmtId="0" fontId="27" fillId="6" borderId="9" xfId="0" applyFont="1" applyFill="1" applyBorder="1" applyAlignment="1">
      <alignment horizontal="center"/>
    </xf>
    <xf numFmtId="0" fontId="0" fillId="6" borderId="10" xfId="0" applyFill="1" applyBorder="1" applyAlignment="1">
      <alignment horizontal="center"/>
    </xf>
    <xf numFmtId="0" fontId="0" fillId="6" borderId="12" xfId="0" applyFill="1" applyBorder="1" applyAlignment="1">
      <alignment horizontal="center"/>
    </xf>
    <xf numFmtId="0" fontId="0" fillId="6" borderId="11" xfId="0" applyFill="1" applyBorder="1" applyAlignment="1">
      <alignment horizontal="center"/>
    </xf>
    <xf numFmtId="2" fontId="0" fillId="6" borderId="1" xfId="0" applyNumberFormat="1" applyFill="1" applyBorder="1" applyAlignment="1">
      <alignment horizontal="center"/>
    </xf>
    <xf numFmtId="0" fontId="0" fillId="6" borderId="1" xfId="0" applyFill="1" applyBorder="1" applyAlignment="1">
      <alignment horizontal="center"/>
    </xf>
    <xf numFmtId="0" fontId="0" fillId="6" borderId="4" xfId="0" applyFill="1" applyBorder="1" applyAlignment="1">
      <alignment horizontal="center"/>
    </xf>
    <xf numFmtId="0" fontId="0" fillId="6" borderId="6" xfId="0" applyFill="1" applyBorder="1" applyAlignment="1">
      <alignment horizontal="center"/>
    </xf>
    <xf numFmtId="0" fontId="23" fillId="6" borderId="10" xfId="0" applyFont="1" applyFill="1" applyBorder="1" applyAlignment="1">
      <alignment horizontal="center"/>
    </xf>
    <xf numFmtId="0" fontId="23" fillId="6" borderId="12" xfId="0" applyFont="1" applyFill="1" applyBorder="1" applyAlignment="1">
      <alignment horizontal="center"/>
    </xf>
    <xf numFmtId="0" fontId="25" fillId="6" borderId="4" xfId="0" applyFont="1" applyFill="1" applyBorder="1" applyAlignment="1">
      <alignment horizontal="center"/>
    </xf>
    <xf numFmtId="0" fontId="25" fillId="6" borderId="6" xfId="0" applyFont="1" applyFill="1" applyBorder="1" applyAlignment="1">
      <alignment horizontal="center"/>
    </xf>
    <xf numFmtId="0" fontId="25" fillId="6" borderId="5" xfId="0" applyFont="1" applyFill="1" applyBorder="1" applyAlignment="1">
      <alignment horizontal="center"/>
    </xf>
    <xf numFmtId="0" fontId="25" fillId="6" borderId="4" xfId="0" applyFont="1" applyFill="1" applyBorder="1" applyAlignment="1">
      <alignment horizontal="left"/>
    </xf>
    <xf numFmtId="0" fontId="25" fillId="6" borderId="6" xfId="0" applyFont="1" applyFill="1" applyBorder="1" applyAlignment="1">
      <alignment horizontal="left"/>
    </xf>
    <xf numFmtId="2" fontId="25" fillId="6" borderId="4" xfId="0" applyNumberFormat="1" applyFont="1" applyFill="1" applyBorder="1" applyAlignment="1">
      <alignment horizontal="center"/>
    </xf>
    <xf numFmtId="2" fontId="25" fillId="6" borderId="6" xfId="0" applyNumberFormat="1" applyFont="1" applyFill="1" applyBorder="1" applyAlignment="1">
      <alignment horizontal="center"/>
    </xf>
    <xf numFmtId="0" fontId="25" fillId="6" borderId="2" xfId="0" applyFont="1" applyFill="1" applyBorder="1" applyAlignment="1">
      <alignment horizontal="left"/>
    </xf>
    <xf numFmtId="0" fontId="25" fillId="6" borderId="3" xfId="0" applyFont="1" applyFill="1" applyBorder="1" applyAlignment="1">
      <alignment horizontal="left"/>
    </xf>
    <xf numFmtId="2" fontId="25" fillId="6" borderId="0" xfId="0" applyNumberFormat="1" applyFont="1" applyFill="1" applyAlignment="1">
      <alignment horizontal="center"/>
    </xf>
    <xf numFmtId="0" fontId="25" fillId="6" borderId="2" xfId="0" applyFont="1" applyFill="1" applyBorder="1" applyAlignment="1">
      <alignment horizontal="center" wrapText="1"/>
    </xf>
    <xf numFmtId="0" fontId="25" fillId="6" borderId="3" xfId="0" applyFont="1" applyFill="1" applyBorder="1" applyAlignment="1">
      <alignment horizontal="center" wrapText="1"/>
    </xf>
    <xf numFmtId="2" fontId="25" fillId="6" borderId="9" xfId="0" applyNumberFormat="1" applyFont="1" applyFill="1" applyBorder="1" applyAlignment="1">
      <alignment horizontal="center"/>
    </xf>
    <xf numFmtId="0" fontId="20" fillId="6" borderId="10" xfId="0" applyFont="1" applyFill="1" applyBorder="1" applyAlignment="1">
      <alignment horizontal="center"/>
    </xf>
    <xf numFmtId="0" fontId="20" fillId="6" borderId="12" xfId="0" applyFont="1" applyFill="1" applyBorder="1" applyAlignment="1">
      <alignment horizontal="center"/>
    </xf>
    <xf numFmtId="0" fontId="25" fillId="6" borderId="7" xfId="0" applyFont="1" applyFill="1" applyBorder="1" applyAlignment="1">
      <alignment horizontal="left"/>
    </xf>
    <xf numFmtId="0" fontId="25" fillId="6" borderId="8" xfId="0" applyFont="1" applyFill="1" applyBorder="1" applyAlignment="1">
      <alignment horizontal="left"/>
    </xf>
    <xf numFmtId="2" fontId="20" fillId="6" borderId="10" xfId="0" applyNumberFormat="1" applyFont="1" applyFill="1" applyBorder="1" applyAlignment="1">
      <alignment horizontal="center"/>
    </xf>
    <xf numFmtId="2" fontId="20" fillId="6" borderId="12" xfId="0" applyNumberFormat="1" applyFont="1" applyFill="1" applyBorder="1" applyAlignment="1">
      <alignment horizontal="center"/>
    </xf>
    <xf numFmtId="2" fontId="23" fillId="6" borderId="10" xfId="0" applyNumberFormat="1" applyFont="1" applyFill="1" applyBorder="1" applyAlignment="1">
      <alignment horizontal="center"/>
    </xf>
    <xf numFmtId="2" fontId="23" fillId="6" borderId="12" xfId="0" applyNumberFormat="1" applyFont="1" applyFill="1" applyBorder="1" applyAlignment="1">
      <alignment horizontal="center"/>
    </xf>
    <xf numFmtId="2" fontId="23" fillId="6" borderId="11" xfId="0" applyNumberFormat="1" applyFont="1" applyFill="1" applyBorder="1" applyAlignment="1">
      <alignment horizontal="center"/>
    </xf>
    <xf numFmtId="2" fontId="20" fillId="6" borderId="1" xfId="0" applyNumberFormat="1" applyFont="1" applyFill="1" applyBorder="1" applyAlignment="1">
      <alignment horizontal="center"/>
    </xf>
    <xf numFmtId="0" fontId="20" fillId="6" borderId="1" xfId="0" applyFont="1" applyFill="1" applyBorder="1" applyAlignment="1">
      <alignment horizontal="center"/>
    </xf>
    <xf numFmtId="0" fontId="23" fillId="6" borderId="10" xfId="0" applyFont="1" applyFill="1" applyBorder="1" applyAlignment="1">
      <alignment horizontal="left"/>
    </xf>
    <xf numFmtId="0" fontId="23" fillId="6" borderId="12" xfId="0" applyFont="1" applyFill="1" applyBorder="1" applyAlignment="1">
      <alignment horizontal="left"/>
    </xf>
    <xf numFmtId="0" fontId="0" fillId="6" borderId="5" xfId="0" applyFill="1" applyBorder="1" applyAlignment="1">
      <alignment horizontal="center"/>
    </xf>
    <xf numFmtId="0" fontId="25" fillId="6" borderId="4" xfId="0" applyFont="1" applyFill="1" applyBorder="1" applyAlignment="1">
      <alignment horizontal="center" wrapText="1"/>
    </xf>
    <xf numFmtId="0" fontId="25" fillId="6" borderId="6" xfId="0" applyFont="1" applyFill="1" applyBorder="1" applyAlignment="1">
      <alignment horizontal="center" wrapText="1"/>
    </xf>
    <xf numFmtId="0" fontId="25" fillId="6" borderId="3" xfId="0" applyFont="1" applyFill="1" applyBorder="1"/>
    <xf numFmtId="0" fontId="20" fillId="6" borderId="7" xfId="0" applyFont="1" applyFill="1" applyBorder="1" applyAlignment="1">
      <alignment horizontal="center"/>
    </xf>
    <xf numFmtId="0" fontId="20" fillId="6" borderId="8" xfId="0" applyFont="1" applyFill="1" applyBorder="1" applyAlignment="1">
      <alignment horizontal="center"/>
    </xf>
    <xf numFmtId="0" fontId="23" fillId="6" borderId="11" xfId="0" applyFont="1" applyFill="1" applyBorder="1" applyAlignment="1">
      <alignment horizontal="center"/>
    </xf>
    <xf numFmtId="2" fontId="20" fillId="6" borderId="17" xfId="0" applyNumberFormat="1" applyFont="1" applyFill="1" applyBorder="1" applyAlignment="1">
      <alignment horizontal="center"/>
    </xf>
    <xf numFmtId="0" fontId="23" fillId="6" borderId="1" xfId="0" applyFont="1" applyFill="1" applyBorder="1" applyAlignment="1">
      <alignment horizontal="center" wrapText="1"/>
    </xf>
    <xf numFmtId="0" fontId="24" fillId="6" borderId="4" xfId="0" applyFont="1" applyFill="1" applyBorder="1" applyAlignment="1">
      <alignment horizontal="center"/>
    </xf>
    <xf numFmtId="0" fontId="24" fillId="6" borderId="5" xfId="0" applyFont="1" applyFill="1" applyBorder="1" applyAlignment="1">
      <alignment horizontal="center"/>
    </xf>
    <xf numFmtId="2" fontId="20" fillId="6" borderId="7" xfId="0" applyNumberFormat="1" applyFont="1" applyFill="1" applyBorder="1" applyAlignment="1">
      <alignment horizontal="center"/>
    </xf>
    <xf numFmtId="2" fontId="20" fillId="6" borderId="8" xfId="0" applyNumberFormat="1" applyFont="1" applyFill="1" applyBorder="1" applyAlignment="1">
      <alignment horizontal="center"/>
    </xf>
    <xf numFmtId="2" fontId="0" fillId="6" borderId="7" xfId="0" applyNumberFormat="1" applyFill="1" applyBorder="1" applyAlignment="1">
      <alignment horizontal="center"/>
    </xf>
    <xf numFmtId="2" fontId="0" fillId="6" borderId="8" xfId="0" applyNumberFormat="1" applyFill="1" applyBorder="1" applyAlignment="1">
      <alignment horizontal="center"/>
    </xf>
    <xf numFmtId="2" fontId="0" fillId="6" borderId="4" xfId="0" applyNumberFormat="1" applyFill="1" applyBorder="1" applyAlignment="1">
      <alignment horizontal="center"/>
    </xf>
    <xf numFmtId="2" fontId="0" fillId="6" borderId="6" xfId="0" applyNumberFormat="1" applyFill="1" applyBorder="1" applyAlignment="1">
      <alignment horizontal="center"/>
    </xf>
    <xf numFmtId="0" fontId="3" fillId="0" borderId="30" xfId="8" applyBorder="1" applyAlignment="1" applyProtection="1">
      <alignment horizontal="left" vertical="center" wrapText="1"/>
      <protection locked="0"/>
    </xf>
    <xf numFmtId="0" fontId="3" fillId="0" borderId="31" xfId="8" applyBorder="1" applyAlignment="1" applyProtection="1">
      <alignment horizontal="left" vertical="center" wrapText="1"/>
      <protection locked="0"/>
    </xf>
    <xf numFmtId="1" fontId="41" fillId="34" borderId="1" xfId="26" applyNumberFormat="1" applyFont="1" applyFill="1" applyBorder="1" applyAlignment="1" applyProtection="1">
      <alignment horizontal="center" vertical="center" wrapText="1"/>
      <protection hidden="1"/>
    </xf>
    <xf numFmtId="1" fontId="41" fillId="34" borderId="29" xfId="26" applyNumberFormat="1" applyFont="1" applyFill="1" applyBorder="1" applyAlignment="1" applyProtection="1">
      <alignment horizontal="center" vertical="center" wrapText="1"/>
      <protection hidden="1"/>
    </xf>
    <xf numFmtId="14" fontId="3" fillId="0" borderId="0" xfId="8" applyNumberFormat="1" applyAlignment="1" applyProtection="1">
      <alignment horizontal="center"/>
      <protection locked="0"/>
    </xf>
    <xf numFmtId="0" fontId="8" fillId="15" borderId="24" xfId="8" applyFont="1" applyFill="1" applyBorder="1" applyAlignment="1" applyProtection="1">
      <alignment horizontal="left" vertical="center" wrapText="1"/>
      <protection locked="0"/>
    </xf>
    <xf numFmtId="0" fontId="8" fillId="15" borderId="25" xfId="8" applyFont="1" applyFill="1" applyBorder="1" applyAlignment="1" applyProtection="1">
      <alignment horizontal="left" vertical="center" wrapText="1"/>
      <protection locked="0"/>
    </xf>
    <xf numFmtId="172" fontId="8" fillId="15" borderId="24" xfId="8" applyNumberFormat="1" applyFont="1" applyFill="1" applyBorder="1" applyAlignment="1" applyProtection="1">
      <alignment horizontal="center" vertical="center" wrapText="1"/>
      <protection locked="0"/>
    </xf>
    <xf numFmtId="172" fontId="8" fillId="15" borderId="15" xfId="8" applyNumberFormat="1" applyFont="1" applyFill="1" applyBorder="1" applyAlignment="1" applyProtection="1">
      <alignment horizontal="center" vertical="center" wrapText="1"/>
      <protection locked="0"/>
    </xf>
    <xf numFmtId="0" fontId="8" fillId="14" borderId="22" xfId="8" applyFont="1" applyFill="1" applyBorder="1" applyAlignment="1" applyProtection="1">
      <alignment horizontal="center" vertical="center" wrapText="1"/>
      <protection locked="0"/>
    </xf>
    <xf numFmtId="0" fontId="8" fillId="14" borderId="23" xfId="8" applyFont="1" applyFill="1" applyBorder="1" applyAlignment="1" applyProtection="1">
      <alignment horizontal="center" vertical="center" wrapText="1"/>
      <protection locked="0"/>
    </xf>
    <xf numFmtId="0" fontId="8" fillId="14" borderId="46" xfId="8" applyFont="1" applyFill="1" applyBorder="1" applyAlignment="1" applyProtection="1">
      <alignment horizontal="center" vertical="center" wrapText="1"/>
      <protection locked="0"/>
    </xf>
    <xf numFmtId="0" fontId="8" fillId="14" borderId="24" xfId="8" applyFont="1" applyFill="1" applyBorder="1" applyAlignment="1" applyProtection="1">
      <alignment horizontal="center" vertical="center" wrapText="1"/>
      <protection locked="0"/>
    </xf>
    <xf numFmtId="0" fontId="8" fillId="14" borderId="25" xfId="8" applyFont="1" applyFill="1" applyBorder="1" applyAlignment="1" applyProtection="1">
      <alignment horizontal="center" vertical="center" wrapText="1"/>
      <protection locked="0"/>
    </xf>
    <xf numFmtId="0" fontId="8" fillId="14" borderId="59" xfId="8" applyFont="1" applyFill="1" applyBorder="1" applyAlignment="1" applyProtection="1">
      <alignment horizontal="center" vertical="center" wrapText="1"/>
      <protection locked="0"/>
    </xf>
    <xf numFmtId="1" fontId="41" fillId="34" borderId="1" xfId="28" applyNumberFormat="1" applyFont="1" applyFill="1" applyBorder="1" applyAlignment="1" applyProtection="1">
      <alignment horizontal="center" vertical="center" wrapText="1"/>
      <protection hidden="1"/>
    </xf>
    <xf numFmtId="1" fontId="41" fillId="34" borderId="29" xfId="28" applyNumberFormat="1" applyFont="1" applyFill="1" applyBorder="1" applyAlignment="1" applyProtection="1">
      <alignment horizontal="center" vertical="center" wrapText="1"/>
      <protection hidden="1"/>
    </xf>
    <xf numFmtId="0" fontId="5" fillId="16" borderId="24" xfId="40" applyFont="1" applyFill="1" applyBorder="1" applyAlignment="1" applyProtection="1">
      <alignment horizontal="left" vertical="center" wrapText="1"/>
      <protection locked="0"/>
    </xf>
    <xf numFmtId="0" fontId="5" fillId="16" borderId="25" xfId="40" applyFont="1" applyFill="1" applyBorder="1" applyAlignment="1" applyProtection="1">
      <alignment horizontal="left" vertical="center" wrapText="1"/>
      <protection locked="0"/>
    </xf>
    <xf numFmtId="0" fontId="5" fillId="16" borderId="59" xfId="40" applyFont="1" applyFill="1" applyBorder="1" applyAlignment="1" applyProtection="1">
      <alignment horizontal="left" vertical="center" wrapText="1"/>
      <protection locked="0"/>
    </xf>
    <xf numFmtId="0" fontId="13" fillId="0" borderId="18" xfId="40" applyFont="1" applyBorder="1" applyAlignment="1" applyProtection="1">
      <alignment horizontal="center" vertical="center" wrapText="1"/>
      <protection locked="0"/>
    </xf>
    <xf numFmtId="0" fontId="13" fillId="0" borderId="19" xfId="40" applyFont="1" applyBorder="1" applyAlignment="1" applyProtection="1">
      <alignment horizontal="center" vertical="center" wrapText="1"/>
      <protection locked="0"/>
    </xf>
    <xf numFmtId="0" fontId="13" fillId="0" borderId="13" xfId="40" applyFont="1" applyBorder="1" applyAlignment="1" applyProtection="1">
      <alignment horizontal="center" vertical="center" wrapText="1"/>
      <protection locked="0"/>
    </xf>
    <xf numFmtId="0" fontId="13" fillId="0" borderId="20" xfId="40" applyFont="1" applyBorder="1" applyAlignment="1" applyProtection="1">
      <alignment horizontal="center" vertical="center" wrapText="1"/>
      <protection locked="0"/>
    </xf>
    <xf numFmtId="0" fontId="13" fillId="0" borderId="0" xfId="40" applyFont="1" applyAlignment="1" applyProtection="1">
      <alignment horizontal="center" vertical="center" wrapText="1"/>
      <protection locked="0"/>
    </xf>
    <xf numFmtId="0" fontId="13" fillId="0" borderId="21" xfId="40" applyFont="1" applyBorder="1" applyAlignment="1" applyProtection="1">
      <alignment horizontal="center" vertical="center" wrapText="1"/>
      <protection locked="0"/>
    </xf>
    <xf numFmtId="0" fontId="13" fillId="0" borderId="22" xfId="40" applyFont="1" applyBorder="1" applyAlignment="1" applyProtection="1">
      <alignment horizontal="center" vertical="center" wrapText="1"/>
      <protection locked="0"/>
    </xf>
    <xf numFmtId="0" fontId="13" fillId="0" borderId="23" xfId="40" applyFont="1" applyBorder="1" applyAlignment="1" applyProtection="1">
      <alignment horizontal="center" vertical="center" wrapText="1"/>
      <protection locked="0"/>
    </xf>
    <xf numFmtId="0" fontId="13" fillId="0" borderId="14" xfId="40" applyFont="1" applyBorder="1" applyAlignment="1" applyProtection="1">
      <alignment horizontal="center" vertical="center" wrapText="1"/>
      <protection locked="0"/>
    </xf>
    <xf numFmtId="0" fontId="4" fillId="0" borderId="24" xfId="40" applyFont="1" applyBorder="1" applyAlignment="1" applyProtection="1">
      <alignment horizontal="center" vertical="center"/>
      <protection locked="0"/>
    </xf>
    <xf numFmtId="0" fontId="4" fillId="0" borderId="15" xfId="40" applyFont="1" applyBorder="1" applyAlignment="1" applyProtection="1">
      <alignment horizontal="center" vertical="center"/>
      <protection locked="0"/>
    </xf>
    <xf numFmtId="1" fontId="4" fillId="0" borderId="24" xfId="40" applyNumberFormat="1" applyFont="1" applyBorder="1" applyAlignment="1" applyProtection="1">
      <alignment horizontal="center" vertical="center" wrapText="1"/>
      <protection locked="0"/>
    </xf>
    <xf numFmtId="0" fontId="4" fillId="0" borderId="25" xfId="40" applyFont="1" applyBorder="1" applyAlignment="1" applyProtection="1">
      <alignment horizontal="center" vertical="center" wrapText="1"/>
      <protection locked="0"/>
    </xf>
    <xf numFmtId="0" fontId="4" fillId="0" borderId="15" xfId="40" applyFont="1" applyBorder="1" applyAlignment="1" applyProtection="1">
      <alignment horizontal="center" vertical="center" wrapText="1"/>
      <protection locked="0"/>
    </xf>
    <xf numFmtId="0" fontId="8" fillId="20" borderId="24" xfId="40" applyFont="1" applyFill="1" applyBorder="1" applyAlignment="1" applyProtection="1">
      <alignment horizontal="center" vertical="center" wrapText="1"/>
      <protection locked="0"/>
    </xf>
    <xf numFmtId="0" fontId="8" fillId="20" borderId="25" xfId="40" applyFont="1" applyFill="1" applyBorder="1" applyAlignment="1" applyProtection="1">
      <alignment horizontal="center" vertical="center" wrapText="1"/>
      <protection locked="0"/>
    </xf>
    <xf numFmtId="0" fontId="8" fillId="20" borderId="15" xfId="40" applyFont="1" applyFill="1" applyBorder="1" applyAlignment="1" applyProtection="1">
      <alignment horizontal="center" vertical="center" wrapText="1"/>
      <protection locked="0"/>
    </xf>
    <xf numFmtId="1" fontId="41" fillId="34" borderId="1" xfId="30" applyNumberFormat="1" applyFont="1" applyFill="1" applyBorder="1" applyAlignment="1" applyProtection="1">
      <alignment horizontal="center" vertical="center" wrapText="1"/>
      <protection hidden="1"/>
    </xf>
    <xf numFmtId="1" fontId="41" fillId="34" borderId="29" xfId="30" applyNumberFormat="1" applyFont="1" applyFill="1" applyBorder="1" applyAlignment="1" applyProtection="1">
      <alignment horizontal="center" vertical="center" wrapText="1"/>
      <protection hidden="1"/>
    </xf>
    <xf numFmtId="1" fontId="4" fillId="0" borderId="24" xfId="8" applyNumberFormat="1" applyFont="1" applyBorder="1" applyAlignment="1" applyProtection="1">
      <alignment horizontal="center" vertical="center" wrapText="1"/>
      <protection locked="0"/>
    </xf>
    <xf numFmtId="0" fontId="24" fillId="10" borderId="10" xfId="8" applyFont="1" applyFill="1" applyBorder="1" applyAlignment="1">
      <alignment horizontal="center" vertical="center" wrapText="1"/>
    </xf>
    <xf numFmtId="0" fontId="24" fillId="10" borderId="11" xfId="8" applyFont="1" applyFill="1" applyBorder="1" applyAlignment="1">
      <alignment horizontal="center" vertical="center" wrapText="1"/>
    </xf>
    <xf numFmtId="0" fontId="24" fillId="10" borderId="12" xfId="8" applyFont="1" applyFill="1" applyBorder="1" applyAlignment="1">
      <alignment horizontal="center" vertical="center" wrapText="1"/>
    </xf>
    <xf numFmtId="0" fontId="7" fillId="0" borderId="9" xfId="8" applyFont="1" applyBorder="1" applyAlignment="1">
      <alignment horizontal="left" wrapText="1"/>
    </xf>
    <xf numFmtId="14" fontId="3" fillId="0" borderId="0" xfId="8" applyNumberFormat="1" applyAlignment="1" applyProtection="1">
      <alignment horizontal="right"/>
      <protection locked="0"/>
    </xf>
    <xf numFmtId="1" fontId="4" fillId="0" borderId="24" xfId="8" applyNumberFormat="1" applyFont="1" applyBorder="1" applyAlignment="1" applyProtection="1">
      <alignment horizontal="center" vertical="center"/>
      <protection locked="0"/>
    </xf>
    <xf numFmtId="1" fontId="4" fillId="0" borderId="25" xfId="8" applyNumberFormat="1" applyFont="1" applyBorder="1" applyAlignment="1" applyProtection="1">
      <alignment horizontal="center" vertical="center"/>
      <protection locked="0"/>
    </xf>
    <xf numFmtId="0" fontId="3" fillId="0" borderId="25" xfId="8" applyBorder="1" applyAlignment="1" applyProtection="1">
      <alignment horizontal="center" vertical="center" wrapText="1"/>
      <protection locked="0"/>
    </xf>
    <xf numFmtId="0" fontId="3" fillId="0" borderId="15" xfId="8" applyBorder="1" applyAlignment="1" applyProtection="1">
      <alignment horizontal="center" vertical="center" wrapText="1"/>
      <protection locked="0"/>
    </xf>
    <xf numFmtId="0" fontId="8" fillId="0" borderId="24" xfId="8" applyFont="1" applyBorder="1" applyAlignment="1" applyProtection="1">
      <alignment horizontal="left" vertical="center" wrapText="1"/>
      <protection locked="0"/>
    </xf>
    <xf numFmtId="0" fontId="8" fillId="0" borderId="25" xfId="8" applyFont="1" applyBorder="1" applyAlignment="1" applyProtection="1">
      <alignment horizontal="left" vertical="center" wrapText="1"/>
      <protection locked="0"/>
    </xf>
    <xf numFmtId="0" fontId="8" fillId="0" borderId="59" xfId="8" applyFont="1" applyBorder="1" applyAlignment="1" applyProtection="1">
      <alignment horizontal="left" vertical="center" wrapText="1"/>
      <protection locked="0"/>
    </xf>
    <xf numFmtId="1" fontId="41" fillId="34" borderId="1" xfId="33" applyNumberFormat="1" applyFont="1" applyFill="1" applyBorder="1" applyAlignment="1" applyProtection="1">
      <alignment horizontal="center" vertical="center" wrapText="1"/>
      <protection hidden="1"/>
    </xf>
    <xf numFmtId="1" fontId="41" fillId="34" borderId="29" xfId="33" applyNumberFormat="1" applyFont="1" applyFill="1" applyBorder="1" applyAlignment="1" applyProtection="1">
      <alignment horizontal="center" vertical="center" wrapText="1"/>
      <protection hidden="1"/>
    </xf>
    <xf numFmtId="0" fontId="1" fillId="0" borderId="0" xfId="58" applyAlignment="1">
      <alignment horizontal="center"/>
    </xf>
    <xf numFmtId="0" fontId="42" fillId="37" borderId="30" xfId="40" applyFont="1" applyFill="1" applyBorder="1" applyAlignment="1">
      <alignment horizontal="center"/>
    </xf>
    <xf numFmtId="0" fontId="0" fillId="0" borderId="1" xfId="58" applyFont="1" applyBorder="1" applyAlignment="1">
      <alignment horizontal="center" vertical="center" wrapText="1"/>
    </xf>
    <xf numFmtId="0" fontId="0" fillId="0" borderId="1" xfId="58" applyFont="1" applyBorder="1" applyAlignment="1">
      <alignment horizontal="center" vertical="center"/>
    </xf>
    <xf numFmtId="0" fontId="0" fillId="0" borderId="16" xfId="58" applyFont="1" applyBorder="1" applyAlignment="1">
      <alignment horizontal="center" vertical="center" wrapText="1"/>
    </xf>
    <xf numFmtId="0" fontId="0" fillId="0" borderId="17" xfId="58" applyFont="1" applyBorder="1" applyAlignment="1">
      <alignment horizontal="center" vertical="center" wrapText="1"/>
    </xf>
    <xf numFmtId="1" fontId="4" fillId="0" borderId="25" xfId="40" applyNumberFormat="1" applyFont="1" applyBorder="1" applyAlignment="1" applyProtection="1">
      <alignment horizontal="center" vertical="center" wrapText="1"/>
      <protection locked="0"/>
    </xf>
    <xf numFmtId="1" fontId="4" fillId="0" borderId="15" xfId="40" applyNumberFormat="1" applyFont="1" applyBorder="1" applyAlignment="1" applyProtection="1">
      <alignment horizontal="center" vertical="center" wrapText="1"/>
      <protection locked="0"/>
    </xf>
    <xf numFmtId="0" fontId="29" fillId="5" borderId="1" xfId="40" applyFont="1" applyFill="1" applyBorder="1" applyAlignment="1">
      <alignment horizontal="center"/>
    </xf>
    <xf numFmtId="0" fontId="4" fillId="0" borderId="25" xfId="40" applyFont="1" applyBorder="1" applyAlignment="1" applyProtection="1">
      <alignment horizontal="center" vertical="center"/>
      <protection locked="0"/>
    </xf>
    <xf numFmtId="0" fontId="44" fillId="40" borderId="35" xfId="58" applyFont="1" applyFill="1" applyBorder="1" applyAlignment="1">
      <alignment horizontal="center" vertical="center" textRotation="90"/>
    </xf>
    <xf numFmtId="0" fontId="44" fillId="40" borderId="36" xfId="58" applyFont="1" applyFill="1" applyBorder="1" applyAlignment="1">
      <alignment horizontal="center" vertical="center" textRotation="90"/>
    </xf>
    <xf numFmtId="0" fontId="44" fillId="40" borderId="37" xfId="58" applyFont="1" applyFill="1" applyBorder="1" applyAlignment="1">
      <alignment horizontal="center" vertical="center" textRotation="90"/>
    </xf>
    <xf numFmtId="0" fontId="44" fillId="37" borderId="35" xfId="58" applyFont="1" applyFill="1" applyBorder="1" applyAlignment="1">
      <alignment horizontal="center" vertical="center" textRotation="90" wrapText="1"/>
    </xf>
    <xf numFmtId="0" fontId="44" fillId="37" borderId="36" xfId="58" applyFont="1" applyFill="1" applyBorder="1" applyAlignment="1">
      <alignment horizontal="center" vertical="center" textRotation="90" wrapText="1"/>
    </xf>
    <xf numFmtId="0" fontId="44" fillId="37" borderId="37" xfId="58" applyFont="1" applyFill="1" applyBorder="1" applyAlignment="1">
      <alignment horizontal="center" vertical="center" textRotation="90" wrapText="1"/>
    </xf>
    <xf numFmtId="0" fontId="44" fillId="39" borderId="35" xfId="58" applyFont="1" applyFill="1" applyBorder="1" applyAlignment="1">
      <alignment horizontal="center" vertical="center" textRotation="90" wrapText="1"/>
    </xf>
    <xf numFmtId="0" fontId="44" fillId="39" borderId="36" xfId="58" applyFont="1" applyFill="1" applyBorder="1" applyAlignment="1">
      <alignment horizontal="center" vertical="center" textRotation="90" wrapText="1"/>
    </xf>
    <xf numFmtId="0" fontId="44" fillId="39" borderId="37" xfId="58" applyFont="1" applyFill="1" applyBorder="1" applyAlignment="1">
      <alignment horizontal="center" vertical="center" textRotation="90" wrapText="1"/>
    </xf>
    <xf numFmtId="0" fontId="44" fillId="17" borderId="35" xfId="58" applyFont="1" applyFill="1" applyBorder="1" applyAlignment="1">
      <alignment horizontal="center" vertical="center" textRotation="90"/>
    </xf>
    <xf numFmtId="0" fontId="44" fillId="17" borderId="36" xfId="58" applyFont="1" applyFill="1" applyBorder="1" applyAlignment="1">
      <alignment horizontal="center" vertical="center" textRotation="90"/>
    </xf>
    <xf numFmtId="0" fontId="44" fillId="17" borderId="37" xfId="58" applyFont="1" applyFill="1" applyBorder="1" applyAlignment="1">
      <alignment horizontal="center" vertical="center" textRotation="90"/>
    </xf>
    <xf numFmtId="0" fontId="42" fillId="39" borderId="30" xfId="40" applyFont="1" applyFill="1" applyBorder="1" applyAlignment="1">
      <alignment horizontal="center"/>
    </xf>
    <xf numFmtId="0" fontId="1" fillId="0" borderId="1" xfId="58" applyBorder="1" applyAlignment="1">
      <alignment horizontal="center"/>
    </xf>
    <xf numFmtId="0" fontId="11" fillId="17" borderId="26" xfId="40" applyFont="1" applyFill="1" applyBorder="1" applyAlignment="1">
      <alignment horizontal="center" vertical="center"/>
    </xf>
    <xf numFmtId="0" fontId="11" fillId="17" borderId="27" xfId="40" applyFont="1" applyFill="1" applyBorder="1" applyAlignment="1">
      <alignment horizontal="center" vertical="center"/>
    </xf>
    <xf numFmtId="0" fontId="3" fillId="0" borderId="1" xfId="40" applyBorder="1" applyAlignment="1">
      <alignment horizontal="center" wrapText="1"/>
    </xf>
    <xf numFmtId="0" fontId="0" fillId="0" borderId="1" xfId="58" applyFont="1" applyBorder="1" applyAlignment="1">
      <alignment horizontal="center" wrapText="1"/>
    </xf>
    <xf numFmtId="0" fontId="11" fillId="17" borderId="30" xfId="40" applyFont="1" applyFill="1" applyBorder="1" applyAlignment="1">
      <alignment horizontal="center" vertical="center"/>
    </xf>
    <xf numFmtId="0" fontId="1" fillId="0" borderId="1" xfId="58" applyBorder="1" applyAlignment="1">
      <alignment horizontal="center" vertical="center" wrapText="1"/>
    </xf>
    <xf numFmtId="0" fontId="0" fillId="0" borderId="16" xfId="58" applyFont="1" applyBorder="1" applyAlignment="1">
      <alignment horizontal="center" vertical="center"/>
    </xf>
    <xf numFmtId="0" fontId="0" fillId="0" borderId="17" xfId="58" applyFont="1" applyBorder="1" applyAlignment="1">
      <alignment horizontal="center" vertical="center"/>
    </xf>
    <xf numFmtId="0" fontId="43" fillId="40" borderId="30" xfId="40" applyFont="1" applyFill="1" applyBorder="1" applyAlignment="1">
      <alignment horizontal="center" wrapText="1"/>
    </xf>
    <xf numFmtId="0" fontId="8" fillId="14" borderId="1" xfId="40" applyFont="1" applyFill="1" applyBorder="1" applyAlignment="1">
      <alignment horizontal="center" vertical="top"/>
    </xf>
    <xf numFmtId="0" fontId="8" fillId="10" borderId="24" xfId="40" applyFont="1" applyFill="1" applyBorder="1" applyAlignment="1">
      <alignment horizontal="center" vertical="center" wrapText="1"/>
    </xf>
    <xf numFmtId="0" fontId="8" fillId="10" borderId="25" xfId="40" applyFont="1" applyFill="1" applyBorder="1" applyAlignment="1">
      <alignment horizontal="center" vertical="center" wrapText="1"/>
    </xf>
    <xf numFmtId="0" fontId="8" fillId="10" borderId="15" xfId="40" applyFont="1" applyFill="1" applyBorder="1" applyAlignment="1">
      <alignment horizontal="center" vertical="center" wrapText="1"/>
    </xf>
    <xf numFmtId="0" fontId="8" fillId="10" borderId="10" xfId="40" applyFont="1" applyFill="1" applyBorder="1" applyAlignment="1">
      <alignment horizontal="center" vertical="center" wrapText="1"/>
    </xf>
    <xf numFmtId="0" fontId="8" fillId="10" borderId="12" xfId="40" applyFont="1" applyFill="1" applyBorder="1" applyAlignment="1">
      <alignment horizontal="center" vertical="center" wrapText="1"/>
    </xf>
    <xf numFmtId="0" fontId="8" fillId="14" borderId="24" xfId="40" applyFont="1" applyFill="1" applyBorder="1" applyAlignment="1">
      <alignment horizontal="center" vertical="top"/>
    </xf>
    <xf numFmtId="0" fontId="8" fillId="14" borderId="25" xfId="40" applyFont="1" applyFill="1" applyBorder="1" applyAlignment="1">
      <alignment horizontal="center" vertical="top"/>
    </xf>
    <xf numFmtId="0" fontId="8" fillId="14" borderId="59" xfId="40" applyFont="1" applyFill="1" applyBorder="1" applyAlignment="1">
      <alignment horizontal="center" vertical="top"/>
    </xf>
    <xf numFmtId="0" fontId="54" fillId="0" borderId="0" xfId="40" applyFont="1" applyAlignment="1">
      <alignment horizontal="center" vertical="center"/>
    </xf>
    <xf numFmtId="0" fontId="54" fillId="0" borderId="23" xfId="40" applyFont="1" applyBorder="1" applyAlignment="1">
      <alignment horizontal="center" vertical="center"/>
    </xf>
    <xf numFmtId="0" fontId="42" fillId="8" borderId="24" xfId="40" applyFont="1" applyFill="1" applyBorder="1" applyAlignment="1">
      <alignment horizontal="center" vertical="top"/>
    </xf>
    <xf numFmtId="0" fontId="42" fillId="8" borderId="25" xfId="40" applyFont="1" applyFill="1" applyBorder="1" applyAlignment="1">
      <alignment horizontal="center" vertical="top"/>
    </xf>
    <xf numFmtId="0" fontId="8" fillId="14" borderId="16" xfId="40" applyFont="1" applyFill="1" applyBorder="1" applyAlignment="1">
      <alignment horizontal="center" vertical="top"/>
    </xf>
    <xf numFmtId="0" fontId="8" fillId="10" borderId="18" xfId="40" applyFont="1" applyFill="1" applyBorder="1" applyAlignment="1">
      <alignment horizontal="center" vertical="center" wrapText="1"/>
    </xf>
    <xf numFmtId="0" fontId="8" fillId="10" borderId="19" xfId="40" applyFont="1" applyFill="1" applyBorder="1" applyAlignment="1">
      <alignment horizontal="center" vertical="center" wrapText="1"/>
    </xf>
    <xf numFmtId="0" fontId="0" fillId="0" borderId="20" xfId="0" applyBorder="1" applyAlignment="1">
      <alignment horizontal="center"/>
    </xf>
    <xf numFmtId="0" fontId="0" fillId="0" borderId="23" xfId="0" applyBorder="1" applyAlignment="1">
      <alignment horizontal="center"/>
    </xf>
    <xf numFmtId="49" fontId="4" fillId="0" borderId="2" xfId="8" applyNumberFormat="1" applyFont="1" applyBorder="1" applyAlignment="1">
      <alignment horizontal="center" vertical="center" wrapText="1"/>
    </xf>
    <xf numFmtId="49" fontId="4" fillId="0" borderId="0" xfId="8" applyNumberFormat="1" applyFont="1" applyAlignment="1">
      <alignment horizontal="center" vertical="center" wrapText="1"/>
    </xf>
    <xf numFmtId="0" fontId="10" fillId="0" borderId="1" xfId="8" applyFont="1" applyBorder="1" applyAlignment="1">
      <alignment horizontal="center" vertical="center" wrapText="1"/>
    </xf>
    <xf numFmtId="0" fontId="10" fillId="0" borderId="1" xfId="8" applyFont="1" applyBorder="1" applyAlignment="1">
      <alignment horizontal="center" vertical="center"/>
    </xf>
    <xf numFmtId="49" fontId="3" fillId="0" borderId="7" xfId="8" applyNumberFormat="1" applyBorder="1" applyAlignment="1">
      <alignment horizontal="center"/>
    </xf>
    <xf numFmtId="49" fontId="3" fillId="0" borderId="9" xfId="8" applyNumberFormat="1" applyBorder="1" applyAlignment="1">
      <alignment horizontal="center"/>
    </xf>
    <xf numFmtId="0" fontId="11" fillId="2" borderId="10" xfId="0" applyFont="1" applyFill="1" applyBorder="1" applyAlignment="1">
      <alignment horizontal="center" vertical="center"/>
    </xf>
    <xf numFmtId="0" fontId="11" fillId="2" borderId="12" xfId="0" applyFont="1" applyFill="1" applyBorder="1" applyAlignment="1">
      <alignment horizontal="center" vertical="center"/>
    </xf>
  </cellXfs>
  <cellStyles count="72">
    <cellStyle name="Euro" xfId="2"/>
    <cellStyle name="Hipervínculo" xfId="71" builtinId="8"/>
    <cellStyle name="Millares" xfId="43" builtinId="3"/>
    <cellStyle name="Millares [0]" xfId="67" builtinId="6"/>
    <cellStyle name="Millares [0] 3" xfId="3"/>
    <cellStyle name="Millares [0] 3 2" xfId="35"/>
    <cellStyle name="Millares [0]_AR&amp;V Peajes (Total)" xfId="65"/>
    <cellStyle name="Millares [0]_TABLAS PATRON Corporativas de Frecuencia y Severidad (Desarrollo)" xfId="63"/>
    <cellStyle name="Millares 2" xfId="18"/>
    <cellStyle name="Millares 2 2" xfId="4"/>
    <cellStyle name="Millares 2 2 2" xfId="17"/>
    <cellStyle name="Millares 2 3" xfId="5"/>
    <cellStyle name="Millares 2 4" xfId="6"/>
    <cellStyle name="Millares 3" xfId="23"/>
    <cellStyle name="Millares 3 2" xfId="50"/>
    <cellStyle name="Millares 32" xfId="56"/>
    <cellStyle name="Millares 32 2" xfId="70"/>
    <cellStyle name="Millares 4" xfId="24"/>
    <cellStyle name="Millares 5" xfId="26"/>
    <cellStyle name="Millares 6" xfId="28"/>
    <cellStyle name="Millares 7" xfId="30"/>
    <cellStyle name="Millares 8" xfId="31"/>
    <cellStyle name="Millares 9" xfId="33"/>
    <cellStyle name="Millares_Prestaciones seguridad social y parafiscales" xfId="20"/>
    <cellStyle name="Moneda" xfId="44" builtinId="4"/>
    <cellStyle name="Moneda [0]" xfId="53" builtinId="7"/>
    <cellStyle name="Moneda [0] 2" xfId="49"/>
    <cellStyle name="Moneda [0] 6" xfId="57"/>
    <cellStyle name="Moneda 19" xfId="42"/>
    <cellStyle name="Moneda 19 2" xfId="66"/>
    <cellStyle name="Moneda 2" xfId="7"/>
    <cellStyle name="Moneda 2 11" xfId="46"/>
    <cellStyle name="Moneda 2 2" xfId="61"/>
    <cellStyle name="Moneda 2 2 35" xfId="41"/>
    <cellStyle name="Moneda 3" xfId="21"/>
    <cellStyle name="Moneda 4" xfId="22"/>
    <cellStyle name="Moneda 4 2" xfId="48"/>
    <cellStyle name="Moneda 5" xfId="25"/>
    <cellStyle name="Moneda 6" xfId="27"/>
    <cellStyle name="Moneda 7" xfId="29"/>
    <cellStyle name="Moneda 8" xfId="32"/>
    <cellStyle name="Normal" xfId="0" builtinId="0"/>
    <cellStyle name="Normal 10" xfId="52"/>
    <cellStyle name="Normal 11" xfId="68"/>
    <cellStyle name="Normal 2" xfId="8"/>
    <cellStyle name="Normal 2 10" xfId="40"/>
    <cellStyle name="Normal 2 2" xfId="9"/>
    <cellStyle name="Normal 2 2 2" xfId="54"/>
    <cellStyle name="Normal 2 3" xfId="10"/>
    <cellStyle name="Normal 2 4" xfId="36"/>
    <cellStyle name="Normal 2 5" xfId="69"/>
    <cellStyle name="Normal 3" xfId="37"/>
    <cellStyle name="Normal 3 10" xfId="55"/>
    <cellStyle name="Normal 3 2" xfId="58"/>
    <cellStyle name="Normal 3 2 2" xfId="59"/>
    <cellStyle name="Normal 4" xfId="11"/>
    <cellStyle name="Normal 4 2" xfId="12"/>
    <cellStyle name="Normal 4 3" xfId="13"/>
    <cellStyle name="Normal 4 4" xfId="38"/>
    <cellStyle name="Normal 5" xfId="39"/>
    <cellStyle name="Normal 6" xfId="14"/>
    <cellStyle name="Normal 7" xfId="15"/>
    <cellStyle name="Normal 8" xfId="47"/>
    <cellStyle name="Normal 9" xfId="45"/>
    <cellStyle name="Normal_Matriz de Vulnerabilidad" xfId="64"/>
    <cellStyle name="Normal_programación" xfId="60"/>
    <cellStyle name="Normal_TABLAS PATRON Corporativas de Frecuencia y Severidad (Desarrollo)" xfId="62"/>
    <cellStyle name="Porcentaje" xfId="1" builtinId="5"/>
    <cellStyle name="Porcentaje 2" xfId="16"/>
    <cellStyle name="Porcentaje 3" xfId="51"/>
    <cellStyle name="Porcentual 2" xfId="19"/>
    <cellStyle name="Porcentual 3" xfId="34"/>
  </cellStyles>
  <dxfs count="34">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FF0000"/>
        </patternFill>
      </fill>
    </dxf>
    <dxf>
      <fill>
        <patternFill>
          <bgColor rgb="FFFFFF00"/>
        </patternFill>
      </fill>
    </dxf>
    <dxf>
      <fill>
        <patternFill>
          <bgColor theme="0"/>
        </patternFill>
      </fill>
    </dxf>
    <dxf>
      <fill>
        <patternFill>
          <bgColor theme="0"/>
        </patternFill>
      </fill>
    </dxf>
  </dxfs>
  <tableStyles count="0" defaultTableStyle="TableStyleMedium2" defaultPivotStyle="PivotStyleLight16"/>
  <colors>
    <mruColors>
      <color rgb="FF4E9E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8.png"/></Relationships>
</file>

<file path=xl/drawings/_rels/drawing18.xml.rels><?xml version="1.0" encoding="UTF-8" standalone="yes"?>
<Relationships xmlns="http://schemas.openxmlformats.org/package/2006/relationships"><Relationship Id="rId8" Type="http://schemas.openxmlformats.org/officeDocument/2006/relationships/image" Target="../media/image16.emf"/><Relationship Id="rId13" Type="http://schemas.openxmlformats.org/officeDocument/2006/relationships/image" Target="../media/image21.emf"/><Relationship Id="rId18" Type="http://schemas.openxmlformats.org/officeDocument/2006/relationships/image" Target="../media/image26.png"/><Relationship Id="rId3" Type="http://schemas.openxmlformats.org/officeDocument/2006/relationships/image" Target="../media/image11.emf"/><Relationship Id="rId21" Type="http://schemas.openxmlformats.org/officeDocument/2006/relationships/image" Target="../media/image29.png"/><Relationship Id="rId7" Type="http://schemas.openxmlformats.org/officeDocument/2006/relationships/image" Target="../media/image15.emf"/><Relationship Id="rId12" Type="http://schemas.openxmlformats.org/officeDocument/2006/relationships/image" Target="../media/image20.emf"/><Relationship Id="rId17" Type="http://schemas.openxmlformats.org/officeDocument/2006/relationships/image" Target="../media/image25.jpeg"/><Relationship Id="rId2" Type="http://schemas.openxmlformats.org/officeDocument/2006/relationships/image" Target="../media/image10.emf"/><Relationship Id="rId16" Type="http://schemas.openxmlformats.org/officeDocument/2006/relationships/image" Target="../media/image24.emf"/><Relationship Id="rId20" Type="http://schemas.openxmlformats.org/officeDocument/2006/relationships/image" Target="../media/image28.png"/><Relationship Id="rId1" Type="http://schemas.openxmlformats.org/officeDocument/2006/relationships/image" Target="../media/image9.emf"/><Relationship Id="rId6" Type="http://schemas.openxmlformats.org/officeDocument/2006/relationships/image" Target="../media/image14.emf"/><Relationship Id="rId11" Type="http://schemas.openxmlformats.org/officeDocument/2006/relationships/image" Target="../media/image19.emf"/><Relationship Id="rId5" Type="http://schemas.openxmlformats.org/officeDocument/2006/relationships/image" Target="../media/image13.emf"/><Relationship Id="rId15" Type="http://schemas.openxmlformats.org/officeDocument/2006/relationships/image" Target="../media/image23.emf"/><Relationship Id="rId10" Type="http://schemas.openxmlformats.org/officeDocument/2006/relationships/image" Target="../media/image18.emf"/><Relationship Id="rId19" Type="http://schemas.openxmlformats.org/officeDocument/2006/relationships/image" Target="../media/image27.png"/><Relationship Id="rId4" Type="http://schemas.openxmlformats.org/officeDocument/2006/relationships/image" Target="../media/image12.emf"/><Relationship Id="rId9" Type="http://schemas.openxmlformats.org/officeDocument/2006/relationships/image" Target="../media/image17.emf"/><Relationship Id="rId14" Type="http://schemas.openxmlformats.org/officeDocument/2006/relationships/image" Target="../media/image22.emf"/></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1</xdr:row>
      <xdr:rowOff>117112</xdr:rowOff>
    </xdr:from>
    <xdr:to>
      <xdr:col>0</xdr:col>
      <xdr:colOff>723900</xdr:colOff>
      <xdr:row>3</xdr:row>
      <xdr:rowOff>157593</xdr:rowOff>
    </xdr:to>
    <xdr:pic>
      <xdr:nvPicPr>
        <xdr:cNvPr id="2" name="Picture 4">
          <a:extLst>
            <a:ext uri="{FF2B5EF4-FFF2-40B4-BE49-F238E27FC236}">
              <a16:creationId xmlns:a16="http://schemas.microsoft.com/office/drawing/2014/main" xmlns="" id="{00000000-0008-0000-0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025" y="279037"/>
          <a:ext cx="523875" cy="53578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56810</xdr:colOff>
      <xdr:row>0</xdr:row>
      <xdr:rowOff>109198</xdr:rowOff>
    </xdr:from>
    <xdr:to>
      <xdr:col>0</xdr:col>
      <xdr:colOff>685460</xdr:colOff>
      <xdr:row>0</xdr:row>
      <xdr:rowOff>722879</xdr:rowOff>
    </xdr:to>
    <xdr:pic>
      <xdr:nvPicPr>
        <xdr:cNvPr id="2" name="Picture 4">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6810" y="109198"/>
          <a:ext cx="628650" cy="613681"/>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104776</xdr:colOff>
      <xdr:row>0</xdr:row>
      <xdr:rowOff>46007</xdr:rowOff>
    </xdr:from>
    <xdr:to>
      <xdr:col>0</xdr:col>
      <xdr:colOff>771526</xdr:colOff>
      <xdr:row>2</xdr:row>
      <xdr:rowOff>190500</xdr:rowOff>
    </xdr:to>
    <xdr:pic>
      <xdr:nvPicPr>
        <xdr:cNvPr id="2" name="Picture 4">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4776" y="46007"/>
          <a:ext cx="666750" cy="601693"/>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525492</xdr:colOff>
      <xdr:row>0</xdr:row>
      <xdr:rowOff>109268</xdr:rowOff>
    </xdr:from>
    <xdr:to>
      <xdr:col>1</xdr:col>
      <xdr:colOff>1209675</xdr:colOff>
      <xdr:row>1</xdr:row>
      <xdr:rowOff>411211</xdr:rowOff>
    </xdr:to>
    <xdr:pic>
      <xdr:nvPicPr>
        <xdr:cNvPr id="2" name="Picture 3">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1297017" y="109268"/>
          <a:ext cx="684183" cy="511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1510881</xdr:colOff>
      <xdr:row>0</xdr:row>
      <xdr:rowOff>47311</xdr:rowOff>
    </xdr:from>
    <xdr:to>
      <xdr:col>1</xdr:col>
      <xdr:colOff>105763</xdr:colOff>
      <xdr:row>1</xdr:row>
      <xdr:rowOff>460840</xdr:rowOff>
    </xdr:to>
    <xdr:pic>
      <xdr:nvPicPr>
        <xdr:cNvPr id="3" name="Picture 4">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10881" y="47311"/>
          <a:ext cx="666570" cy="604029"/>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114300</xdr:colOff>
      <xdr:row>0</xdr:row>
      <xdr:rowOff>146222</xdr:rowOff>
    </xdr:from>
    <xdr:to>
      <xdr:col>0</xdr:col>
      <xdr:colOff>914400</xdr:colOff>
      <xdr:row>1</xdr:row>
      <xdr:rowOff>190500</xdr:rowOff>
    </xdr:to>
    <xdr:pic>
      <xdr:nvPicPr>
        <xdr:cNvPr id="2" name="Picture 4">
          <a:extLst>
            <a:ext uri="{FF2B5EF4-FFF2-40B4-BE49-F238E27FC236}">
              <a16:creationId xmlns:a16="http://schemas.microsoft.com/office/drawing/2014/main" xmlns=""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4300" y="146222"/>
          <a:ext cx="800100" cy="691978"/>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47625</xdr:colOff>
      <xdr:row>0</xdr:row>
      <xdr:rowOff>47625</xdr:rowOff>
    </xdr:from>
    <xdr:to>
      <xdr:col>2</xdr:col>
      <xdr:colOff>28575</xdr:colOff>
      <xdr:row>2</xdr:row>
      <xdr:rowOff>314325</xdr:rowOff>
    </xdr:to>
    <xdr:pic>
      <xdr:nvPicPr>
        <xdr:cNvPr id="2" name="Picture 4">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225" y="47625"/>
          <a:ext cx="742950" cy="723900"/>
        </a:xfrm>
        <a:prstGeom prst="rect">
          <a:avLst/>
        </a:prstGeom>
        <a:noFill/>
        <a:ln w="9525">
          <a:noFill/>
          <a:miter lim="800000"/>
          <a:headEnd/>
          <a:tailEnd/>
        </a:ln>
      </xdr:spPr>
    </xdr:pic>
    <xdr:clientData/>
  </xdr:twoCellAnchor>
  <xdr:twoCellAnchor>
    <xdr:from>
      <xdr:col>6</xdr:col>
      <xdr:colOff>0</xdr:colOff>
      <xdr:row>34</xdr:row>
      <xdr:rowOff>1</xdr:rowOff>
    </xdr:from>
    <xdr:to>
      <xdr:col>8</xdr:col>
      <xdr:colOff>0</xdr:colOff>
      <xdr:row>40</xdr:row>
      <xdr:rowOff>0</xdr:rowOff>
    </xdr:to>
    <xdr:sp macro="" textlink="">
      <xdr:nvSpPr>
        <xdr:cNvPr id="3" name="2 CuadroTexto">
          <a:extLst>
            <a:ext uri="{FF2B5EF4-FFF2-40B4-BE49-F238E27FC236}">
              <a16:creationId xmlns:a16="http://schemas.microsoft.com/office/drawing/2014/main" xmlns="" id="{00000000-0008-0000-0700-000003000000}"/>
            </a:ext>
          </a:extLst>
        </xdr:cNvPr>
        <xdr:cNvSpPr txBox="1"/>
      </xdr:nvSpPr>
      <xdr:spPr>
        <a:xfrm>
          <a:off x="3581400" y="15316201"/>
          <a:ext cx="4000500" cy="1142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800"/>
            <a:t>Para el calculo del valor de las consecuencias del RIESGO POR NATURALEZA, se toma en cuenta la parálisis operacional que puede producir un temporada invernal como la que se vivió en el año 2011, según los datos de la estación pluviométrica de La Salle, ubicada en la zona urbana del Municipio de Envigado.</a:t>
          </a:r>
        </a:p>
        <a:p>
          <a:r>
            <a:rPr lang="es-CO" sz="800"/>
            <a:t>Para realizar su valoración, se consideran los gastos del personal Administrativo y los gastos de oficina, en los que incurrirá el contratista durante la parálisis operacional, según los ítems considerados en el calculo del porcentaje de ADMINISTRACIÓN del A.R.U.</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76199</xdr:colOff>
      <xdr:row>13</xdr:row>
      <xdr:rowOff>66675</xdr:rowOff>
    </xdr:from>
    <xdr:to>
      <xdr:col>1</xdr:col>
      <xdr:colOff>533400</xdr:colOff>
      <xdr:row>15</xdr:row>
      <xdr:rowOff>188596</xdr:rowOff>
    </xdr:to>
    <xdr:pic>
      <xdr:nvPicPr>
        <xdr:cNvPr id="2" name="Picture 4">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199" y="66675"/>
          <a:ext cx="647701" cy="579121"/>
        </a:xfrm>
        <a:prstGeom prst="rect">
          <a:avLst/>
        </a:prstGeom>
        <a:noFill/>
        <a:ln w="9525">
          <a:noFill/>
          <a:miter lim="800000"/>
          <a:headEnd/>
          <a:tailEnd/>
        </a:ln>
      </xdr:spPr>
    </xdr:pic>
    <xdr:clientData/>
  </xdr:twoCellAnchor>
  <xdr:twoCellAnchor>
    <xdr:from>
      <xdr:col>4</xdr:col>
      <xdr:colOff>71005</xdr:colOff>
      <xdr:row>44</xdr:row>
      <xdr:rowOff>64943</xdr:rowOff>
    </xdr:from>
    <xdr:to>
      <xdr:col>7</xdr:col>
      <xdr:colOff>19049</xdr:colOff>
      <xdr:row>56</xdr:row>
      <xdr:rowOff>268432</xdr:rowOff>
    </xdr:to>
    <xdr:sp macro="" textlink="">
      <xdr:nvSpPr>
        <xdr:cNvPr id="3" name="2 CuadroTexto">
          <a:extLst>
            <a:ext uri="{FF2B5EF4-FFF2-40B4-BE49-F238E27FC236}">
              <a16:creationId xmlns:a16="http://schemas.microsoft.com/office/drawing/2014/main" xmlns="" id="{00000000-0008-0000-0800-000003000000}"/>
            </a:ext>
          </a:extLst>
        </xdr:cNvPr>
        <xdr:cNvSpPr txBox="1"/>
      </xdr:nvSpPr>
      <xdr:spPr>
        <a:xfrm>
          <a:off x="3566680" y="8399318"/>
          <a:ext cx="2957944" cy="24132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1100"/>
            <a:t>El Municipio asumira el RIESGO ECONOMICO, y para el reconocimiento del mismo se aplicará la formula de reajuste de precios, según el Anexo No.5 de los Estudios Previos</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95249</xdr:colOff>
      <xdr:row>13</xdr:row>
      <xdr:rowOff>142875</xdr:rowOff>
    </xdr:from>
    <xdr:to>
      <xdr:col>1</xdr:col>
      <xdr:colOff>272302</xdr:colOff>
      <xdr:row>15</xdr:row>
      <xdr:rowOff>161925</xdr:rowOff>
    </xdr:to>
    <xdr:pic>
      <xdr:nvPicPr>
        <xdr:cNvPr id="2" name="Picture 4">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5249" y="142875"/>
          <a:ext cx="729503" cy="72390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37202</xdr:colOff>
      <xdr:row>0</xdr:row>
      <xdr:rowOff>67755</xdr:rowOff>
    </xdr:from>
    <xdr:to>
      <xdr:col>0</xdr:col>
      <xdr:colOff>736840</xdr:colOff>
      <xdr:row>2</xdr:row>
      <xdr:rowOff>233633</xdr:rowOff>
    </xdr:to>
    <xdr:pic>
      <xdr:nvPicPr>
        <xdr:cNvPr id="2" name="Picture 4">
          <a:extLst>
            <a:ext uri="{FF2B5EF4-FFF2-40B4-BE49-F238E27FC236}">
              <a16:creationId xmlns:a16="http://schemas.microsoft.com/office/drawing/2014/main" xmlns=""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7202" y="67755"/>
          <a:ext cx="699638" cy="615170"/>
        </a:xfrm>
        <a:prstGeom prst="rect">
          <a:avLst/>
        </a:prstGeom>
        <a:noFill/>
        <a:ln w="9525">
          <a:noFill/>
          <a:miter lim="800000"/>
          <a:headEnd/>
          <a:tailEnd/>
        </a:ln>
      </xdr:spPr>
    </xdr:pic>
    <xdr:clientData/>
  </xdr:twoCellAnchor>
  <xdr:twoCellAnchor>
    <xdr:from>
      <xdr:col>4</xdr:col>
      <xdr:colOff>1</xdr:colOff>
      <xdr:row>34</xdr:row>
      <xdr:rowOff>19051</xdr:rowOff>
    </xdr:from>
    <xdr:to>
      <xdr:col>6</xdr:col>
      <xdr:colOff>609601</xdr:colOff>
      <xdr:row>49</xdr:row>
      <xdr:rowOff>142876</xdr:rowOff>
    </xdr:to>
    <xdr:sp macro="" textlink="">
      <xdr:nvSpPr>
        <xdr:cNvPr id="3" name="2 CuadroTexto">
          <a:extLst>
            <a:ext uri="{FF2B5EF4-FFF2-40B4-BE49-F238E27FC236}">
              <a16:creationId xmlns:a16="http://schemas.microsoft.com/office/drawing/2014/main" xmlns="" id="{00000000-0008-0000-0C00-000003000000}"/>
            </a:ext>
          </a:extLst>
        </xdr:cNvPr>
        <xdr:cNvSpPr txBox="1"/>
      </xdr:nvSpPr>
      <xdr:spPr>
        <a:xfrm>
          <a:off x="4171951" y="8353426"/>
          <a:ext cx="2400300" cy="2981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1000"/>
            <a:t>Para el calculo del valor de las consecuencias del RIESGO OPERACIONALES se estima una parálisis operacional durante la ejecución del contrato de obra, por un termino de 15 </a:t>
          </a:r>
          <a:r>
            <a:rPr lang="es-CO" sz="1000" baseline="0"/>
            <a:t>días</a:t>
          </a:r>
          <a:r>
            <a:rPr lang="es-CO" sz="1000"/>
            <a:t>, por causas no imputables a las partes.</a:t>
          </a:r>
        </a:p>
        <a:p>
          <a:endParaRPr lang="es-CO" sz="1000"/>
        </a:p>
        <a:p>
          <a:r>
            <a:rPr lang="es-CO" sz="1000"/>
            <a:t>Para realizar su valoración, se consideran los gastos del personal Administrativo y los gastos de oficina, en los que incurrirá el contratista durante la parálisis operacional, según los ítems considerados en el calculo del porcentaje de ADMINISTRACIÓN del A.R.U.</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106393</xdr:colOff>
      <xdr:row>13</xdr:row>
      <xdr:rowOff>66137</xdr:rowOff>
    </xdr:from>
    <xdr:to>
      <xdr:col>1</xdr:col>
      <xdr:colOff>353883</xdr:colOff>
      <xdr:row>15</xdr:row>
      <xdr:rowOff>251604</xdr:rowOff>
    </xdr:to>
    <xdr:pic>
      <xdr:nvPicPr>
        <xdr:cNvPr id="2" name="Picture 4">
          <a:extLst>
            <a:ext uri="{FF2B5EF4-FFF2-40B4-BE49-F238E27FC236}">
              <a16:creationId xmlns:a16="http://schemas.microsoft.com/office/drawing/2014/main" xmlns=""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6393" y="66137"/>
          <a:ext cx="723740" cy="634759"/>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89858</xdr:colOff>
      <xdr:row>0</xdr:row>
      <xdr:rowOff>67215</xdr:rowOff>
    </xdr:from>
    <xdr:to>
      <xdr:col>0</xdr:col>
      <xdr:colOff>709882</xdr:colOff>
      <xdr:row>2</xdr:row>
      <xdr:rowOff>263604</xdr:rowOff>
    </xdr:to>
    <xdr:pic>
      <xdr:nvPicPr>
        <xdr:cNvPr id="2" name="Picture 4">
          <a:extLst>
            <a:ext uri="{FF2B5EF4-FFF2-40B4-BE49-F238E27FC236}">
              <a16:creationId xmlns:a16="http://schemas.microsoft.com/office/drawing/2014/main" xmlns=""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9858" y="67215"/>
          <a:ext cx="620024" cy="645681"/>
        </a:xfrm>
        <a:prstGeom prst="rect">
          <a:avLst/>
        </a:prstGeom>
        <a:noFill/>
        <a:ln w="9525">
          <a:noFill/>
          <a:miter lim="800000"/>
          <a:headEnd/>
          <a:tailEnd/>
        </a:ln>
      </xdr:spPr>
    </xdr:pic>
    <xdr:clientData/>
  </xdr:twoCellAnchor>
  <xdr:twoCellAnchor>
    <xdr:from>
      <xdr:col>4</xdr:col>
      <xdr:colOff>19051</xdr:colOff>
      <xdr:row>19</xdr:row>
      <xdr:rowOff>19050</xdr:rowOff>
    </xdr:from>
    <xdr:to>
      <xdr:col>5</xdr:col>
      <xdr:colOff>1009650</xdr:colOff>
      <xdr:row>31</xdr:row>
      <xdr:rowOff>260074</xdr:rowOff>
    </xdr:to>
    <xdr:sp macro="" textlink="">
      <xdr:nvSpPr>
        <xdr:cNvPr id="3" name="2 CuadroTexto">
          <a:extLst>
            <a:ext uri="{FF2B5EF4-FFF2-40B4-BE49-F238E27FC236}">
              <a16:creationId xmlns:a16="http://schemas.microsoft.com/office/drawing/2014/main" xmlns="" id="{00000000-0008-0000-0E00-000003000000}"/>
            </a:ext>
          </a:extLst>
        </xdr:cNvPr>
        <xdr:cNvSpPr txBox="1"/>
      </xdr:nvSpPr>
      <xdr:spPr>
        <a:xfrm>
          <a:off x="3609976" y="6276975"/>
          <a:ext cx="1638299" cy="2460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1000"/>
            <a:t>Para el calculo del valor de las consecuencias del RIESGO FINANCIERO, se toma en cuenta los valores negativos del Flujo de Caja del contrato, calculado en el Anexo No.7 (Flujo de Inversión y viabilidad Económica), con el fin de cuantificar el valor de los intereses del crédito en que debe incurrir el contratista, para cubrir el flujo de caja negativo durante la ejecución del contrato. </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80873</xdr:colOff>
      <xdr:row>13</xdr:row>
      <xdr:rowOff>66135</xdr:rowOff>
    </xdr:from>
    <xdr:to>
      <xdr:col>1</xdr:col>
      <xdr:colOff>143774</xdr:colOff>
      <xdr:row>15</xdr:row>
      <xdr:rowOff>179717</xdr:rowOff>
    </xdr:to>
    <xdr:pic>
      <xdr:nvPicPr>
        <xdr:cNvPr id="2" name="Picture 4">
          <a:extLst>
            <a:ext uri="{FF2B5EF4-FFF2-40B4-BE49-F238E27FC236}">
              <a16:creationId xmlns:a16="http://schemas.microsoft.com/office/drawing/2014/main" xmlns=""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0873" y="66135"/>
          <a:ext cx="655967" cy="562874"/>
        </a:xfrm>
        <a:prstGeom prst="rect">
          <a:avLst/>
        </a:prstGeom>
        <a:noFill/>
        <a:ln w="9525">
          <a:noFill/>
          <a:miter lim="800000"/>
          <a:headEnd/>
          <a:tailEnd/>
        </a:ln>
      </xdr:spPr>
    </xdr:pic>
    <xdr:clientData/>
  </xdr:twoCellAnchor>
  <xdr:twoCellAnchor>
    <xdr:from>
      <xdr:col>4</xdr:col>
      <xdr:colOff>51090</xdr:colOff>
      <xdr:row>40</xdr:row>
      <xdr:rowOff>92652</xdr:rowOff>
    </xdr:from>
    <xdr:to>
      <xdr:col>6</xdr:col>
      <xdr:colOff>648567</xdr:colOff>
      <xdr:row>55</xdr:row>
      <xdr:rowOff>127288</xdr:rowOff>
    </xdr:to>
    <xdr:sp macro="" textlink="">
      <xdr:nvSpPr>
        <xdr:cNvPr id="3" name="2 CuadroTexto">
          <a:extLst>
            <a:ext uri="{FF2B5EF4-FFF2-40B4-BE49-F238E27FC236}">
              <a16:creationId xmlns:a16="http://schemas.microsoft.com/office/drawing/2014/main" xmlns="" id="{00000000-0008-0000-0F00-000003000000}"/>
            </a:ext>
          </a:extLst>
        </xdr:cNvPr>
        <xdr:cNvSpPr txBox="1"/>
      </xdr:nvSpPr>
      <xdr:spPr>
        <a:xfrm>
          <a:off x="3908715" y="7636452"/>
          <a:ext cx="2473902" cy="28921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900"/>
            <a:t>Según reporte del  12 de Julio</a:t>
          </a:r>
          <a:r>
            <a:rPr lang="es-CO" sz="900" baseline="0"/>
            <a:t> </a:t>
          </a:r>
          <a:r>
            <a:rPr lang="es-CO" sz="900"/>
            <a:t>de 2012, el IDEAM informa que </a:t>
          </a:r>
          <a:r>
            <a:rPr lang="es-CO" sz="900" b="1">
              <a:solidFill>
                <a:schemeClr val="dk1"/>
              </a:solidFill>
              <a:latin typeface="+mn-lt"/>
              <a:ea typeface="+mn-ea"/>
              <a:cs typeface="+mn-cs"/>
            </a:rPr>
            <a:t>SE MANTIENE EL CALENTAMIENTO DE LAS AGUAS EN LA ZONA CENTRO-ORIENTE DEL PACIFICO ECUATORIAL, DE SEGUIR CON ESTA TENDENCIA EXISTE UNA ALTA PROBABILIDAD A UNA TRANSICIÓN DE CONDICIONES TÍPICAS DE EPISODIO “EL NIÑO” HACIA MEDIADOS DEL SEGUNDO SEMESTRE DE 2012.</a:t>
          </a:r>
          <a:r>
            <a:rPr lang="es-CO" sz="900"/>
            <a:t>.</a:t>
          </a:r>
        </a:p>
        <a:p>
          <a:endParaRPr lang="es-CO" sz="900"/>
        </a:p>
        <a:p>
          <a:r>
            <a:rPr lang="es-CO" sz="900"/>
            <a:t>Por tal motivo y considerando que en los dos últimos años se presento un gran periodo de lluvias, como lo muestran los datos de la estación Pluviometrica de La Salle, se considera que la probabilidad de ocurrencia es MEDIO-BAJO.</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85726</xdr:colOff>
      <xdr:row>0</xdr:row>
      <xdr:rowOff>104776</xdr:rowOff>
    </xdr:from>
    <xdr:to>
      <xdr:col>0</xdr:col>
      <xdr:colOff>752476</xdr:colOff>
      <xdr:row>2</xdr:row>
      <xdr:rowOff>171451</xdr:rowOff>
    </xdr:to>
    <xdr:pic>
      <xdr:nvPicPr>
        <xdr:cNvPr id="2" name="Picture 4">
          <a:extLst>
            <a:ext uri="{FF2B5EF4-FFF2-40B4-BE49-F238E27FC236}">
              <a16:creationId xmlns:a16="http://schemas.microsoft.com/office/drawing/2014/main" xmlns=""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6" y="104776"/>
          <a:ext cx="666750" cy="628650"/>
        </a:xfrm>
        <a:prstGeom prst="rect">
          <a:avLst/>
        </a:prstGeom>
        <a:noFill/>
        <a:ln w="9525">
          <a:noFill/>
          <a:miter lim="800000"/>
          <a:headEnd/>
          <a:tailEnd/>
        </a:ln>
      </xdr:spPr>
    </xdr:pic>
    <xdr:clientData/>
  </xdr:twoCellAnchor>
  <xdr:twoCellAnchor>
    <xdr:from>
      <xdr:col>3</xdr:col>
      <xdr:colOff>110572</xdr:colOff>
      <xdr:row>28</xdr:row>
      <xdr:rowOff>96907</xdr:rowOff>
    </xdr:from>
    <xdr:to>
      <xdr:col>6</xdr:col>
      <xdr:colOff>662609</xdr:colOff>
      <xdr:row>34</xdr:row>
      <xdr:rowOff>0</xdr:rowOff>
    </xdr:to>
    <xdr:sp macro="" textlink="">
      <xdr:nvSpPr>
        <xdr:cNvPr id="3" name="2 CuadroTexto">
          <a:extLst>
            <a:ext uri="{FF2B5EF4-FFF2-40B4-BE49-F238E27FC236}">
              <a16:creationId xmlns:a16="http://schemas.microsoft.com/office/drawing/2014/main" xmlns="" id="{00000000-0008-0000-1000-000003000000}"/>
            </a:ext>
          </a:extLst>
        </xdr:cNvPr>
        <xdr:cNvSpPr txBox="1"/>
      </xdr:nvSpPr>
      <xdr:spPr>
        <a:xfrm>
          <a:off x="2644222" y="9545707"/>
          <a:ext cx="2838037" cy="24292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1100"/>
            <a:t>Para el calculo del tiempo de parálisis operacional generado por lluvia, se considera 2 veces más de las horas promedio de lluvia por día, ya que SI se requiere realizar actividades adicionales para preparar el sitio de trabajo después de lluvia, por parte del contratista.</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106392</xdr:colOff>
      <xdr:row>0</xdr:row>
      <xdr:rowOff>68832</xdr:rowOff>
    </xdr:from>
    <xdr:to>
      <xdr:col>0</xdr:col>
      <xdr:colOff>781769</xdr:colOff>
      <xdr:row>2</xdr:row>
      <xdr:rowOff>173236</xdr:rowOff>
    </xdr:to>
    <xdr:pic>
      <xdr:nvPicPr>
        <xdr:cNvPr id="2" name="Picture 4">
          <a:extLst>
            <a:ext uri="{FF2B5EF4-FFF2-40B4-BE49-F238E27FC236}">
              <a16:creationId xmlns:a16="http://schemas.microsoft.com/office/drawing/2014/main" xmlns=""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6392" y="68832"/>
          <a:ext cx="675377" cy="553696"/>
        </a:xfrm>
        <a:prstGeom prst="rect">
          <a:avLst/>
        </a:prstGeom>
        <a:noFill/>
        <a:ln w="9525">
          <a:noFill/>
          <a:miter lim="800000"/>
          <a:headEnd/>
          <a:tailEnd/>
        </a:ln>
      </xdr:spPr>
    </xdr:pic>
    <xdr:clientData/>
  </xdr:twoCellAnchor>
  <xdr:twoCellAnchor>
    <xdr:from>
      <xdr:col>4</xdr:col>
      <xdr:colOff>0</xdr:colOff>
      <xdr:row>33</xdr:row>
      <xdr:rowOff>28574</xdr:rowOff>
    </xdr:from>
    <xdr:to>
      <xdr:col>6</xdr:col>
      <xdr:colOff>647700</xdr:colOff>
      <xdr:row>48</xdr:row>
      <xdr:rowOff>152399</xdr:rowOff>
    </xdr:to>
    <xdr:sp macro="" textlink="">
      <xdr:nvSpPr>
        <xdr:cNvPr id="3" name="2 CuadroTexto">
          <a:extLst>
            <a:ext uri="{FF2B5EF4-FFF2-40B4-BE49-F238E27FC236}">
              <a16:creationId xmlns:a16="http://schemas.microsoft.com/office/drawing/2014/main" xmlns="" id="{00000000-0008-0000-1100-000003000000}"/>
            </a:ext>
          </a:extLst>
        </xdr:cNvPr>
        <xdr:cNvSpPr txBox="1"/>
      </xdr:nvSpPr>
      <xdr:spPr>
        <a:xfrm>
          <a:off x="4733925" y="7448549"/>
          <a:ext cx="2438400" cy="3114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900"/>
            <a:t>Para el calculo del valor de las consecuencias del RIESGO POR NATURALEZA, se toma en cuenta la parálisis operacional que puede producir un temporada invernal como la que se vivió en el año 2011, según los datos de la estación pluviométrica de La Salle, ubicada en la zona urbana del Municipio de Envigado.</a:t>
          </a:r>
        </a:p>
        <a:p>
          <a:r>
            <a:rPr lang="es-CO" sz="900"/>
            <a:t>Para realizar su valoración, se consideran los gastos del personal Administrativo y los gastos de oficina, en los que incurrirá el contratista durante la parálisis operacional, según los ítems considerados en el calculo del porcentaje de ADMINISTRACIÓN del A.R.U.</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52478</xdr:colOff>
      <xdr:row>13</xdr:row>
      <xdr:rowOff>39178</xdr:rowOff>
    </xdr:from>
    <xdr:to>
      <xdr:col>1</xdr:col>
      <xdr:colOff>27765</xdr:colOff>
      <xdr:row>15</xdr:row>
      <xdr:rowOff>170732</xdr:rowOff>
    </xdr:to>
    <xdr:pic>
      <xdr:nvPicPr>
        <xdr:cNvPr id="2" name="Picture 4">
          <a:extLst>
            <a:ext uri="{FF2B5EF4-FFF2-40B4-BE49-F238E27FC236}">
              <a16:creationId xmlns:a16="http://schemas.microsoft.com/office/drawing/2014/main" xmlns=""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2478" y="39178"/>
          <a:ext cx="739084" cy="580846"/>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65316</xdr:colOff>
      <xdr:row>0</xdr:row>
      <xdr:rowOff>59533</xdr:rowOff>
    </xdr:from>
    <xdr:to>
      <xdr:col>0</xdr:col>
      <xdr:colOff>637836</xdr:colOff>
      <xdr:row>2</xdr:row>
      <xdr:rowOff>166214</xdr:rowOff>
    </xdr:to>
    <xdr:pic>
      <xdr:nvPicPr>
        <xdr:cNvPr id="2" name="Picture 4">
          <a:extLst>
            <a:ext uri="{FF2B5EF4-FFF2-40B4-BE49-F238E27FC236}">
              <a16:creationId xmlns:a16="http://schemas.microsoft.com/office/drawing/2014/main" xmlns=""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316" y="59533"/>
          <a:ext cx="572520" cy="523400"/>
        </a:xfrm>
        <a:prstGeom prst="rect">
          <a:avLst/>
        </a:prstGeom>
        <a:noFill/>
        <a:ln w="9525">
          <a:no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190500</xdr:colOff>
      <xdr:row>11</xdr:row>
      <xdr:rowOff>171450</xdr:rowOff>
    </xdr:from>
    <xdr:to>
      <xdr:col>7</xdr:col>
      <xdr:colOff>638175</xdr:colOff>
      <xdr:row>12</xdr:row>
      <xdr:rowOff>519451</xdr:rowOff>
    </xdr:to>
    <xdr:pic>
      <xdr:nvPicPr>
        <xdr:cNvPr id="2" name="Picture 1">
          <a:extLst>
            <a:ext uri="{FF2B5EF4-FFF2-40B4-BE49-F238E27FC236}">
              <a16:creationId xmlns:a16="http://schemas.microsoft.com/office/drawing/2014/main" xmlns="" id="{00000000-0008-0000-1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391275" y="2933700"/>
          <a:ext cx="1171575" cy="904874"/>
        </a:xfrm>
        <a:prstGeom prst="rect">
          <a:avLst/>
        </a:prstGeom>
        <a:noFill/>
        <a:ln w="9525">
          <a:noFill/>
          <a:miter lim="800000"/>
          <a:headEnd/>
          <a:tailEnd/>
        </a:ln>
      </xdr:spPr>
    </xdr:pic>
    <xdr:clientData/>
  </xdr:twoCellAnchor>
  <xdr:twoCellAnchor editAs="oneCell">
    <xdr:from>
      <xdr:col>6</xdr:col>
      <xdr:colOff>95250</xdr:colOff>
      <xdr:row>17</xdr:row>
      <xdr:rowOff>66674</xdr:rowOff>
    </xdr:from>
    <xdr:to>
      <xdr:col>6</xdr:col>
      <xdr:colOff>676275</xdr:colOff>
      <xdr:row>19</xdr:row>
      <xdr:rowOff>54428</xdr:rowOff>
    </xdr:to>
    <xdr:pic>
      <xdr:nvPicPr>
        <xdr:cNvPr id="3" name="Picture 2">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296025" y="5838824"/>
          <a:ext cx="581025" cy="790575"/>
        </a:xfrm>
        <a:prstGeom prst="rect">
          <a:avLst/>
        </a:prstGeom>
        <a:noFill/>
        <a:ln w="9525">
          <a:noFill/>
          <a:miter lim="800000"/>
          <a:headEnd/>
          <a:tailEnd/>
        </a:ln>
      </xdr:spPr>
    </xdr:pic>
    <xdr:clientData/>
  </xdr:twoCellAnchor>
  <xdr:twoCellAnchor editAs="oneCell">
    <xdr:from>
      <xdr:col>7</xdr:col>
      <xdr:colOff>19050</xdr:colOff>
      <xdr:row>17</xdr:row>
      <xdr:rowOff>114299</xdr:rowOff>
    </xdr:from>
    <xdr:to>
      <xdr:col>7</xdr:col>
      <xdr:colOff>628650</xdr:colOff>
      <xdr:row>19</xdr:row>
      <xdr:rowOff>63954</xdr:rowOff>
    </xdr:to>
    <xdr:pic>
      <xdr:nvPicPr>
        <xdr:cNvPr id="4" name="Picture 3">
          <a:extLst>
            <a:ext uri="{FF2B5EF4-FFF2-40B4-BE49-F238E27FC236}">
              <a16:creationId xmlns:a16="http://schemas.microsoft.com/office/drawing/2014/main" xmlns="" id="{00000000-0008-0000-1400-000004000000}"/>
            </a:ext>
          </a:extLst>
        </xdr:cNvPr>
        <xdr:cNvPicPr>
          <a:picLocks noChangeAspect="1" noChangeArrowheads="1"/>
        </xdr:cNvPicPr>
      </xdr:nvPicPr>
      <xdr:blipFill>
        <a:blip xmlns:r="http://schemas.openxmlformats.org/officeDocument/2006/relationships" r:embed="rId3"/>
        <a:srcRect/>
        <a:stretch>
          <a:fillRect/>
        </a:stretch>
      </xdr:blipFill>
      <xdr:spPr bwMode="auto">
        <a:xfrm>
          <a:off x="6943725" y="5886449"/>
          <a:ext cx="609600" cy="752476"/>
        </a:xfrm>
        <a:prstGeom prst="rect">
          <a:avLst/>
        </a:prstGeom>
        <a:noFill/>
        <a:ln w="9525">
          <a:noFill/>
          <a:miter lim="800000"/>
          <a:headEnd/>
          <a:tailEnd/>
        </a:ln>
      </xdr:spPr>
    </xdr:pic>
    <xdr:clientData/>
  </xdr:twoCellAnchor>
  <xdr:twoCellAnchor editAs="oneCell">
    <xdr:from>
      <xdr:col>6</xdr:col>
      <xdr:colOff>142875</xdr:colOff>
      <xdr:row>14</xdr:row>
      <xdr:rowOff>142875</xdr:rowOff>
    </xdr:from>
    <xdr:to>
      <xdr:col>7</xdr:col>
      <xdr:colOff>590550</xdr:colOff>
      <xdr:row>15</xdr:row>
      <xdr:rowOff>273161</xdr:rowOff>
    </xdr:to>
    <xdr:pic>
      <xdr:nvPicPr>
        <xdr:cNvPr id="5" name="Picture 4">
          <a:extLst>
            <a:ext uri="{FF2B5EF4-FFF2-40B4-BE49-F238E27FC236}">
              <a16:creationId xmlns:a16="http://schemas.microsoft.com/office/drawing/2014/main" xmlns="" id="{00000000-0008-0000-1400-00000500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6343650" y="4229100"/>
          <a:ext cx="1171575" cy="676273"/>
        </a:xfrm>
        <a:prstGeom prst="rect">
          <a:avLst/>
        </a:prstGeom>
        <a:noFill/>
        <a:ln w="9525">
          <a:noFill/>
          <a:miter lim="800000"/>
          <a:headEnd/>
          <a:tailEnd/>
        </a:ln>
      </xdr:spPr>
    </xdr:pic>
    <xdr:clientData/>
  </xdr:twoCellAnchor>
  <xdr:twoCellAnchor editAs="oneCell">
    <xdr:from>
      <xdr:col>6</xdr:col>
      <xdr:colOff>151379</xdr:colOff>
      <xdr:row>15</xdr:row>
      <xdr:rowOff>504484</xdr:rowOff>
    </xdr:from>
    <xdr:to>
      <xdr:col>7</xdr:col>
      <xdr:colOff>599054</xdr:colOff>
      <xdr:row>16</xdr:row>
      <xdr:rowOff>445972</xdr:rowOff>
    </xdr:to>
    <xdr:pic>
      <xdr:nvPicPr>
        <xdr:cNvPr id="6" name="Picture 5">
          <a:extLst>
            <a:ext uri="{FF2B5EF4-FFF2-40B4-BE49-F238E27FC236}">
              <a16:creationId xmlns:a16="http://schemas.microsoft.com/office/drawing/2014/main" xmlns="" id="{00000000-0008-0000-1400-000006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988968" y="5590154"/>
          <a:ext cx="1170555" cy="485773"/>
        </a:xfrm>
        <a:prstGeom prst="rect">
          <a:avLst/>
        </a:prstGeom>
        <a:noFill/>
        <a:ln w="9525">
          <a:noFill/>
          <a:miter lim="800000"/>
          <a:headEnd/>
          <a:tailEnd/>
        </a:ln>
      </xdr:spPr>
    </xdr:pic>
    <xdr:clientData/>
  </xdr:twoCellAnchor>
  <xdr:twoCellAnchor editAs="oneCell">
    <xdr:from>
      <xdr:col>6</xdr:col>
      <xdr:colOff>114300</xdr:colOff>
      <xdr:row>19</xdr:row>
      <xdr:rowOff>149679</xdr:rowOff>
    </xdr:from>
    <xdr:to>
      <xdr:col>6</xdr:col>
      <xdr:colOff>628650</xdr:colOff>
      <xdr:row>20</xdr:row>
      <xdr:rowOff>347662</xdr:rowOff>
    </xdr:to>
    <xdr:pic>
      <xdr:nvPicPr>
        <xdr:cNvPr id="7" name="Picture 6">
          <a:extLst>
            <a:ext uri="{FF2B5EF4-FFF2-40B4-BE49-F238E27FC236}">
              <a16:creationId xmlns:a16="http://schemas.microsoft.com/office/drawing/2014/main" xmlns="" id="{00000000-0008-0000-1400-00000700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6951889" y="7208384"/>
          <a:ext cx="514350" cy="750774"/>
        </a:xfrm>
        <a:prstGeom prst="rect">
          <a:avLst/>
        </a:prstGeom>
        <a:noFill/>
        <a:ln w="9525">
          <a:noFill/>
          <a:miter lim="800000"/>
          <a:headEnd/>
          <a:tailEnd/>
        </a:ln>
      </xdr:spPr>
    </xdr:pic>
    <xdr:clientData/>
  </xdr:twoCellAnchor>
  <xdr:twoCellAnchor editAs="oneCell">
    <xdr:from>
      <xdr:col>7</xdr:col>
      <xdr:colOff>113280</xdr:colOff>
      <xdr:row>19</xdr:row>
      <xdr:rowOff>316707</xdr:rowOff>
    </xdr:from>
    <xdr:to>
      <xdr:col>7</xdr:col>
      <xdr:colOff>627630</xdr:colOff>
      <xdr:row>20</xdr:row>
      <xdr:rowOff>459242</xdr:rowOff>
    </xdr:to>
    <xdr:pic>
      <xdr:nvPicPr>
        <xdr:cNvPr id="8" name="Picture 7">
          <a:extLst>
            <a:ext uri="{FF2B5EF4-FFF2-40B4-BE49-F238E27FC236}">
              <a16:creationId xmlns:a16="http://schemas.microsoft.com/office/drawing/2014/main" xmlns="" id="{00000000-0008-0000-1400-000008000000}"/>
            </a:ext>
          </a:extLst>
        </xdr:cNvPr>
        <xdr:cNvPicPr>
          <a:picLocks noChangeAspect="1" noChangeArrowheads="1"/>
        </xdr:cNvPicPr>
      </xdr:nvPicPr>
      <xdr:blipFill>
        <a:blip xmlns:r="http://schemas.openxmlformats.org/officeDocument/2006/relationships" r:embed="rId7"/>
        <a:srcRect/>
        <a:stretch>
          <a:fillRect/>
        </a:stretch>
      </xdr:blipFill>
      <xdr:spPr bwMode="auto">
        <a:xfrm>
          <a:off x="7673749" y="7375412"/>
          <a:ext cx="514350" cy="695326"/>
        </a:xfrm>
        <a:prstGeom prst="rect">
          <a:avLst/>
        </a:prstGeom>
        <a:noFill/>
        <a:ln w="9525">
          <a:noFill/>
          <a:miter lim="800000"/>
          <a:headEnd/>
          <a:tailEnd/>
        </a:ln>
      </xdr:spPr>
    </xdr:pic>
    <xdr:clientData/>
  </xdr:twoCellAnchor>
  <xdr:twoCellAnchor editAs="oneCell">
    <xdr:from>
      <xdr:col>6</xdr:col>
      <xdr:colOff>476250</xdr:colOff>
      <xdr:row>23</xdr:row>
      <xdr:rowOff>57150</xdr:rowOff>
    </xdr:from>
    <xdr:to>
      <xdr:col>7</xdr:col>
      <xdr:colOff>228600</xdr:colOff>
      <xdr:row>24</xdr:row>
      <xdr:rowOff>38779</xdr:rowOff>
    </xdr:to>
    <xdr:pic>
      <xdr:nvPicPr>
        <xdr:cNvPr id="9" name="Picture 8">
          <a:extLst>
            <a:ext uri="{FF2B5EF4-FFF2-40B4-BE49-F238E27FC236}">
              <a16:creationId xmlns:a16="http://schemas.microsoft.com/office/drawing/2014/main" xmlns="" id="{00000000-0008-0000-1400-00000900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6677025" y="7924800"/>
          <a:ext cx="476250" cy="400048"/>
        </a:xfrm>
        <a:prstGeom prst="rect">
          <a:avLst/>
        </a:prstGeom>
        <a:noFill/>
        <a:ln w="9525">
          <a:noFill/>
          <a:miter lim="800000"/>
          <a:headEnd/>
          <a:tailEnd/>
        </a:ln>
      </xdr:spPr>
    </xdr:pic>
    <xdr:clientData/>
  </xdr:twoCellAnchor>
  <xdr:twoCellAnchor editAs="oneCell">
    <xdr:from>
      <xdr:col>6</xdr:col>
      <xdr:colOff>495300</xdr:colOff>
      <xdr:row>24</xdr:row>
      <xdr:rowOff>180975</xdr:rowOff>
    </xdr:from>
    <xdr:to>
      <xdr:col>7</xdr:col>
      <xdr:colOff>247650</xdr:colOff>
      <xdr:row>25</xdr:row>
      <xdr:rowOff>205128</xdr:rowOff>
    </xdr:to>
    <xdr:pic>
      <xdr:nvPicPr>
        <xdr:cNvPr id="10" name="Picture 9">
          <a:extLst>
            <a:ext uri="{FF2B5EF4-FFF2-40B4-BE49-F238E27FC236}">
              <a16:creationId xmlns:a16="http://schemas.microsoft.com/office/drawing/2014/main" xmlns="" id="{00000000-0008-0000-1400-00000A00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6696075" y="8382000"/>
          <a:ext cx="476250" cy="400050"/>
        </a:xfrm>
        <a:prstGeom prst="rect">
          <a:avLst/>
        </a:prstGeom>
        <a:noFill/>
        <a:ln w="9525">
          <a:noFill/>
          <a:miter lim="800000"/>
          <a:headEnd/>
          <a:tailEnd/>
        </a:ln>
      </xdr:spPr>
    </xdr:pic>
    <xdr:clientData/>
  </xdr:twoCellAnchor>
  <xdr:twoCellAnchor editAs="oneCell">
    <xdr:from>
      <xdr:col>6</xdr:col>
      <xdr:colOff>485775</xdr:colOff>
      <xdr:row>25</xdr:row>
      <xdr:rowOff>304801</xdr:rowOff>
    </xdr:from>
    <xdr:to>
      <xdr:col>7</xdr:col>
      <xdr:colOff>247650</xdr:colOff>
      <xdr:row>27</xdr:row>
      <xdr:rowOff>57830</xdr:rowOff>
    </xdr:to>
    <xdr:pic>
      <xdr:nvPicPr>
        <xdr:cNvPr id="11" name="Picture 10">
          <a:extLst>
            <a:ext uri="{FF2B5EF4-FFF2-40B4-BE49-F238E27FC236}">
              <a16:creationId xmlns:a16="http://schemas.microsoft.com/office/drawing/2014/main" xmlns="" id="{00000000-0008-0000-1400-00000B000000}"/>
            </a:ext>
          </a:extLst>
        </xdr:cNvPr>
        <xdr:cNvPicPr>
          <a:picLocks noChangeAspect="1" noChangeArrowheads="1"/>
        </xdr:cNvPicPr>
      </xdr:nvPicPr>
      <xdr:blipFill>
        <a:blip xmlns:r="http://schemas.openxmlformats.org/officeDocument/2006/relationships" r:embed="rId10"/>
        <a:srcRect/>
        <a:stretch>
          <a:fillRect/>
        </a:stretch>
      </xdr:blipFill>
      <xdr:spPr bwMode="auto">
        <a:xfrm>
          <a:off x="6686550" y="8839201"/>
          <a:ext cx="485775" cy="504824"/>
        </a:xfrm>
        <a:prstGeom prst="rect">
          <a:avLst/>
        </a:prstGeom>
        <a:noFill/>
        <a:ln w="9525">
          <a:noFill/>
          <a:miter lim="800000"/>
          <a:headEnd/>
          <a:tailEnd/>
        </a:ln>
      </xdr:spPr>
    </xdr:pic>
    <xdr:clientData/>
  </xdr:twoCellAnchor>
  <xdr:twoCellAnchor editAs="oneCell">
    <xdr:from>
      <xdr:col>6</xdr:col>
      <xdr:colOff>485775</xdr:colOff>
      <xdr:row>27</xdr:row>
      <xdr:rowOff>228600</xdr:rowOff>
    </xdr:from>
    <xdr:to>
      <xdr:col>7</xdr:col>
      <xdr:colOff>209550</xdr:colOff>
      <xdr:row>28</xdr:row>
      <xdr:rowOff>26534</xdr:rowOff>
    </xdr:to>
    <xdr:pic>
      <xdr:nvPicPr>
        <xdr:cNvPr id="12" name="Picture 11">
          <a:extLst>
            <a:ext uri="{FF2B5EF4-FFF2-40B4-BE49-F238E27FC236}">
              <a16:creationId xmlns:a16="http://schemas.microsoft.com/office/drawing/2014/main" xmlns="" id="{00000000-0008-0000-1400-00000C000000}"/>
            </a:ext>
          </a:extLst>
        </xdr:cNvPr>
        <xdr:cNvPicPr>
          <a:picLocks noChangeAspect="1" noChangeArrowheads="1"/>
        </xdr:cNvPicPr>
      </xdr:nvPicPr>
      <xdr:blipFill>
        <a:blip xmlns:r="http://schemas.openxmlformats.org/officeDocument/2006/relationships" r:embed="rId11"/>
        <a:srcRect/>
        <a:stretch>
          <a:fillRect/>
        </a:stretch>
      </xdr:blipFill>
      <xdr:spPr bwMode="auto">
        <a:xfrm>
          <a:off x="6686550" y="9429750"/>
          <a:ext cx="447675" cy="352425"/>
        </a:xfrm>
        <a:prstGeom prst="rect">
          <a:avLst/>
        </a:prstGeom>
        <a:noFill/>
        <a:ln w="9525">
          <a:noFill/>
          <a:miter lim="800000"/>
          <a:headEnd/>
          <a:tailEnd/>
        </a:ln>
      </xdr:spPr>
    </xdr:pic>
    <xdr:clientData/>
  </xdr:twoCellAnchor>
  <xdr:twoCellAnchor editAs="oneCell">
    <xdr:from>
      <xdr:col>6</xdr:col>
      <xdr:colOff>545985</xdr:colOff>
      <xdr:row>36</xdr:row>
      <xdr:rowOff>208189</xdr:rowOff>
    </xdr:from>
    <xdr:to>
      <xdr:col>7</xdr:col>
      <xdr:colOff>222136</xdr:colOff>
      <xdr:row>37</xdr:row>
      <xdr:rowOff>249349</xdr:rowOff>
    </xdr:to>
    <xdr:pic>
      <xdr:nvPicPr>
        <xdr:cNvPr id="13" name="Picture 12">
          <a:extLst>
            <a:ext uri="{FF2B5EF4-FFF2-40B4-BE49-F238E27FC236}">
              <a16:creationId xmlns:a16="http://schemas.microsoft.com/office/drawing/2014/main" xmlns="" id="{00000000-0008-0000-1400-00000D000000}"/>
            </a:ext>
          </a:extLst>
        </xdr:cNvPr>
        <xdr:cNvPicPr>
          <a:picLocks noChangeAspect="1" noChangeArrowheads="1"/>
        </xdr:cNvPicPr>
      </xdr:nvPicPr>
      <xdr:blipFill>
        <a:blip xmlns:r="http://schemas.openxmlformats.org/officeDocument/2006/relationships" r:embed="rId12"/>
        <a:srcRect/>
        <a:stretch>
          <a:fillRect/>
        </a:stretch>
      </xdr:blipFill>
      <xdr:spPr bwMode="auto">
        <a:xfrm flipH="1">
          <a:off x="6746760" y="12295414"/>
          <a:ext cx="400051" cy="488836"/>
        </a:xfrm>
        <a:prstGeom prst="rect">
          <a:avLst/>
        </a:prstGeom>
        <a:noFill/>
        <a:ln w="9525">
          <a:noFill/>
          <a:miter lim="800000"/>
          <a:headEnd/>
          <a:tailEnd/>
        </a:ln>
      </xdr:spPr>
    </xdr:pic>
    <xdr:clientData/>
  </xdr:twoCellAnchor>
  <xdr:twoCellAnchor editAs="oneCell">
    <xdr:from>
      <xdr:col>6</xdr:col>
      <xdr:colOff>238125</xdr:colOff>
      <xdr:row>32</xdr:row>
      <xdr:rowOff>104774</xdr:rowOff>
    </xdr:from>
    <xdr:to>
      <xdr:col>7</xdr:col>
      <xdr:colOff>685800</xdr:colOff>
      <xdr:row>33</xdr:row>
      <xdr:rowOff>205125</xdr:rowOff>
    </xdr:to>
    <xdr:pic>
      <xdr:nvPicPr>
        <xdr:cNvPr id="14" name="Picture 13">
          <a:extLst>
            <a:ext uri="{FF2B5EF4-FFF2-40B4-BE49-F238E27FC236}">
              <a16:creationId xmlns:a16="http://schemas.microsoft.com/office/drawing/2014/main" xmlns="" id="{00000000-0008-0000-1400-00000E000000}"/>
            </a:ext>
          </a:extLst>
        </xdr:cNvPr>
        <xdr:cNvPicPr>
          <a:picLocks noChangeAspect="1" noChangeArrowheads="1"/>
        </xdr:cNvPicPr>
      </xdr:nvPicPr>
      <xdr:blipFill>
        <a:blip xmlns:r="http://schemas.openxmlformats.org/officeDocument/2006/relationships" r:embed="rId13"/>
        <a:srcRect/>
        <a:stretch>
          <a:fillRect/>
        </a:stretch>
      </xdr:blipFill>
      <xdr:spPr bwMode="auto">
        <a:xfrm>
          <a:off x="6438900" y="10944224"/>
          <a:ext cx="1171575" cy="476249"/>
        </a:xfrm>
        <a:prstGeom prst="rect">
          <a:avLst/>
        </a:prstGeom>
        <a:noFill/>
        <a:ln w="9525">
          <a:noFill/>
          <a:miter lim="800000"/>
          <a:headEnd/>
          <a:tailEnd/>
        </a:ln>
      </xdr:spPr>
    </xdr:pic>
    <xdr:clientData/>
  </xdr:twoCellAnchor>
  <xdr:twoCellAnchor editAs="oneCell">
    <xdr:from>
      <xdr:col>6</xdr:col>
      <xdr:colOff>250711</xdr:colOff>
      <xdr:row>39</xdr:row>
      <xdr:rowOff>142194</xdr:rowOff>
    </xdr:from>
    <xdr:to>
      <xdr:col>7</xdr:col>
      <xdr:colOff>441211</xdr:colOff>
      <xdr:row>42</xdr:row>
      <xdr:rowOff>69397</xdr:rowOff>
    </xdr:to>
    <xdr:pic>
      <xdr:nvPicPr>
        <xdr:cNvPr id="15" name="Picture 14">
          <a:extLst>
            <a:ext uri="{FF2B5EF4-FFF2-40B4-BE49-F238E27FC236}">
              <a16:creationId xmlns:a16="http://schemas.microsoft.com/office/drawing/2014/main" xmlns="" id="{00000000-0008-0000-1400-00000F000000}"/>
            </a:ext>
          </a:extLst>
        </xdr:cNvPr>
        <xdr:cNvPicPr>
          <a:picLocks noChangeAspect="1" noChangeArrowheads="1"/>
        </xdr:cNvPicPr>
      </xdr:nvPicPr>
      <xdr:blipFill>
        <a:blip xmlns:r="http://schemas.openxmlformats.org/officeDocument/2006/relationships" r:embed="rId14"/>
        <a:srcRect l="15108" r="33093"/>
        <a:stretch>
          <a:fillRect/>
        </a:stretch>
      </xdr:blipFill>
      <xdr:spPr bwMode="auto">
        <a:xfrm>
          <a:off x="6926715" y="13919426"/>
          <a:ext cx="913380" cy="488497"/>
        </a:xfrm>
        <a:prstGeom prst="rect">
          <a:avLst/>
        </a:prstGeom>
        <a:noFill/>
        <a:ln w="9525">
          <a:noFill/>
          <a:miter lim="800000"/>
          <a:headEnd/>
          <a:tailEnd/>
        </a:ln>
      </xdr:spPr>
    </xdr:pic>
    <xdr:clientData/>
  </xdr:twoCellAnchor>
  <xdr:twoCellAnchor editAs="oneCell">
    <xdr:from>
      <xdr:col>6</xdr:col>
      <xdr:colOff>581025</xdr:colOff>
      <xdr:row>29</xdr:row>
      <xdr:rowOff>28575</xdr:rowOff>
    </xdr:from>
    <xdr:to>
      <xdr:col>7</xdr:col>
      <xdr:colOff>190500</xdr:colOff>
      <xdr:row>30</xdr:row>
      <xdr:rowOff>71779</xdr:rowOff>
    </xdr:to>
    <xdr:pic>
      <xdr:nvPicPr>
        <xdr:cNvPr id="16" name="Picture 15">
          <a:extLst>
            <a:ext uri="{FF2B5EF4-FFF2-40B4-BE49-F238E27FC236}">
              <a16:creationId xmlns:a16="http://schemas.microsoft.com/office/drawing/2014/main" xmlns="" id="{00000000-0008-0000-1400-000010000000}"/>
            </a:ext>
          </a:extLst>
        </xdr:cNvPr>
        <xdr:cNvPicPr>
          <a:picLocks noChangeAspect="1" noChangeArrowheads="1"/>
        </xdr:cNvPicPr>
      </xdr:nvPicPr>
      <xdr:blipFill>
        <a:blip xmlns:r="http://schemas.openxmlformats.org/officeDocument/2006/relationships" r:embed="rId15"/>
        <a:srcRect/>
        <a:stretch>
          <a:fillRect/>
        </a:stretch>
      </xdr:blipFill>
      <xdr:spPr bwMode="auto">
        <a:xfrm>
          <a:off x="6781800" y="9896475"/>
          <a:ext cx="333375" cy="409576"/>
        </a:xfrm>
        <a:prstGeom prst="rect">
          <a:avLst/>
        </a:prstGeom>
        <a:noFill/>
        <a:ln w="9525">
          <a:noFill/>
          <a:miter lim="800000"/>
          <a:headEnd/>
          <a:tailEnd/>
        </a:ln>
      </xdr:spPr>
    </xdr:pic>
    <xdr:clientData/>
  </xdr:twoCellAnchor>
  <xdr:twoCellAnchor editAs="oneCell">
    <xdr:from>
      <xdr:col>6</xdr:col>
      <xdr:colOff>542925</xdr:colOff>
      <xdr:row>30</xdr:row>
      <xdr:rowOff>171450</xdr:rowOff>
    </xdr:from>
    <xdr:to>
      <xdr:col>7</xdr:col>
      <xdr:colOff>228600</xdr:colOff>
      <xdr:row>31</xdr:row>
      <xdr:rowOff>286996</xdr:rowOff>
    </xdr:to>
    <xdr:pic>
      <xdr:nvPicPr>
        <xdr:cNvPr id="17" name="Picture 16">
          <a:extLst>
            <a:ext uri="{FF2B5EF4-FFF2-40B4-BE49-F238E27FC236}">
              <a16:creationId xmlns:a16="http://schemas.microsoft.com/office/drawing/2014/main" xmlns="" id="{00000000-0008-0000-1400-000011000000}"/>
            </a:ext>
          </a:extLst>
        </xdr:cNvPr>
        <xdr:cNvPicPr>
          <a:picLocks noChangeAspect="1" noChangeArrowheads="1"/>
        </xdr:cNvPicPr>
      </xdr:nvPicPr>
      <xdr:blipFill>
        <a:blip xmlns:r="http://schemas.openxmlformats.org/officeDocument/2006/relationships" r:embed="rId16"/>
        <a:srcRect/>
        <a:stretch>
          <a:fillRect/>
        </a:stretch>
      </xdr:blipFill>
      <xdr:spPr bwMode="auto">
        <a:xfrm>
          <a:off x="6743700" y="10363200"/>
          <a:ext cx="409575" cy="482599"/>
        </a:xfrm>
        <a:prstGeom prst="rect">
          <a:avLst/>
        </a:prstGeom>
        <a:noFill/>
        <a:ln w="9525">
          <a:noFill/>
          <a:miter lim="800000"/>
          <a:headEnd/>
          <a:tailEnd/>
        </a:ln>
      </xdr:spPr>
    </xdr:pic>
    <xdr:clientData/>
  </xdr:twoCellAnchor>
  <xdr:twoCellAnchor>
    <xdr:from>
      <xdr:col>6</xdr:col>
      <xdr:colOff>66675</xdr:colOff>
      <xdr:row>48</xdr:row>
      <xdr:rowOff>3402</xdr:rowOff>
    </xdr:from>
    <xdr:to>
      <xdr:col>8</xdr:col>
      <xdr:colOff>1021</xdr:colOff>
      <xdr:row>50</xdr:row>
      <xdr:rowOff>3401</xdr:rowOff>
    </xdr:to>
    <xdr:pic>
      <xdr:nvPicPr>
        <xdr:cNvPr id="18" name="Picture 91" descr="Feb 15 033">
          <a:extLst>
            <a:ext uri="{FF2B5EF4-FFF2-40B4-BE49-F238E27FC236}">
              <a16:creationId xmlns:a16="http://schemas.microsoft.com/office/drawing/2014/main" xmlns="" id="{00000000-0008-0000-1400-000012000000}"/>
            </a:ext>
          </a:extLst>
        </xdr:cNvPr>
        <xdr:cNvPicPr>
          <a:picLocks noChangeAspect="1" noChangeArrowheads="1"/>
        </xdr:cNvPicPr>
      </xdr:nvPicPr>
      <xdr:blipFill>
        <a:blip xmlns:r="http://schemas.openxmlformats.org/officeDocument/2006/relationships" r:embed="rId17" cstate="print"/>
        <a:srcRect l="23418" t="15547" b="12761"/>
        <a:stretch>
          <a:fillRect/>
        </a:stretch>
      </xdr:blipFill>
      <xdr:spPr bwMode="auto">
        <a:xfrm>
          <a:off x="6267450" y="15281502"/>
          <a:ext cx="1382146" cy="380999"/>
        </a:xfrm>
        <a:prstGeom prst="rect">
          <a:avLst/>
        </a:prstGeom>
        <a:noFill/>
        <a:ln w="9525">
          <a:noFill/>
          <a:miter lim="800000"/>
          <a:headEnd/>
          <a:tailEnd/>
        </a:ln>
      </xdr:spPr>
    </xdr:pic>
    <xdr:clientData/>
  </xdr:twoCellAnchor>
  <xdr:twoCellAnchor editAs="oneCell">
    <xdr:from>
      <xdr:col>0</xdr:col>
      <xdr:colOff>65314</xdr:colOff>
      <xdr:row>0</xdr:row>
      <xdr:rowOff>47625</xdr:rowOff>
    </xdr:from>
    <xdr:to>
      <xdr:col>0</xdr:col>
      <xdr:colOff>693515</xdr:colOff>
      <xdr:row>2</xdr:row>
      <xdr:rowOff>153080</xdr:rowOff>
    </xdr:to>
    <xdr:pic>
      <xdr:nvPicPr>
        <xdr:cNvPr id="19" name="Picture 4">
          <a:extLst>
            <a:ext uri="{FF2B5EF4-FFF2-40B4-BE49-F238E27FC236}">
              <a16:creationId xmlns:a16="http://schemas.microsoft.com/office/drawing/2014/main" xmlns="" id="{00000000-0008-0000-1400-000013000000}"/>
            </a:ext>
          </a:extLst>
        </xdr:cNvPr>
        <xdr:cNvPicPr>
          <a:picLocks noChangeAspect="1" noChangeArrowheads="1"/>
        </xdr:cNvPicPr>
      </xdr:nvPicPr>
      <xdr:blipFill>
        <a:blip xmlns:r="http://schemas.openxmlformats.org/officeDocument/2006/relationships" r:embed="rId18" cstate="print"/>
        <a:srcRect/>
        <a:stretch>
          <a:fillRect/>
        </a:stretch>
      </xdr:blipFill>
      <xdr:spPr bwMode="auto">
        <a:xfrm>
          <a:off x="65314" y="47625"/>
          <a:ext cx="628201" cy="564696"/>
        </a:xfrm>
        <a:prstGeom prst="rect">
          <a:avLst/>
        </a:prstGeom>
        <a:noFill/>
        <a:ln w="9525">
          <a:noFill/>
          <a:miter lim="800000"/>
          <a:headEnd/>
          <a:tailEnd/>
        </a:ln>
      </xdr:spPr>
    </xdr:pic>
    <xdr:clientData/>
  </xdr:twoCellAnchor>
  <xdr:twoCellAnchor editAs="oneCell">
    <xdr:from>
      <xdr:col>6</xdr:col>
      <xdr:colOff>297657</xdr:colOff>
      <xdr:row>35</xdr:row>
      <xdr:rowOff>127567</xdr:rowOff>
    </xdr:from>
    <xdr:to>
      <xdr:col>7</xdr:col>
      <xdr:colOff>535782</xdr:colOff>
      <xdr:row>36</xdr:row>
      <xdr:rowOff>51028</xdr:rowOff>
    </xdr:to>
    <xdr:pic>
      <xdr:nvPicPr>
        <xdr:cNvPr id="20" name="Imagen 19">
          <a:extLst>
            <a:ext uri="{FF2B5EF4-FFF2-40B4-BE49-F238E27FC236}">
              <a16:creationId xmlns:a16="http://schemas.microsoft.com/office/drawing/2014/main" xmlns="" id="{00000000-0008-0000-1400-000014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498432" y="11633767"/>
          <a:ext cx="962025" cy="50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238126</xdr:colOff>
      <xdr:row>50</xdr:row>
      <xdr:rowOff>93548</xdr:rowOff>
    </xdr:from>
    <xdr:to>
      <xdr:col>7</xdr:col>
      <xdr:colOff>459241</xdr:colOff>
      <xdr:row>52</xdr:row>
      <xdr:rowOff>331675</xdr:rowOff>
    </xdr:to>
    <xdr:pic>
      <xdr:nvPicPr>
        <xdr:cNvPr id="21" name="Imagen 20">
          <a:extLst>
            <a:ext uri="{FF2B5EF4-FFF2-40B4-BE49-F238E27FC236}">
              <a16:creationId xmlns:a16="http://schemas.microsoft.com/office/drawing/2014/main" xmlns="" id="{00000000-0008-0000-1400-0000150000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438901" y="15752648"/>
          <a:ext cx="945015" cy="6164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317387</xdr:colOff>
      <xdr:row>21</xdr:row>
      <xdr:rowOff>191523</xdr:rowOff>
    </xdr:from>
    <xdr:to>
      <xdr:col>7</xdr:col>
      <xdr:colOff>331674</xdr:colOff>
      <xdr:row>21</xdr:row>
      <xdr:rowOff>642732</xdr:rowOff>
    </xdr:to>
    <xdr:pic>
      <xdr:nvPicPr>
        <xdr:cNvPr id="22" name="image76.png">
          <a:extLst>
            <a:ext uri="{FF2B5EF4-FFF2-40B4-BE49-F238E27FC236}">
              <a16:creationId xmlns:a16="http://schemas.microsoft.com/office/drawing/2014/main" xmlns="" id="{05E1BE5B-CC24-AF43-CFA3-40DBA9563B62}"/>
            </a:ext>
          </a:extLst>
        </xdr:cNvPr>
        <xdr:cNvPicPr>
          <a:picLocks noChangeAspect="1"/>
        </xdr:cNvPicPr>
      </xdr:nvPicPr>
      <xdr:blipFill>
        <a:blip xmlns:r="http://schemas.openxmlformats.org/officeDocument/2006/relationships" r:embed="rId21" cstate="print"/>
        <a:stretch>
          <a:fillRect/>
        </a:stretch>
      </xdr:blipFill>
      <xdr:spPr>
        <a:xfrm>
          <a:off x="7154976" y="8576925"/>
          <a:ext cx="737167" cy="45120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133350</xdr:colOff>
      <xdr:row>0</xdr:row>
      <xdr:rowOff>66675</xdr:rowOff>
    </xdr:from>
    <xdr:to>
      <xdr:col>0</xdr:col>
      <xdr:colOff>762000</xdr:colOff>
      <xdr:row>0</xdr:row>
      <xdr:rowOff>695325</xdr:rowOff>
    </xdr:to>
    <xdr:pic>
      <xdr:nvPicPr>
        <xdr:cNvPr id="2" name="Picture 4">
          <a:extLst>
            <a:ext uri="{FF2B5EF4-FFF2-40B4-BE49-F238E27FC236}">
              <a16:creationId xmlns:a16="http://schemas.microsoft.com/office/drawing/2014/main" xmlns=""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3350" y="66675"/>
          <a:ext cx="762000" cy="6286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angel/AppData/Local/Temp/Presupuesto%20Definitivo%20-%20%2024%20mil%20millones%20-%2024%20FEB.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olumen%20XIV%20Presupuesto/Anexo%202/GP-2387-BEN-Anexo%201-V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olumen%20XIV%20Presupuesto/GP-2387-TES-XIV-Anexo%201-V0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Obras_Publicas/EJECUCI&#211;N%20DE%20OBRAS/JULIAN%20AGUDELO%20UPEGUI/2018/Obras%20Complementarias%20y%20de%20Acceso/Presupuesto%20Oficial%20Obras%20Complem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upiter\Obras_Publicas\Obras\Alcaldia%20de%20Envigado\Obras%20Publicas%20Envigado\Embellecimiento\embellecimiento%20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felipeeusse/Dropbox/documentos/dp/oficina/propuestas%20economicas/desarrollo/excel/C:/Users/jdmejia/Documents/Juan%20David%20Mej&#237;a%20R/2016/Noviembre/Presupuesto%20Antilla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dmejia/Documents/Juan%20David%20Mej&#237;a%20R/2016/Noviembre/Presupuesto%20Antilla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8010%20-%20Comercial\Licitaciones\Documentos%20del%20Proceso\2015\OBRAS\EN%20PREPARACION\ALCALDIA%20DE%20ENVIGADO\09-00-21-18-001-15%20MEGAPLAN%20$24MIL%20MILLONES\PRESUPUESTO\ANEXO%206.%20PRESUPUESTO%20OFICIAL%20(PLIEGOS)%20REV.%20EM.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Mi_Backup/OOPP/8.Formatos/Formatos%20ARU/2.%20Formato%20c&#225;lculo%20de%20ARU%20covid-19%20MINIM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Cronograma"/>
      <sheetName val="RESUMEN"/>
      <sheetName val="PRESUPUESTO"/>
      <sheetName val="Apu"/>
      <sheetName val="Aux"/>
      <sheetName val="Insumos"/>
      <sheetName val="CO_CALLE_37_SUR"/>
      <sheetName val="CO_Acero"/>
      <sheetName val="ELE_RESUMEN"/>
      <sheetName val="ELE_APU"/>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APUS"/>
      <sheetName val="GASTOS GENERALES"/>
      <sheetName val="TENOR DE MATERIALES"/>
      <sheetName val="MEMORIAS DE CANTIDADES"/>
      <sheetName val="CALCULO PRESTACIONES Y SALA "/>
      <sheetName val="1 RIESGOS"/>
      <sheetName val="INDICES CAMACOL"/>
      <sheetName val="4.1 Calculos Operacionales"/>
      <sheetName val="5 FINANCIEROS"/>
      <sheetName val="6.1 Calculo Naturaleza"/>
      <sheetName val="6.2 Calculo Naturaleza"/>
      <sheetName val="7.1 GESTION SOCIAMBIENTAL"/>
      <sheetName val="7.2 PLAN DE MANEJO DE TRANSITO"/>
      <sheetName val="7.3 BIOSEGURIDAD COVID-19"/>
      <sheetName val="Memorias de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B2" t="str">
            <v xml:space="preserve"> </v>
          </cell>
        </row>
        <row r="3">
          <cell r="B3" t="str">
            <v xml:space="preserve"> </v>
          </cell>
        </row>
        <row r="4">
          <cell r="B4" t="str">
            <v xml:space="preserve"> </v>
          </cell>
        </row>
        <row r="5">
          <cell r="B5" t="str">
            <v xml:space="preserve"> </v>
          </cell>
        </row>
        <row r="6">
          <cell r="B6" t="str">
            <v xml:space="preserve"> </v>
          </cell>
        </row>
        <row r="9">
          <cell r="B9" t="str">
            <v>Obra:</v>
          </cell>
          <cell r="C9" t="str">
            <v xml:space="preserve"> </v>
          </cell>
        </row>
        <row r="10">
          <cell r="C10" t="str">
            <v xml:space="preserve"> </v>
          </cell>
        </row>
        <row r="11">
          <cell r="C11" t="str">
            <v xml:space="preserve"> </v>
          </cell>
        </row>
        <row r="12">
          <cell r="B12" t="str">
            <v>CATÁLOGO DE CONCEPTOS Y CANTIDADES DE OBRA PARA EXPRESIÓN DE PRECIOS UNITARIOS Y MONTO TOTAL DE LA PROPOSICIÓN</v>
          </cell>
        </row>
        <row r="14">
          <cell r="B14" t="str">
            <v>Clave</v>
          </cell>
          <cell r="C14" t="str">
            <v>Descripción</v>
          </cell>
          <cell r="D14" t="str">
            <v>Unidad</v>
          </cell>
          <cell r="E14" t="str">
            <v>Cantidad</v>
          </cell>
        </row>
        <row r="19">
          <cell r="B19" t="str">
            <v>1</v>
          </cell>
          <cell r="C19" t="str">
            <v xml:space="preserve">Suministro e instalación de luminaria  </v>
          </cell>
          <cell r="D19" t="str">
            <v>UND</v>
          </cell>
          <cell r="E19">
            <v>46</v>
          </cell>
        </row>
        <row r="20">
          <cell r="C20" t="str">
            <v xml:space="preserve">APOLLO SERIES LED STREET </v>
          </cell>
        </row>
        <row r="21">
          <cell r="C21" t="str">
            <v xml:space="preserve">LIGHT - KINGSUN - 120W 11250lm, </v>
          </cell>
        </row>
        <row r="22">
          <cell r="C22" t="str">
            <v xml:space="preserve">4x14 led, IP66, 4500K, incluye </v>
          </cell>
        </row>
        <row r="23">
          <cell r="C23" t="str">
            <v xml:space="preserve">luminaria LED, instalación, transporte, </v>
          </cell>
        </row>
        <row r="24">
          <cell r="C24" t="str">
            <v xml:space="preserve">kit eléctrico, cable encauchetado 3x12 </v>
          </cell>
        </row>
        <row r="25">
          <cell r="C25" t="str">
            <v xml:space="preserve">AWG, elementos de anclaje y fijación y </v>
          </cell>
        </row>
        <row r="26">
          <cell r="C26" t="str">
            <v xml:space="preserve">todos los elementos necesarios para su </v>
          </cell>
        </row>
        <row r="27">
          <cell r="C27" t="str">
            <v xml:space="preserve">correcto funcionamiento. Esta </v>
          </cell>
        </row>
        <row r="28">
          <cell r="C28" t="str">
            <v xml:space="preserve">luminaria debe cumplir con el </v>
          </cell>
        </row>
        <row r="29">
          <cell r="C29" t="str">
            <v>RETILAP y EL RETIE.</v>
          </cell>
        </row>
        <row r="31">
          <cell r="B31" t="str">
            <v>2</v>
          </cell>
          <cell r="C31" t="str">
            <v xml:space="preserve">Suministro e instalación de Brazo </v>
          </cell>
          <cell r="D31" t="str">
            <v>UND</v>
          </cell>
          <cell r="E31">
            <v>46</v>
          </cell>
        </row>
        <row r="32">
          <cell r="C32" t="str">
            <v xml:space="preserve">metálico para alumbrado publico de </v>
          </cell>
        </row>
        <row r="33">
          <cell r="C33" t="str">
            <v xml:space="preserve">11/2" -  52°/0°, incluye brazo, </v>
          </cell>
        </row>
        <row r="34">
          <cell r="C34" t="str">
            <v xml:space="preserve">instalación, transporte, elementos de </v>
          </cell>
        </row>
        <row r="35">
          <cell r="C35" t="str">
            <v xml:space="preserve">anclaje y fijación, y todos los </v>
          </cell>
        </row>
        <row r="36">
          <cell r="C36" t="str">
            <v xml:space="preserve">elementos necesarios para su correcta </v>
          </cell>
        </row>
        <row r="37">
          <cell r="C37" t="str">
            <v xml:space="preserve">instalación. </v>
          </cell>
        </row>
        <row r="38">
          <cell r="B38" t="str">
            <v>3</v>
          </cell>
          <cell r="C38" t="str">
            <v xml:space="preserve">Suministro, transporte e instalación de </v>
          </cell>
          <cell r="D38" t="str">
            <v>UND</v>
          </cell>
          <cell r="E38">
            <v>24</v>
          </cell>
        </row>
        <row r="39">
          <cell r="C39" t="str">
            <v xml:space="preserve">poste de concreto redondo de 10m, 510 </v>
          </cell>
        </row>
        <row r="40">
          <cell r="C40" t="str">
            <v xml:space="preserve">kg, incluye excavación en zona verde, </v>
          </cell>
        </row>
        <row r="41">
          <cell r="C41" t="str">
            <v xml:space="preserve">anden o piso según corresponda, </v>
          </cell>
        </row>
        <row r="42">
          <cell r="C42" t="str">
            <v xml:space="preserve">nivelación, lleno, botada de escombros </v>
          </cell>
        </row>
        <row r="46">
          <cell r="B46" t="str">
            <v xml:space="preserve">Concursante: </v>
          </cell>
          <cell r="E46" t="str">
            <v>Firma Representante Legal</v>
          </cell>
        </row>
        <row r="48">
          <cell r="B48" t="str">
            <v xml:space="preserve"> </v>
          </cell>
        </row>
        <row r="49">
          <cell r="B49" t="str">
            <v xml:space="preserve"> </v>
          </cell>
        </row>
        <row r="50">
          <cell r="B50" t="str">
            <v xml:space="preserve"> </v>
          </cell>
        </row>
        <row r="51">
          <cell r="B51" t="str">
            <v xml:space="preserve"> </v>
          </cell>
        </row>
        <row r="52">
          <cell r="B52" t="str">
            <v xml:space="preserve"> </v>
          </cell>
        </row>
        <row r="55">
          <cell r="B55" t="str">
            <v>Obra:</v>
          </cell>
          <cell r="C55" t="str">
            <v xml:space="preserve"> </v>
          </cell>
        </row>
        <row r="56">
          <cell r="C56" t="str">
            <v xml:space="preserve"> </v>
          </cell>
        </row>
        <row r="57">
          <cell r="C57" t="str">
            <v xml:space="preserve"> </v>
          </cell>
        </row>
        <row r="58">
          <cell r="B58" t="str">
            <v>CATÁLOGO DE CONCEPTOS Y CANTIDADES DE OBRA PARA EXPRESIÓN DE PRECIOS UNITARIOS Y MONTO TOTAL DE LA PROPOSICIÓN</v>
          </cell>
        </row>
        <row r="60">
          <cell r="B60" t="str">
            <v>Clave</v>
          </cell>
          <cell r="C60" t="str">
            <v>Descripción</v>
          </cell>
          <cell r="D60" t="str">
            <v>Unidad</v>
          </cell>
          <cell r="E60" t="str">
            <v>Cantidad</v>
          </cell>
        </row>
        <row r="65">
          <cell r="C65" t="str">
            <v xml:space="preserve">y concreto en la base de 210 hg/cm2, </v>
          </cell>
        </row>
        <row r="66">
          <cell r="C66" t="str">
            <v xml:space="preserve">pintura 3 franjas. Incluye: Colocación </v>
          </cell>
        </row>
        <row r="67">
          <cell r="C67" t="str">
            <v xml:space="preserve">de Vientos necesarios para la estabilidad </v>
          </cell>
        </row>
        <row r="68">
          <cell r="C68" t="str">
            <v xml:space="preserve">del poste y la acometida. Transporte en </v>
          </cell>
        </row>
        <row r="69">
          <cell r="C69" t="str">
            <v xml:space="preserve">grua desde la fabrica hasta el sitio de </v>
          </cell>
        </row>
        <row r="70">
          <cell r="C70" t="str">
            <v xml:space="preserve">instalación. </v>
          </cell>
        </row>
        <row r="72">
          <cell r="B72" t="str">
            <v>4</v>
          </cell>
          <cell r="C72" t="str">
            <v xml:space="preserve">Suministro, transporte e instalación de </v>
          </cell>
          <cell r="D72" t="str">
            <v>UND</v>
          </cell>
          <cell r="E72">
            <v>1</v>
          </cell>
        </row>
        <row r="73">
          <cell r="C73" t="str">
            <v xml:space="preserve">poste de concreto redondo de 12m, </v>
          </cell>
        </row>
        <row r="74">
          <cell r="C74" t="str">
            <v xml:space="preserve">1050 kg , incluye excavación en zona </v>
          </cell>
        </row>
        <row r="75">
          <cell r="C75" t="str">
            <v xml:space="preserve">verde, anden o piso según corresponda, </v>
          </cell>
        </row>
        <row r="76">
          <cell r="C76" t="str">
            <v xml:space="preserve">nivelación, lleno, botada de escombros </v>
          </cell>
        </row>
        <row r="77">
          <cell r="C77" t="str">
            <v xml:space="preserve">y concreto en la base de 210 hg/cm2, </v>
          </cell>
        </row>
        <row r="78">
          <cell r="C78" t="str">
            <v xml:space="preserve">pintura 3 franjas. Incluye: Colocación </v>
          </cell>
        </row>
        <row r="79">
          <cell r="C79" t="str">
            <v xml:space="preserve">de Vientos necesarios para la estabilidad </v>
          </cell>
        </row>
        <row r="80">
          <cell r="C80" t="str">
            <v xml:space="preserve">del poste y la acometida. Transporte en </v>
          </cell>
        </row>
        <row r="81">
          <cell r="C81" t="str">
            <v xml:space="preserve">grua desde la fabrica hasta el sitio de </v>
          </cell>
        </row>
        <row r="82">
          <cell r="C82" t="str">
            <v xml:space="preserve">instalación </v>
          </cell>
        </row>
        <row r="84">
          <cell r="B84" t="str">
            <v>5</v>
          </cell>
          <cell r="C84" t="str">
            <v xml:space="preserve">Suministro e instalación de tubería </v>
          </cell>
          <cell r="D84" t="str">
            <v>ML</v>
          </cell>
          <cell r="E84">
            <v>440</v>
          </cell>
        </row>
        <row r="85">
          <cell r="C85" t="str">
            <v xml:space="preserve">conduit, PVC  Ø 2". Incluye todo tipo </v>
          </cell>
        </row>
        <row r="86">
          <cell r="C86" t="str">
            <v xml:space="preserve">de obra civil asociada y todos los </v>
          </cell>
        </row>
        <row r="87">
          <cell r="C87" t="str">
            <v xml:space="preserve">elementos necesarios para su correcto </v>
          </cell>
        </row>
        <row r="88">
          <cell r="C88" t="str">
            <v>funcionamiento.</v>
          </cell>
        </row>
        <row r="89">
          <cell r="B89" t="str">
            <v>6</v>
          </cell>
          <cell r="C89" t="str">
            <v xml:space="preserve">Suministro e instalación de tubería </v>
          </cell>
          <cell r="D89" t="str">
            <v>ML</v>
          </cell>
          <cell r="E89">
            <v>60</v>
          </cell>
        </row>
        <row r="93">
          <cell r="B93" t="str">
            <v xml:space="preserve">Concursante: </v>
          </cell>
          <cell r="E93" t="str">
            <v>Firma Representante Legal</v>
          </cell>
        </row>
        <row r="95">
          <cell r="B95" t="str">
            <v xml:space="preserve"> </v>
          </cell>
        </row>
        <row r="96">
          <cell r="B96" t="str">
            <v xml:space="preserve"> </v>
          </cell>
        </row>
        <row r="97">
          <cell r="B97" t="str">
            <v xml:space="preserve"> </v>
          </cell>
        </row>
        <row r="98">
          <cell r="B98" t="str">
            <v xml:space="preserve"> </v>
          </cell>
        </row>
        <row r="99">
          <cell r="B99" t="str">
            <v xml:space="preserve"> </v>
          </cell>
        </row>
        <row r="102">
          <cell r="B102" t="str">
            <v>Obra:</v>
          </cell>
          <cell r="C102" t="str">
            <v xml:space="preserve"> </v>
          </cell>
        </row>
        <row r="103">
          <cell r="C103" t="str">
            <v xml:space="preserve"> </v>
          </cell>
        </row>
        <row r="104">
          <cell r="C104" t="str">
            <v xml:space="preserve"> </v>
          </cell>
        </row>
        <row r="105">
          <cell r="B105" t="str">
            <v>CATÁLOGO DE CONCEPTOS Y CANTIDADES DE OBRA PARA EXPRESIÓN DE PRECIOS UNITARIOS Y MONTO TOTAL DE LA PROPOSICIÓN</v>
          </cell>
        </row>
        <row r="107">
          <cell r="B107" t="str">
            <v>Clave</v>
          </cell>
          <cell r="C107" t="str">
            <v>Descripción</v>
          </cell>
          <cell r="D107" t="str">
            <v>Unidad</v>
          </cell>
          <cell r="E107" t="str">
            <v>Cantidad</v>
          </cell>
        </row>
        <row r="112">
          <cell r="C112" t="str">
            <v xml:space="preserve">conduit, PVC  2 Ø 2". Incluye todo tipo </v>
          </cell>
        </row>
        <row r="113">
          <cell r="C113" t="str">
            <v xml:space="preserve">de obra civil asociada y todos los </v>
          </cell>
        </row>
        <row r="114">
          <cell r="C114" t="str">
            <v xml:space="preserve">elementos necesarios para su correcto </v>
          </cell>
        </row>
        <row r="115">
          <cell r="C115" t="str">
            <v>funcionamiento.</v>
          </cell>
        </row>
        <row r="116">
          <cell r="B116" t="str">
            <v>7</v>
          </cell>
          <cell r="C116" t="str">
            <v xml:space="preserve">Suministro e instalación de acometida </v>
          </cell>
          <cell r="D116" t="str">
            <v>ML</v>
          </cell>
          <cell r="E116">
            <v>500</v>
          </cell>
        </row>
        <row r="117">
          <cell r="C117" t="str">
            <v xml:space="preserve">eléctrica, en cable THHN 2 N° 4 + 2 N° </v>
          </cell>
        </row>
        <row r="118">
          <cell r="C118" t="str">
            <v xml:space="preserve">6 AWG. Incluye: Cable, amarres de </v>
          </cell>
        </row>
        <row r="119">
          <cell r="C119" t="str">
            <v xml:space="preserve">nylon, terminales de cobre estañada,  </v>
          </cell>
        </row>
        <row r="120">
          <cell r="C120" t="str">
            <v xml:space="preserve">marcación y todos los accesorios </v>
          </cell>
        </row>
        <row r="121">
          <cell r="C121" t="str">
            <v xml:space="preserve">necesarios para su correcto </v>
          </cell>
        </row>
        <row r="122">
          <cell r="C122" t="str">
            <v xml:space="preserve">funcionamiento. No incluye: tubería, </v>
          </cell>
        </row>
        <row r="123">
          <cell r="C123" t="str">
            <v>canalizaciones y/o obra civil.</v>
          </cell>
        </row>
        <row r="124">
          <cell r="B124" t="str">
            <v>8</v>
          </cell>
          <cell r="C124" t="str">
            <v xml:space="preserve">Suministro e instalación de </v>
          </cell>
          <cell r="D124" t="str">
            <v>UND</v>
          </cell>
          <cell r="E124">
            <v>1</v>
          </cell>
        </row>
        <row r="125">
          <cell r="C125" t="str">
            <v xml:space="preserve">transformador monofasico - aceite - 15 </v>
          </cell>
        </row>
        <row r="126">
          <cell r="C126" t="str">
            <v xml:space="preserve">kVA - 480/240V. Incluye todos los </v>
          </cell>
        </row>
        <row r="127">
          <cell r="C127" t="str">
            <v xml:space="preserve">elementos necesarios para su correcto </v>
          </cell>
        </row>
        <row r="128">
          <cell r="C128" t="str">
            <v>funcionamiento.</v>
          </cell>
        </row>
        <row r="129">
          <cell r="B129" t="str">
            <v>9</v>
          </cell>
          <cell r="C129" t="str">
            <v xml:space="preserve">Suministro y construcción  de caja de </v>
          </cell>
          <cell r="D129" t="str">
            <v>UND</v>
          </cell>
          <cell r="E129">
            <v>28</v>
          </cell>
        </row>
        <row r="130">
          <cell r="C130" t="str">
            <v xml:space="preserve">paso 50X50 , antifraude, Incluye </v>
          </cell>
        </row>
        <row r="131">
          <cell r="C131" t="str">
            <v xml:space="preserve">excavación, botada de escombros, </v>
          </cell>
        </row>
        <row r="132">
          <cell r="C132" t="str">
            <v xml:space="preserve">marcación con plaqueta acrílica </v>
          </cell>
        </row>
        <row r="133">
          <cell r="C133" t="str">
            <v xml:space="preserve">especificando la red que cruza, el  </v>
          </cell>
        </row>
        <row r="134">
          <cell r="C134" t="str">
            <v xml:space="preserve">numero del transformador y voltaje de </v>
          </cell>
        </row>
        <row r="138">
          <cell r="B138" t="str">
            <v xml:space="preserve">Concursante: </v>
          </cell>
          <cell r="E138" t="str">
            <v>Firma Representante Legal</v>
          </cell>
        </row>
        <row r="140">
          <cell r="B140" t="str">
            <v xml:space="preserve"> </v>
          </cell>
        </row>
        <row r="141">
          <cell r="B141" t="str">
            <v xml:space="preserve"> </v>
          </cell>
        </row>
        <row r="142">
          <cell r="B142" t="str">
            <v xml:space="preserve"> </v>
          </cell>
        </row>
        <row r="143">
          <cell r="B143" t="str">
            <v xml:space="preserve"> </v>
          </cell>
        </row>
        <row r="144">
          <cell r="B144" t="str">
            <v xml:space="preserve"> </v>
          </cell>
        </row>
        <row r="147">
          <cell r="B147" t="str">
            <v>Obra:</v>
          </cell>
          <cell r="C147" t="str">
            <v xml:space="preserve"> </v>
          </cell>
        </row>
        <row r="148">
          <cell r="C148" t="str">
            <v xml:space="preserve"> </v>
          </cell>
        </row>
        <row r="149">
          <cell r="C149" t="str">
            <v xml:space="preserve"> </v>
          </cell>
        </row>
        <row r="150">
          <cell r="B150" t="str">
            <v>CATÁLOGO DE CONCEPTOS Y CANTIDADES DE OBRA PARA EXPRESIÓN DE PRECIOS UNITARIOS Y MONTO TOTAL DE LA PROPOSICIÓN</v>
          </cell>
        </row>
        <row r="152">
          <cell r="B152" t="str">
            <v>Clave</v>
          </cell>
          <cell r="C152" t="str">
            <v>Descripción</v>
          </cell>
          <cell r="D152" t="str">
            <v>Unidad</v>
          </cell>
          <cell r="E152" t="str">
            <v>Cantidad</v>
          </cell>
        </row>
        <row r="157">
          <cell r="C157" t="str">
            <v xml:space="preserve">la misma. </v>
          </cell>
        </row>
        <row r="159">
          <cell r="B159" t="str">
            <v>10</v>
          </cell>
          <cell r="C159" t="str">
            <v xml:space="preserve">Suministro e instalación de malla de </v>
          </cell>
          <cell r="D159" t="str">
            <v>GL</v>
          </cell>
          <cell r="E159">
            <v>10</v>
          </cell>
        </row>
        <row r="160">
          <cell r="C160" t="str">
            <v xml:space="preserve">puesta a tierra, incluye cable de cobre </v>
          </cell>
        </row>
        <row r="161">
          <cell r="C161" t="str">
            <v xml:space="preserve">desnudo, varillas de cobre Cooperweld </v>
          </cell>
        </row>
        <row r="162">
          <cell r="C162" t="str">
            <v xml:space="preserve">de 5/8" y 2.40 mt de longitud, soldadura </v>
          </cell>
        </row>
        <row r="163">
          <cell r="C163" t="str">
            <v xml:space="preserve">exotérmica, conector bi metálico, caja </v>
          </cell>
        </row>
        <row r="164">
          <cell r="C164" t="str">
            <v xml:space="preserve">de inspección de 30x30cm libres, borna </v>
          </cell>
        </row>
        <row r="165">
          <cell r="C165" t="str">
            <v xml:space="preserve">terminal de compresión estañada, </v>
          </cell>
        </row>
        <row r="166">
          <cell r="C166" t="str">
            <v xml:space="preserve">medida de resistencia de puesta a tierra </v>
          </cell>
        </row>
        <row r="167">
          <cell r="C167" t="str">
            <v xml:space="preserve">y todos los elementos necesarios para </v>
          </cell>
        </row>
        <row r="168">
          <cell r="C168" t="str">
            <v>su correcto funcionamiento.</v>
          </cell>
        </row>
        <row r="169">
          <cell r="B169" t="str">
            <v>11</v>
          </cell>
          <cell r="C169" t="str">
            <v xml:space="preserve">Desmonte de instalaciones eléctricas </v>
          </cell>
          <cell r="D169" t="str">
            <v>UND</v>
          </cell>
          <cell r="E169">
            <v>50</v>
          </cell>
        </row>
        <row r="170">
          <cell r="C170" t="str">
            <v>existentes</v>
          </cell>
        </row>
        <row r="171">
          <cell r="B171" t="str">
            <v>12</v>
          </cell>
          <cell r="C171" t="str">
            <v>Certificación RETIE</v>
          </cell>
          <cell r="D171" t="str">
            <v>UND</v>
          </cell>
          <cell r="E171">
            <v>1</v>
          </cell>
        </row>
        <row r="173">
          <cell r="B173" t="str">
            <v>13</v>
          </cell>
          <cell r="C173" t="str">
            <v>Certificación RETILAP</v>
          </cell>
          <cell r="D173" t="str">
            <v>UND</v>
          </cell>
          <cell r="E173">
            <v>1</v>
          </cell>
        </row>
        <row r="175">
          <cell r="B175" t="str">
            <v>14</v>
          </cell>
          <cell r="C175" t="str">
            <v>Legalización ante el O.R</v>
          </cell>
          <cell r="D175" t="str">
            <v>UND</v>
          </cell>
          <cell r="E175">
            <v>1</v>
          </cell>
        </row>
        <row r="177">
          <cell r="B177" t="str">
            <v>15</v>
          </cell>
          <cell r="C177" t="str">
            <v xml:space="preserve">Suministro e instalación de tablero de </v>
          </cell>
          <cell r="D177" t="str">
            <v>UND</v>
          </cell>
          <cell r="E177">
            <v>1</v>
          </cell>
        </row>
        <row r="178">
          <cell r="C178" t="str">
            <v xml:space="preserve">energía normal, alumbrado publico, tipo </v>
          </cell>
        </row>
        <row r="179">
          <cell r="C179" t="str">
            <v xml:space="preserve">ML para instalación en pedestal, tipo </v>
          </cell>
        </row>
        <row r="180">
          <cell r="C180" t="str">
            <v xml:space="preserve">intemperie, 2 fases, neutro y tierra. </v>
          </cell>
        </row>
        <row r="181">
          <cell r="C181" t="str">
            <v xml:space="preserve">Con espacio para totalizador, 1 equipo </v>
          </cell>
        </row>
        <row r="182">
          <cell r="C182" t="str">
            <v xml:space="preserve">de medida, incluye breaker tipo </v>
          </cell>
        </row>
        <row r="183">
          <cell r="C183" t="str">
            <v xml:space="preserve">industrial (totalizador), equipo de </v>
          </cell>
        </row>
        <row r="187">
          <cell r="B187" t="str">
            <v xml:space="preserve">Concursante: </v>
          </cell>
          <cell r="E187" t="str">
            <v>Firma Representante Legal</v>
          </cell>
        </row>
        <row r="189">
          <cell r="B189" t="str">
            <v xml:space="preserve"> </v>
          </cell>
        </row>
        <row r="190">
          <cell r="B190" t="str">
            <v xml:space="preserve"> </v>
          </cell>
        </row>
        <row r="191">
          <cell r="B191" t="str">
            <v xml:space="preserve"> </v>
          </cell>
        </row>
        <row r="192">
          <cell r="B192" t="str">
            <v xml:space="preserve"> </v>
          </cell>
        </row>
        <row r="193">
          <cell r="B193" t="str">
            <v xml:space="preserve"> </v>
          </cell>
        </row>
        <row r="196">
          <cell r="B196" t="str">
            <v>Obra:</v>
          </cell>
          <cell r="C196" t="str">
            <v xml:space="preserve"> </v>
          </cell>
        </row>
        <row r="197">
          <cell r="C197" t="str">
            <v xml:space="preserve"> </v>
          </cell>
        </row>
        <row r="198">
          <cell r="C198" t="str">
            <v xml:space="preserve"> </v>
          </cell>
        </row>
        <row r="199">
          <cell r="B199" t="str">
            <v>CATÁLOGO DE CONCEPTOS Y CANTIDADES DE OBRA PARA EXPRESIÓN DE PRECIOS UNITARIOS Y MONTO TOTAL DE LA PROPOSICIÓN</v>
          </cell>
        </row>
        <row r="201">
          <cell r="B201" t="str">
            <v>Clave</v>
          </cell>
          <cell r="C201" t="str">
            <v>Descripción</v>
          </cell>
          <cell r="D201" t="str">
            <v>Unidad</v>
          </cell>
          <cell r="E201" t="str">
            <v>Cantidad</v>
          </cell>
        </row>
        <row r="206">
          <cell r="C206" t="str">
            <v xml:space="preserve">medida contador electrónico 15/150 A . </v>
          </cell>
        </row>
        <row r="207">
          <cell r="C207" t="str">
            <v xml:space="preserve">Ver cuadro de cargas y todos los </v>
          </cell>
        </row>
        <row r="208">
          <cell r="C208" t="str">
            <v xml:space="preserve">elementos necesarios para su correcta </v>
          </cell>
        </row>
        <row r="209">
          <cell r="C209" t="str">
            <v>instalación y funcionamiento.</v>
          </cell>
        </row>
        <row r="210">
          <cell r="B210" t="str">
            <v>16</v>
          </cell>
          <cell r="C210" t="str">
            <v xml:space="preserve">Suministro e instalación de contador de </v>
          </cell>
          <cell r="D210" t="str">
            <v>UND</v>
          </cell>
          <cell r="E210">
            <v>1</v>
          </cell>
        </row>
        <row r="211">
          <cell r="C211" t="str">
            <v xml:space="preserve">energía activa, monofásico, bifilar, </v>
          </cell>
        </row>
        <row r="212">
          <cell r="C212" t="str">
            <v xml:space="preserve">240/120 v , 10/60A, ciclométrico (de </v>
          </cell>
        </row>
        <row r="213">
          <cell r="C213" t="str">
            <v xml:space="preserve">inducción). Incluye, contador, caja y </v>
          </cell>
        </row>
        <row r="214">
          <cell r="C214" t="str">
            <v xml:space="preserve">todos los elementos necesarios para su </v>
          </cell>
        </row>
        <row r="215">
          <cell r="C215" t="str">
            <v>correcto funcionamiento.</v>
          </cell>
        </row>
        <row r="217">
          <cell r="C217" t="str">
            <v>Total del</v>
          </cell>
          <cell r="D217" t="str">
            <v>Presupuesto</v>
          </cell>
        </row>
        <row r="221">
          <cell r="B221" t="str">
            <v xml:space="preserve">Concursante: </v>
          </cell>
          <cell r="E221" t="str">
            <v>Firma Representante Legal</v>
          </cell>
        </row>
        <row r="223">
          <cell r="B223" t="str">
            <v>CANTIDADES DE OBRA REDES PRIMARIAS AEREAS CALLE 37 SUR MEGA PLAN VIAL MPIO DE  ENVIGADO</v>
          </cell>
        </row>
        <row r="224">
          <cell r="B224" t="str">
            <v>ITEM</v>
          </cell>
          <cell r="C224" t="str">
            <v>DESCRIPCION</v>
          </cell>
          <cell r="D224" t="str">
            <v>UNIDAD</v>
          </cell>
          <cell r="E224" t="str">
            <v>CANT</v>
          </cell>
          <cell r="F224" t="str">
            <v>V/UNIDAD</v>
          </cell>
        </row>
        <row r="225">
          <cell r="B225">
            <v>1</v>
          </cell>
          <cell r="C225" t="str">
            <v>Suministro, Montaje y Puesta en Operación de: Poste de concreto de 12mt, 750kgf.</v>
          </cell>
          <cell r="D225" t="str">
            <v>un</v>
          </cell>
          <cell r="E225">
            <v>6</v>
          </cell>
          <cell r="F225">
            <v>1839282</v>
          </cell>
        </row>
        <row r="226">
          <cell r="B226">
            <v>2</v>
          </cell>
          <cell r="C226" t="str">
            <v>Suministro, Montaje y Puesta en Operación de: Poste de concreto de 8mt.</v>
          </cell>
          <cell r="D226" t="str">
            <v>un</v>
          </cell>
          <cell r="E226">
            <v>7</v>
          </cell>
          <cell r="F226">
            <v>375574</v>
          </cell>
        </row>
        <row r="227">
          <cell r="B227">
            <v>3</v>
          </cell>
          <cell r="C227" t="str">
            <v>Suministro, Montaje y Puesta en Operación de:Grupo de Norma   RA6-001.</v>
          </cell>
          <cell r="D227" t="str">
            <v>un</v>
          </cell>
          <cell r="E227">
            <v>6</v>
          </cell>
          <cell r="F227">
            <v>446044</v>
          </cell>
        </row>
        <row r="228">
          <cell r="B228">
            <v>4</v>
          </cell>
          <cell r="C228" t="str">
            <v>Suministro, Montaje y Puesta en Operación de:Grupo de Norma   RA6-002.</v>
          </cell>
          <cell r="D228" t="str">
            <v>un</v>
          </cell>
          <cell r="E228">
            <v>3</v>
          </cell>
          <cell r="F228">
            <v>1347574</v>
          </cell>
        </row>
        <row r="229">
          <cell r="B229">
            <v>5</v>
          </cell>
          <cell r="C229" t="str">
            <v>Suministro, Montaje y Puesta en Operación de:Grupo de Norma   RA6-003.</v>
          </cell>
          <cell r="D229" t="str">
            <v>un</v>
          </cell>
          <cell r="E229">
            <v>1</v>
          </cell>
          <cell r="F229">
            <v>1571351</v>
          </cell>
        </row>
        <row r="230">
          <cell r="B230">
            <v>6</v>
          </cell>
          <cell r="C230" t="str">
            <v>Suministro, Montaje y Puesta en Operación de:Grupo de Norma   RA2-343.</v>
          </cell>
          <cell r="D230" t="str">
            <v>un</v>
          </cell>
          <cell r="E230">
            <v>2</v>
          </cell>
          <cell r="F230">
            <v>1783061</v>
          </cell>
        </row>
        <row r="231">
          <cell r="B231">
            <v>7</v>
          </cell>
          <cell r="C231" t="str">
            <v>Suministro, Montaje y Puesta en Operación de:Grupo de Norma   RA2-344.</v>
          </cell>
          <cell r="D231" t="str">
            <v>un</v>
          </cell>
          <cell r="E231">
            <v>2</v>
          </cell>
          <cell r="F231">
            <v>339190</v>
          </cell>
        </row>
        <row r="232">
          <cell r="B232">
            <v>8</v>
          </cell>
          <cell r="C232" t="str">
            <v>Suministro, Montaje y Puesta en Operación de:Grupo de Norma   RA2-203.</v>
          </cell>
          <cell r="D232" t="str">
            <v>un</v>
          </cell>
          <cell r="E232">
            <v>2</v>
          </cell>
          <cell r="F232">
            <v>383376</v>
          </cell>
        </row>
        <row r="233">
          <cell r="B233">
            <v>9</v>
          </cell>
          <cell r="C233" t="str">
            <v>Suministro, Montaje y Puesta en Operación de:Grupo de Norma   RA2-204.</v>
          </cell>
          <cell r="D233" t="str">
            <v>un</v>
          </cell>
          <cell r="E233">
            <v>1</v>
          </cell>
          <cell r="F233">
            <v>334140</v>
          </cell>
        </row>
        <row r="234">
          <cell r="B234">
            <v>10</v>
          </cell>
          <cell r="C234" t="str">
            <v>Suministro, Montaje y Puesta en Operación de:Grupo de Norma   RA2-205.</v>
          </cell>
          <cell r="D234" t="str">
            <v>un</v>
          </cell>
          <cell r="E234">
            <v>2</v>
          </cell>
          <cell r="F234">
            <v>252624</v>
          </cell>
        </row>
        <row r="235">
          <cell r="B235">
            <v>11</v>
          </cell>
          <cell r="C235" t="str">
            <v>Suministro, Montaje y Puesta en Operación de:Grupo de Norma   RA2-206.</v>
          </cell>
          <cell r="D235" t="str">
            <v>un</v>
          </cell>
          <cell r="E235">
            <v>1</v>
          </cell>
          <cell r="F235">
            <v>862566</v>
          </cell>
        </row>
        <row r="236">
          <cell r="B236">
            <v>12</v>
          </cell>
          <cell r="C236" t="str">
            <v>Suministro, Montaje y Puesta en Operación de:Grupo de Norma   RA2-302.</v>
          </cell>
          <cell r="D236" t="str">
            <v>un</v>
          </cell>
          <cell r="E236">
            <v>3</v>
          </cell>
          <cell r="F236">
            <v>1112627</v>
          </cell>
        </row>
        <row r="237">
          <cell r="B237">
            <v>13</v>
          </cell>
          <cell r="C237" t="str">
            <v>Suministro, Montaje y Puesta en Operación de:Grupo de Norma   RA2-303/1.</v>
          </cell>
          <cell r="D237" t="str">
            <v>un</v>
          </cell>
          <cell r="E237">
            <v>1</v>
          </cell>
          <cell r="F237">
            <v>300663</v>
          </cell>
        </row>
        <row r="238">
          <cell r="B238">
            <v>14</v>
          </cell>
          <cell r="C238" t="str">
            <v>Suministro, Montaje y Puesta en Operación de:Grupo de Norma   RA6-010.</v>
          </cell>
          <cell r="D238" t="str">
            <v>un</v>
          </cell>
          <cell r="E238">
            <v>7</v>
          </cell>
          <cell r="F238">
            <v>2002243</v>
          </cell>
        </row>
        <row r="239">
          <cell r="B239">
            <v>15</v>
          </cell>
          <cell r="C239" t="str">
            <v>Suministro, Montaje y Puesta en Operación de:Grupo de Norma   RA2-017.</v>
          </cell>
          <cell r="D239" t="str">
            <v>un</v>
          </cell>
          <cell r="E239">
            <v>1</v>
          </cell>
          <cell r="F239">
            <v>119726</v>
          </cell>
        </row>
        <row r="240">
          <cell r="B240">
            <v>16</v>
          </cell>
          <cell r="C240" t="str">
            <v>Suministro, Montaje y Puesta en Operación de: Linea compacta 3X4/0+1N° 1/0AWAC.</v>
          </cell>
          <cell r="D240" t="str">
            <v>ml</v>
          </cell>
          <cell r="E240">
            <v>410</v>
          </cell>
          <cell r="F240">
            <v>128204</v>
          </cell>
        </row>
        <row r="241">
          <cell r="B241">
            <v>17</v>
          </cell>
          <cell r="C241" t="str">
            <v>Suministro, Montaje y Puesta en Operación de:Linea 4x266.8  ACSR cubierto.</v>
          </cell>
          <cell r="D241" t="str">
            <v>ml</v>
          </cell>
          <cell r="E241">
            <v>415</v>
          </cell>
          <cell r="F241">
            <v>1095297</v>
          </cell>
        </row>
        <row r="242">
          <cell r="B242">
            <v>18</v>
          </cell>
          <cell r="C242" t="str">
            <v>Suministro, Montaje y Puesta en Operación de: Poste de concreto de 8mt.</v>
          </cell>
          <cell r="D242" t="str">
            <v>un</v>
          </cell>
          <cell r="E242">
            <v>7</v>
          </cell>
          <cell r="F242">
            <v>381156</v>
          </cell>
        </row>
        <row r="243">
          <cell r="B243">
            <v>19</v>
          </cell>
          <cell r="C243" t="str">
            <v>Suministro, Montaje y Puesta en Operación de:Cajas de piso según Norma RS3-002 completas.</v>
          </cell>
          <cell r="D243" t="str">
            <v>un</v>
          </cell>
          <cell r="E243">
            <v>13</v>
          </cell>
          <cell r="F243">
            <v>310892</v>
          </cell>
        </row>
        <row r="244">
          <cell r="B244">
            <v>20</v>
          </cell>
          <cell r="C244" t="str">
            <v>Suministro, Montaje y Puesta en Operación de:Cajas de piso según Norma RS3-003 completas.</v>
          </cell>
          <cell r="D244" t="str">
            <v>un</v>
          </cell>
          <cell r="E244">
            <v>12</v>
          </cell>
          <cell r="F244">
            <v>28463</v>
          </cell>
        </row>
        <row r="245">
          <cell r="B245">
            <v>21</v>
          </cell>
          <cell r="C245" t="str">
            <v xml:space="preserve">Suministro, Montaje y puesta  en operación de: Canalización en PVC tipo DB de 1Ø 3"  . Incluye , excavación, botada de material, llenos en arenilla  y todo lo necesario para su correcta ejecución. </v>
          </cell>
          <cell r="D245" t="str">
            <v>ml</v>
          </cell>
          <cell r="E245">
            <v>460</v>
          </cell>
          <cell r="F245">
            <v>259081</v>
          </cell>
        </row>
        <row r="246">
          <cell r="B246">
            <v>22</v>
          </cell>
          <cell r="C246" t="str">
            <v xml:space="preserve">Suministro, Montaje y puesta  en operación de: Cruce de via con canalización en PVC tipo DB de 1Ø 3"  . Incluye , excavación, botada de material, atracada, llenos en arenilla  y todo lo necesario para su correcta ejecución. </v>
          </cell>
          <cell r="D246" t="str">
            <v>ml</v>
          </cell>
          <cell r="E246">
            <v>115</v>
          </cell>
          <cell r="F246">
            <v>107843</v>
          </cell>
        </row>
        <row r="247">
          <cell r="B247">
            <v>23</v>
          </cell>
          <cell r="C247" t="str">
            <v>Suministro, Montaje y puesta  en operación de: Linea canalizada secundaria en 2 cables N°1/0+1N°2  Cu-THHN/THWN.</v>
          </cell>
          <cell r="D247" t="str">
            <v>ml</v>
          </cell>
          <cell r="E247">
            <v>575</v>
          </cell>
          <cell r="F247">
            <v>81062</v>
          </cell>
        </row>
        <row r="248">
          <cell r="B248">
            <v>24</v>
          </cell>
          <cell r="C248" t="str">
            <v>Suministro, Montaje y Puesta en Operación de:Acometida monofásica secundaria en (2N°4+1N°6) Cu-THHN/THWN en PVC de 11/2" incluye excavación,botada de material y todo lo necesario para su correcta ejecución.</v>
          </cell>
          <cell r="D248" t="str">
            <v>ml</v>
          </cell>
          <cell r="E248">
            <v>90</v>
          </cell>
          <cell r="F248">
            <v>66087</v>
          </cell>
        </row>
        <row r="249">
          <cell r="B249">
            <v>25</v>
          </cell>
          <cell r="C249" t="str">
            <v>Suministro, Montaje y Puesta en Operación de: Acometida monofásica domiciliaria en (2N°8+1N°10) Cu-THHN/THWN en PVC de 1" incluye conectorización, excavación,botada de material y todo lo necesario para su correcta ejecución.</v>
          </cell>
          <cell r="D249" t="str">
            <v>ml</v>
          </cell>
          <cell r="E249">
            <v>1800</v>
          </cell>
          <cell r="F249">
            <v>316643</v>
          </cell>
        </row>
        <row r="250">
          <cell r="B250">
            <v>26</v>
          </cell>
          <cell r="C250" t="str">
            <v>Suministro, Montaje y Puesta en Operación de:Traslado de transformador monofásico existente según norma RA3-026.</v>
          </cell>
          <cell r="D250" t="str">
            <v>un</v>
          </cell>
          <cell r="E250">
            <v>3</v>
          </cell>
          <cell r="F250">
            <v>236993</v>
          </cell>
        </row>
        <row r="251">
          <cell r="B251">
            <v>27</v>
          </cell>
          <cell r="C251" t="str">
            <v>Retiro y reintegro a Empresas Publicas de Medellín de posteria de concreto de 12 mts incluye las respectivas vestidas y vientos.</v>
          </cell>
          <cell r="D251" t="str">
            <v>un</v>
          </cell>
          <cell r="E251">
            <v>6</v>
          </cell>
          <cell r="F251">
            <v>169493</v>
          </cell>
        </row>
        <row r="252">
          <cell r="B252">
            <v>28</v>
          </cell>
          <cell r="C252" t="str">
            <v>Retiro y reintegro a Empresas Publicas de Medellín de posteria de concreto de 8 mts incluye las respectivas vestidas y vientos.</v>
          </cell>
          <cell r="D252" t="str">
            <v>un</v>
          </cell>
          <cell r="E252">
            <v>11</v>
          </cell>
          <cell r="F252">
            <v>6075</v>
          </cell>
        </row>
        <row r="253">
          <cell r="B253">
            <v>29</v>
          </cell>
          <cell r="C253" t="str">
            <v>Retiro y reintegro de red primaria doble circuito existente Incluye espaciadores y remaches.</v>
          </cell>
          <cell r="D253" t="str">
            <v>ml</v>
          </cell>
          <cell r="E253">
            <v>825</v>
          </cell>
          <cell r="F253">
            <v>6075</v>
          </cell>
        </row>
        <row r="254">
          <cell r="B254">
            <v>30</v>
          </cell>
          <cell r="C254" t="str">
            <v>Retiro y reintegro a Empresas Publicas de Medellín de línea secundaria en cable trenzado.</v>
          </cell>
          <cell r="D254" t="str">
            <v>ml</v>
          </cell>
          <cell r="E254">
            <v>400</v>
          </cell>
          <cell r="F254">
            <v>45293</v>
          </cell>
        </row>
        <row r="255">
          <cell r="B255">
            <v>31</v>
          </cell>
          <cell r="C255" t="str">
            <v>Retiro y reintegro a Empresas Publicas de Medellín de lámparas de alumbrado público.</v>
          </cell>
          <cell r="D255" t="str">
            <v>un</v>
          </cell>
          <cell r="E255">
            <v>20</v>
          </cell>
        </row>
        <row r="257">
          <cell r="B257" t="str">
            <v>TOTAL COSTO DIRECTO</v>
          </cell>
        </row>
        <row r="258">
          <cell r="B258" t="str">
            <v>A.I.U ( % )</v>
          </cell>
        </row>
        <row r="259">
          <cell r="B259" t="str">
            <v>PRECIO UNITARIO TOTAL</v>
          </cell>
        </row>
        <row r="264">
          <cell r="A264" t="str">
            <v>15-01-010</v>
          </cell>
          <cell r="B264">
            <v>1</v>
          </cell>
          <cell r="C264" t="str">
            <v>SUMINISTRO, MONTAJE Y PUESTA EN OPERACION DE: POSTE DE CONCRETO DE 12MT, 1050KGF.</v>
          </cell>
          <cell r="D264" t="str">
            <v>U</v>
          </cell>
          <cell r="E264">
            <v>6</v>
          </cell>
          <cell r="F264">
            <v>1839282</v>
          </cell>
        </row>
        <row r="265">
          <cell r="A265" t="str">
            <v>15-01-020</v>
          </cell>
          <cell r="B265">
            <v>2</v>
          </cell>
          <cell r="C265" t="str">
            <v>SUMINISTRO, MONTAJE Y PUESTA EN OPERACIÓN DE: POSTE DE CONCRETO DE 8MT.</v>
          </cell>
          <cell r="D265" t="str">
            <v>U</v>
          </cell>
          <cell r="E265">
            <v>7</v>
          </cell>
          <cell r="F265">
            <v>375574</v>
          </cell>
        </row>
        <row r="266">
          <cell r="A266" t="str">
            <v>15-01-030</v>
          </cell>
          <cell r="B266">
            <v>3</v>
          </cell>
          <cell r="C266" t="str">
            <v>SUMINISTRO, MONTAJE Y PUESTA EN OPERACION DE: GRUPO DE NORMA RA6-001.</v>
          </cell>
          <cell r="D266" t="str">
            <v>U</v>
          </cell>
          <cell r="E266">
            <v>6</v>
          </cell>
          <cell r="F266">
            <v>446044</v>
          </cell>
        </row>
        <row r="267">
          <cell r="A267" t="str">
            <v>15-01-040</v>
          </cell>
          <cell r="B267">
            <v>4</v>
          </cell>
          <cell r="C267" t="str">
            <v>SUMINISTRO, MONTAJE Y PUESTA EN OPERACION DE: GRUPO DE NORMA RA6-002.</v>
          </cell>
          <cell r="D267" t="str">
            <v>U</v>
          </cell>
          <cell r="E267">
            <v>3</v>
          </cell>
          <cell r="F267">
            <v>1347574</v>
          </cell>
        </row>
        <row r="268">
          <cell r="A268" t="str">
            <v>15-01-050</v>
          </cell>
          <cell r="B268">
            <v>5</v>
          </cell>
          <cell r="C268" t="str">
            <v>SUMINISTRO, MONTAJE Y PUESTA EN OPERACION DE: GRUPO DE NORMA RA6-003.</v>
          </cell>
          <cell r="D268" t="str">
            <v>U</v>
          </cell>
          <cell r="E268">
            <v>1</v>
          </cell>
          <cell r="F268">
            <v>1571351</v>
          </cell>
        </row>
        <row r="269">
          <cell r="A269" t="str">
            <v>15-01-060</v>
          </cell>
          <cell r="B269">
            <v>6</v>
          </cell>
          <cell r="C269" t="str">
            <v>SUMINISTRO, MONTAJE Y PUESTA EN OPERACION DE: GRUPO DE NORMA RA2-343.</v>
          </cell>
          <cell r="D269" t="str">
            <v>U</v>
          </cell>
          <cell r="E269">
            <v>2</v>
          </cell>
          <cell r="F269">
            <v>1783061</v>
          </cell>
        </row>
        <row r="270">
          <cell r="A270" t="str">
            <v>15-01-070</v>
          </cell>
          <cell r="B270">
            <v>7</v>
          </cell>
          <cell r="C270" t="str">
            <v>SUMINISTRO, MONTAJE Y PUESTA EN OPERACION DE: GRUPO DE NORMA RA2-344.</v>
          </cell>
          <cell r="D270" t="str">
            <v>U</v>
          </cell>
          <cell r="E270">
            <v>2</v>
          </cell>
          <cell r="F270">
            <v>339190</v>
          </cell>
        </row>
        <row r="271">
          <cell r="A271" t="str">
            <v>15-01-080</v>
          </cell>
          <cell r="B271">
            <v>8</v>
          </cell>
          <cell r="C271" t="str">
            <v>SUMINISTRO, MONTAJE Y PUESTA EN OPERACION DE: GRUPO DE NORMA RA2-203.</v>
          </cell>
          <cell r="D271" t="str">
            <v>U</v>
          </cell>
          <cell r="E271">
            <v>2</v>
          </cell>
          <cell r="F271">
            <v>383376</v>
          </cell>
        </row>
        <row r="272">
          <cell r="A272" t="str">
            <v>15-01-090</v>
          </cell>
          <cell r="B272">
            <v>9</v>
          </cell>
          <cell r="C272" t="str">
            <v>SUMINISTRO, MONTAJE Y PUESTA EN OPERACION DE: GRUPO DE NORMA RA2-204.</v>
          </cell>
          <cell r="D272" t="str">
            <v>U</v>
          </cell>
          <cell r="E272">
            <v>1</v>
          </cell>
          <cell r="F272">
            <v>334140</v>
          </cell>
        </row>
        <row r="273">
          <cell r="A273" t="str">
            <v>15-01-100</v>
          </cell>
          <cell r="B273">
            <v>10</v>
          </cell>
          <cell r="C273" t="str">
            <v>SUMINISTRO, MONTAJE Y PUESTA EN OPERACION DE: GRUPO DE NORMA RA2-205.</v>
          </cell>
          <cell r="D273" t="str">
            <v>U</v>
          </cell>
          <cell r="E273">
            <v>2</v>
          </cell>
          <cell r="F273">
            <v>252624</v>
          </cell>
        </row>
        <row r="274">
          <cell r="A274" t="str">
            <v>15-01-110</v>
          </cell>
          <cell r="B274">
            <v>11</v>
          </cell>
          <cell r="C274" t="str">
            <v>SUMINISTRO, MONTAJE Y PUESTA EN OPERACION DE: GRUPO DE NORMA RA2-206.</v>
          </cell>
          <cell r="D274" t="str">
            <v>U</v>
          </cell>
          <cell r="E274">
            <v>1</v>
          </cell>
          <cell r="F274">
            <v>862566</v>
          </cell>
        </row>
        <row r="275">
          <cell r="A275" t="str">
            <v>15-01-120</v>
          </cell>
          <cell r="B275">
            <v>12</v>
          </cell>
          <cell r="C275" t="str">
            <v>SUMINISTRO, MONTAJE Y PUESTA EN OPERACION DE: GRUPO DE NORMA RA2-302.</v>
          </cell>
          <cell r="D275" t="str">
            <v>U</v>
          </cell>
          <cell r="E275">
            <v>3</v>
          </cell>
          <cell r="F275">
            <v>1112627</v>
          </cell>
        </row>
        <row r="276">
          <cell r="A276" t="str">
            <v>15-01-130</v>
          </cell>
          <cell r="B276">
            <v>13</v>
          </cell>
          <cell r="C276" t="str">
            <v>SUMINISTRO, MONTAJE Y PUESTA EN OPERACION DE: GRUPO DE NORMA RA2-303/1.</v>
          </cell>
          <cell r="D276" t="str">
            <v>U</v>
          </cell>
          <cell r="E276">
            <v>1</v>
          </cell>
          <cell r="F276">
            <v>300663</v>
          </cell>
        </row>
        <row r="277">
          <cell r="A277" t="str">
            <v>15-01-140</v>
          </cell>
          <cell r="B277">
            <v>14</v>
          </cell>
          <cell r="C277" t="str">
            <v>SUMINISTRO, MONTAJE Y PUESTA EN OPERACION DE: GRUPO DE NORMA RA6-010.</v>
          </cell>
          <cell r="D277" t="str">
            <v>U</v>
          </cell>
          <cell r="E277">
            <v>7</v>
          </cell>
          <cell r="F277">
            <v>2002243</v>
          </cell>
        </row>
        <row r="278">
          <cell r="A278" t="str">
            <v>15-01-150</v>
          </cell>
          <cell r="B278">
            <v>15</v>
          </cell>
          <cell r="C278" t="str">
            <v>SUMINISTRO, MONTAJE Y PUESTA EN OPERACION DE: GRUPO DE NORMA RA2-017.</v>
          </cell>
          <cell r="D278" t="str">
            <v>U</v>
          </cell>
          <cell r="E278">
            <v>1</v>
          </cell>
          <cell r="F278">
            <v>119726</v>
          </cell>
        </row>
        <row r="279">
          <cell r="A279" t="str">
            <v>15-01-160</v>
          </cell>
          <cell r="B279">
            <v>16</v>
          </cell>
          <cell r="C279" t="str">
            <v>SUMINISTRO, MONTAJE Y PUESTA EN OPERACION DE: LINEA COMPACTA 3X4/0+1N° 1/0AWAC.</v>
          </cell>
          <cell r="D279" t="str">
            <v>M</v>
          </cell>
          <cell r="E279">
            <v>410</v>
          </cell>
          <cell r="F279">
            <v>128204</v>
          </cell>
        </row>
        <row r="280">
          <cell r="A280" t="str">
            <v>15-01-170</v>
          </cell>
          <cell r="B280">
            <v>17</v>
          </cell>
          <cell r="C280" t="str">
            <v>SUMINISTRO, MONTAJE Y PUESTA EN OPERACION DE: LINEA 4X266.8 ACSR CUBIERTO.</v>
          </cell>
          <cell r="D280" t="str">
            <v>M</v>
          </cell>
          <cell r="E280">
            <v>415</v>
          </cell>
          <cell r="F280">
            <v>1095297</v>
          </cell>
        </row>
        <row r="281">
          <cell r="A281" t="str">
            <v>15-01-180</v>
          </cell>
          <cell r="B281">
            <v>18</v>
          </cell>
          <cell r="C281" t="str">
            <v>SUMINISTRO, MONTAJE Y PUESTA EN OPERACION DE: POSTE DE CONCRETO DE 8MT 750 KGF..</v>
          </cell>
          <cell r="D281" t="str">
            <v>U</v>
          </cell>
          <cell r="E281">
            <v>7</v>
          </cell>
          <cell r="F281">
            <v>381156</v>
          </cell>
        </row>
        <row r="282">
          <cell r="A282" t="str">
            <v>15-01-190</v>
          </cell>
          <cell r="B282">
            <v>19</v>
          </cell>
          <cell r="C282" t="str">
            <v>SUMINISTRO, MONTAJE Y PUESTA EN OPERACION DE: CAJAS DE PISO SEGUN NORMA RS3-002 COMPLETAS.</v>
          </cell>
          <cell r="D282" t="str">
            <v>U</v>
          </cell>
          <cell r="E282">
            <v>13</v>
          </cell>
          <cell r="F282">
            <v>310892</v>
          </cell>
        </row>
        <row r="283">
          <cell r="A283" t="str">
            <v>15-01-200</v>
          </cell>
          <cell r="B283">
            <v>20</v>
          </cell>
          <cell r="C283" t="str">
            <v>SUMINISTRO, MONTAJE Y PUESTA EN OPERACION DE: CAJAS DE PISO SEGUN NORMA RS3-003 COMPLETAS.</v>
          </cell>
          <cell r="D283" t="str">
            <v>U</v>
          </cell>
          <cell r="E283">
            <v>12</v>
          </cell>
          <cell r="F283">
            <v>28463</v>
          </cell>
        </row>
        <row r="284">
          <cell r="A284" t="str">
            <v>15-01-210</v>
          </cell>
          <cell r="B284">
            <v>21</v>
          </cell>
          <cell r="C284" t="str">
            <v>SUMINISTRO, MONTAJE Y PUESTA EN OPERACION DE: CANALIZACION EN PVC TIPO DB DE 1Ø 3" . INCLUYE , EXCAVACION, BOTADA DE MATERIAL, LLENOS EN ARENILLA Y TODO LO NECESARIO PARA SU CORRECTA EJECUCION.</v>
          </cell>
          <cell r="D284" t="str">
            <v>M</v>
          </cell>
          <cell r="E284">
            <v>460</v>
          </cell>
          <cell r="F284">
            <v>259081</v>
          </cell>
        </row>
        <row r="285">
          <cell r="A285" t="str">
            <v>15-01-220</v>
          </cell>
          <cell r="B285">
            <v>22</v>
          </cell>
          <cell r="C285" t="str">
            <v>SUMINISTRO, MONTAJE Y PUESTA EN OPERACION DE: CRUCE DE VIA CON CANALIZACION EN PVC TIPO DB DE 1Ø 3" . INCLUYE , EXCAVACION, BOTADA DE MATERIAL, ATRACADA, LLENOS EN ARENILLA Y TODO LO NECESARIO PARA SU CORRECTA EJECUCION.</v>
          </cell>
          <cell r="D285" t="str">
            <v>M</v>
          </cell>
          <cell r="E285">
            <v>115</v>
          </cell>
          <cell r="F285">
            <v>107843</v>
          </cell>
        </row>
        <row r="286">
          <cell r="A286" t="str">
            <v>15-01-230</v>
          </cell>
          <cell r="B286">
            <v>23</v>
          </cell>
          <cell r="C286" t="str">
            <v>SUMINISTRO, MONTAJE Y PUESTA EN OPERACION DE: LINEA CANALIZADA SECUNDARIA EN 2 CABLES N°1/0+1N°2 CU-THHN/THWN.</v>
          </cell>
          <cell r="D286" t="str">
            <v>M</v>
          </cell>
          <cell r="E286">
            <v>575</v>
          </cell>
          <cell r="F286">
            <v>81062</v>
          </cell>
        </row>
        <row r="287">
          <cell r="A287" t="str">
            <v>15-01-240</v>
          </cell>
          <cell r="B287">
            <v>24</v>
          </cell>
          <cell r="C287" t="str">
            <v>SUMINISTRO, MONTAJE Y PUESTA EN OPERACION DE: ACOMETIDA MONOFASICA SECUNDARIA EN (2N°4+1N°6) CU-THHN/THWN EN PVC DE 11/2" INCLUYE EXCAVACION, BOTADA DE MATERIAL Y TODO LO NECESARIO PARA SU CORRECTA EJECUCION.</v>
          </cell>
          <cell r="D287" t="str">
            <v>M</v>
          </cell>
          <cell r="E287">
            <v>90</v>
          </cell>
          <cell r="F287">
            <v>66087</v>
          </cell>
        </row>
        <row r="288">
          <cell r="A288" t="str">
            <v>15-01-250</v>
          </cell>
          <cell r="B288">
            <v>25</v>
          </cell>
          <cell r="C288" t="str">
            <v>SUMINISTRO, MONTAJE Y PUESTA EN OPERACION DE: ACOMETIDA MONOFASICA DOMICILIARIA EN (2N°8+1N°10) CU-THHN/THWN EN PVC DE 1" INCLUYE CONECTORIZACION, EXCAVACION, BOTADA DE MATERIAL Y TODO LO NECESARIO PARA SU CORRECTA EJECUCION.</v>
          </cell>
          <cell r="D288" t="str">
            <v>M</v>
          </cell>
          <cell r="E288">
            <v>1800</v>
          </cell>
          <cell r="F288">
            <v>316643</v>
          </cell>
        </row>
        <row r="289">
          <cell r="A289" t="str">
            <v>15-01-260</v>
          </cell>
          <cell r="B289">
            <v>26</v>
          </cell>
          <cell r="C289" t="str">
            <v>SUMINISTRO, MONTAJE Y PUESTA EN OPERACION DE: TRASLADO DE TRANSFORMADOR MONOFASICO EXISTENTE SEGUN NORMA RA3-026.</v>
          </cell>
          <cell r="D289" t="str">
            <v>U</v>
          </cell>
          <cell r="E289">
            <v>3</v>
          </cell>
          <cell r="F289">
            <v>236993</v>
          </cell>
        </row>
        <row r="290">
          <cell r="A290" t="str">
            <v>15-01-270</v>
          </cell>
          <cell r="B290">
            <v>27</v>
          </cell>
          <cell r="C290" t="str">
            <v>RETIRO Y REINTEGRO A EMPRESAS PUBLICAS DE MEDELLIN DE POSTERIA DE CONCRETO DE 12 MTS INCLUYE LAS RESPECTIVAS VESTIDAS Y VIENTOS.</v>
          </cell>
          <cell r="D290" t="str">
            <v>U</v>
          </cell>
          <cell r="E290">
            <v>6</v>
          </cell>
          <cell r="F290">
            <v>169493</v>
          </cell>
        </row>
        <row r="291">
          <cell r="A291" t="str">
            <v>15-01-280</v>
          </cell>
          <cell r="B291">
            <v>28</v>
          </cell>
          <cell r="C291" t="str">
            <v>RETIRO Y REINTEGRO A EMPRESAS PUBLICAS DE MEDELLIN DE POSTERIA DE CONCRETO DE 8 MTS INCLUYE LAS RESPECTIVAS VESTIDAS Y VIENTOS.</v>
          </cell>
          <cell r="D291" t="str">
            <v>U</v>
          </cell>
          <cell r="E291">
            <v>11</v>
          </cell>
          <cell r="F291">
            <v>6075</v>
          </cell>
        </row>
        <row r="292">
          <cell r="A292" t="str">
            <v>15-01-290</v>
          </cell>
          <cell r="B292">
            <v>29</v>
          </cell>
          <cell r="C292" t="str">
            <v>RETIRO Y REINTEGRO DE RED PRIMARIA DOBLE CIRCUITO EXISTENTE INCLUYE ESPACIADORES Y REMACHES.</v>
          </cell>
          <cell r="D292" t="str">
            <v>M</v>
          </cell>
          <cell r="E292">
            <v>825</v>
          </cell>
          <cell r="F292">
            <v>6075</v>
          </cell>
        </row>
        <row r="293">
          <cell r="A293" t="str">
            <v>15-01-300</v>
          </cell>
          <cell r="B293">
            <v>30</v>
          </cell>
          <cell r="C293" t="str">
            <v>RETIRO Y REINTEGRO A EMPRESAS PUBLICAS DE MEDELLIN DE LINEA SECUNDARIA EN CABLE TRENZADO.</v>
          </cell>
          <cell r="D293" t="str">
            <v>M</v>
          </cell>
          <cell r="E293">
            <v>400</v>
          </cell>
          <cell r="F293">
            <v>45293</v>
          </cell>
        </row>
        <row r="294">
          <cell r="A294" t="str">
            <v>15-01-310</v>
          </cell>
          <cell r="B294">
            <v>31</v>
          </cell>
          <cell r="C294" t="str">
            <v>RETIRO Y REINTEGRO A EMPRESAS PUBLICAS DE MEDELLIN DE LAMPARAS DE ALUMBRADO PUBLICO.</v>
          </cell>
          <cell r="D294" t="str">
            <v>U</v>
          </cell>
          <cell r="E294">
            <v>20</v>
          </cell>
          <cell r="F294">
            <v>0</v>
          </cell>
        </row>
      </sheetData>
      <sheetData sheetId="11" refreshError="1"/>
      <sheetData sheetId="12" refreshError="1">
        <row r="62">
          <cell r="J62">
            <v>0.30353607332880078</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RESUMEN"/>
      <sheetName val="PRESUPUESTO"/>
      <sheetName val="Apu"/>
      <sheetName val="Aux"/>
      <sheetName val="Insumos"/>
      <sheetName val="CO_BENEDICTINOS"/>
      <sheetName val="CO_Acero"/>
      <sheetName val="CO_Pilas"/>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 val="APUS"/>
      <sheetName val="GASTOS GENERALES"/>
      <sheetName val="TENOR DE MATERIALES"/>
      <sheetName val="MEMORIAS DE CANTIDADES"/>
      <sheetName val="CALCULO PRESTACIONES Y SALA "/>
      <sheetName val="CRONOGRAMA"/>
      <sheetName val="1 RIESGOS"/>
      <sheetName val="INDICES CAMACOL"/>
      <sheetName val="4.1 Calculos Operacionales"/>
      <sheetName val="5 FINANCIEROS"/>
      <sheetName val="6.1 Calculo Naturaleza"/>
      <sheetName val="6.2 Calculo Naturaleza"/>
      <sheetName val="7.1 GESTION SOCIAMBIENTAL"/>
      <sheetName val="7.2 PLAN DE MANEJO DE TRANSITO"/>
      <sheetName val="7.3 BIOSEGURIDAD COVID-19"/>
      <sheetName val="Memorias de calculo"/>
    </sheetNames>
    <sheetDataSet>
      <sheetData sheetId="0" refreshError="1"/>
      <sheetData sheetId="1" refreshError="1"/>
      <sheetData sheetId="2" refreshError="1"/>
      <sheetData sheetId="3" refreshError="1">
        <row r="1">
          <cell r="D1">
            <v>0</v>
          </cell>
          <cell r="E1">
            <v>0</v>
          </cell>
          <cell r="F1">
            <v>0</v>
          </cell>
          <cell r="H1">
            <v>0</v>
          </cell>
          <cell r="I1" t="str">
            <v>PRESUPUESTO
ANEXO No.1</v>
          </cell>
          <cell r="J1">
            <v>0</v>
          </cell>
          <cell r="K1">
            <v>0</v>
          </cell>
          <cell r="L1">
            <v>0</v>
          </cell>
          <cell r="M1">
            <v>0</v>
          </cell>
          <cell r="N1">
            <v>0</v>
          </cell>
        </row>
        <row r="2">
          <cell r="D2">
            <v>0</v>
          </cell>
          <cell r="E2">
            <v>0</v>
          </cell>
          <cell r="F2">
            <v>0</v>
          </cell>
          <cell r="H2" t="str">
            <v xml:space="preserve">CÓDIGO CONTRATACION: </v>
          </cell>
          <cell r="I2">
            <v>0</v>
          </cell>
          <cell r="J2">
            <v>0</v>
          </cell>
          <cell r="K2">
            <v>0</v>
          </cell>
          <cell r="L2">
            <v>0</v>
          </cell>
          <cell r="M2">
            <v>0</v>
          </cell>
        </row>
        <row r="3">
          <cell r="D3">
            <v>0</v>
          </cell>
          <cell r="E3" t="str">
            <v>CONSORCIO</v>
          </cell>
          <cell r="F3">
            <v>0</v>
          </cell>
          <cell r="H3" t="str">
            <v>ESTUDIOS Y DISEÑOS DEFINITIVOS PARA EL INTERCAMBIO VIAL LOS BENEDICTINOS DEL MUNICIPIO DE ENVIGADO</v>
          </cell>
          <cell r="I3" t="str">
            <v>MEJORAMIENTO DEL PASAJE PEATONAL EN FRENTE A LA BIBLIOTECA PÚBLICA Y  PARQUE CULTURAL DÉBORA ARANGO CON CONCRETO ESTAMPADO</v>
          </cell>
          <cell r="J3">
            <v>0</v>
          </cell>
          <cell r="K3">
            <v>0</v>
          </cell>
          <cell r="L3">
            <v>0</v>
          </cell>
          <cell r="M3">
            <v>0</v>
          </cell>
        </row>
        <row r="4">
          <cell r="D4">
            <v>0</v>
          </cell>
          <cell r="E4">
            <v>0</v>
          </cell>
          <cell r="F4">
            <v>0</v>
          </cell>
          <cell r="H4">
            <v>0</v>
          </cell>
          <cell r="I4">
            <v>0</v>
          </cell>
          <cell r="J4" t="str">
            <v>BENEDICTINOS</v>
          </cell>
          <cell r="K4">
            <v>0</v>
          </cell>
          <cell r="L4">
            <v>0</v>
          </cell>
          <cell r="M4">
            <v>0</v>
          </cell>
        </row>
        <row r="5">
          <cell r="D5" t="str">
            <v>Ítem</v>
          </cell>
          <cell r="E5" t="str">
            <v>EspecificaciónI: INVIASE: EPMP: Particular</v>
          </cell>
          <cell r="F5" t="str">
            <v xml:space="preserve">VALOR TOTAL </v>
          </cell>
          <cell r="G5" t="str">
            <v>Descripción</v>
          </cell>
          <cell r="H5" t="str">
            <v>Unidad</v>
          </cell>
          <cell r="I5" t="str">
            <v>Vr Unitario</v>
          </cell>
          <cell r="J5" t="str">
            <v>Cant</v>
          </cell>
          <cell r="K5" t="str">
            <v>Vr Parcial</v>
          </cell>
          <cell r="L5" t="str">
            <v>Cantidad Total</v>
          </cell>
          <cell r="M5" t="str">
            <v>Subtotal</v>
          </cell>
          <cell r="N5" t="str">
            <v>Vr Capitulo</v>
          </cell>
        </row>
        <row r="6">
          <cell r="D6" t="str">
            <v>01</v>
          </cell>
          <cell r="E6">
            <v>0</v>
          </cell>
          <cell r="F6">
            <v>131354678.05074999</v>
          </cell>
          <cell r="G6" t="str">
            <v>PRELIMINARES</v>
          </cell>
          <cell r="H6">
            <v>1</v>
          </cell>
          <cell r="I6">
            <v>0</v>
          </cell>
          <cell r="J6">
            <v>0</v>
          </cell>
          <cell r="K6">
            <v>70936099.469999999</v>
          </cell>
          <cell r="L6">
            <v>0</v>
          </cell>
          <cell r="M6">
            <v>0</v>
          </cell>
          <cell r="N6">
            <v>70936099.469999999</v>
          </cell>
          <cell r="O6">
            <v>8.2751324100835463E-3</v>
          </cell>
          <cell r="P6">
            <v>2</v>
          </cell>
          <cell r="Q6">
            <v>0</v>
          </cell>
        </row>
        <row r="7">
          <cell r="D7" t="str">
            <v>01-01</v>
          </cell>
          <cell r="E7">
            <v>703500</v>
          </cell>
          <cell r="F7">
            <v>703500</v>
          </cell>
          <cell r="G7" t="str">
            <v>INSTALACIONES PROVISIONALES</v>
          </cell>
          <cell r="H7" t="str">
            <v>1.1</v>
          </cell>
          <cell r="I7">
            <v>0</v>
          </cell>
          <cell r="J7">
            <v>0</v>
          </cell>
          <cell r="K7">
            <v>58998660</v>
          </cell>
          <cell r="L7">
            <v>0</v>
          </cell>
          <cell r="M7">
            <v>58998660</v>
          </cell>
          <cell r="N7">
            <v>0</v>
          </cell>
          <cell r="O7">
            <v>0</v>
          </cell>
          <cell r="P7">
            <v>5</v>
          </cell>
          <cell r="Q7">
            <v>0</v>
          </cell>
        </row>
        <row r="8">
          <cell r="D8" t="str">
            <v>01-01-010</v>
          </cell>
          <cell r="E8" t="str">
            <v>P-001</v>
          </cell>
          <cell r="F8">
            <v>4042890</v>
          </cell>
          <cell r="G8" t="str">
            <v>CERRAMIENTO PROVISIONAL EN TELA DE CERRAMIENTO VERDE H: 2.10 M. INCLUYE ESTRUCTURA DE MADERA COMUN, ANCLAJES DE PARALES AL PISO Y TELA VERDE</v>
          </cell>
          <cell r="H8" t="str">
            <v>M</v>
          </cell>
          <cell r="I8">
            <v>14482.56</v>
          </cell>
          <cell r="J8">
            <v>2406.25</v>
          </cell>
          <cell r="K8">
            <v>34848660</v>
          </cell>
          <cell r="L8">
            <v>2406.25</v>
          </cell>
          <cell r="M8">
            <v>34848660</v>
          </cell>
          <cell r="N8">
            <v>0</v>
          </cell>
          <cell r="O8">
            <v>0</v>
          </cell>
          <cell r="P8">
            <v>9</v>
          </cell>
          <cell r="Q8">
            <v>0</v>
          </cell>
        </row>
        <row r="9">
          <cell r="D9" t="str">
            <v>01-01-020</v>
          </cell>
          <cell r="E9" t="str">
            <v>E-101</v>
          </cell>
          <cell r="F9">
            <v>312600</v>
          </cell>
          <cell r="G9" t="str">
            <v>CAMPAMENTOS, ALMACENES Y OFICINAS. INCLUYE TODO LO NECESARIO PARA SU CORRECTO FUNCIONAMIENTO</v>
          </cell>
          <cell r="H9" t="str">
            <v>MES</v>
          </cell>
          <cell r="I9">
            <v>1500000</v>
          </cell>
          <cell r="J9">
            <v>16.099999999999998</v>
          </cell>
          <cell r="K9">
            <v>24149999.999999996</v>
          </cell>
          <cell r="L9">
            <v>16.099999999999998</v>
          </cell>
          <cell r="M9">
            <v>24149999.999999996</v>
          </cell>
          <cell r="N9">
            <v>0</v>
          </cell>
          <cell r="O9">
            <v>0</v>
          </cell>
          <cell r="P9">
            <v>9</v>
          </cell>
          <cell r="Q9">
            <v>0</v>
          </cell>
        </row>
        <row r="10">
          <cell r="D10" t="str">
            <v>01-02</v>
          </cell>
          <cell r="E10">
            <v>54812.5</v>
          </cell>
          <cell r="F10">
            <v>7081774.9999999991</v>
          </cell>
          <cell r="G10" t="str">
            <v>LOCALIZACION Y REPLANTEO</v>
          </cell>
          <cell r="H10" t="str">
            <v>1.4</v>
          </cell>
          <cell r="I10">
            <v>0</v>
          </cell>
          <cell r="J10">
            <v>0</v>
          </cell>
          <cell r="K10">
            <v>11937439.470000001</v>
          </cell>
          <cell r="L10">
            <v>0</v>
          </cell>
          <cell r="M10">
            <v>11937439.470000001</v>
          </cell>
          <cell r="N10">
            <v>0</v>
          </cell>
          <cell r="O10">
            <v>0</v>
          </cell>
          <cell r="P10">
            <v>5</v>
          </cell>
          <cell r="Q10">
            <v>0</v>
          </cell>
        </row>
        <row r="11">
          <cell r="D11" t="str">
            <v>01-02-010</v>
          </cell>
          <cell r="E11" t="str">
            <v>E-104</v>
          </cell>
          <cell r="F11">
            <v>7439688</v>
          </cell>
          <cell r="G11" t="str">
            <v>LOCALIZACION, TRAZADO Y REPLANTEO. INCLUYE HILADEROS Y SEÑALIZACION NECESARIA</v>
          </cell>
          <cell r="H11" t="str">
            <v>DIA</v>
          </cell>
          <cell r="I11">
            <v>723481.18</v>
          </cell>
          <cell r="J11">
            <v>16.5</v>
          </cell>
          <cell r="K11">
            <v>11937439.470000001</v>
          </cell>
          <cell r="L11">
            <v>16.5</v>
          </cell>
          <cell r="M11">
            <v>11937439.470000001</v>
          </cell>
          <cell r="N11">
            <v>0</v>
          </cell>
          <cell r="O11">
            <v>0</v>
          </cell>
          <cell r="P11">
            <v>9</v>
          </cell>
          <cell r="Q11">
            <v>0</v>
          </cell>
        </row>
        <row r="12">
          <cell r="D12" t="str">
            <v>02</v>
          </cell>
          <cell r="E12">
            <v>75196.139999999985</v>
          </cell>
          <cell r="F12">
            <v>9715341.2879999969</v>
          </cell>
          <cell r="G12" t="str">
            <v>RETIROS Y DEMOLICIONES</v>
          </cell>
          <cell r="H12" t="str">
            <v>1.6</v>
          </cell>
          <cell r="I12">
            <v>0</v>
          </cell>
          <cell r="J12">
            <v>0</v>
          </cell>
          <cell r="K12">
            <v>154315901.83976001</v>
          </cell>
          <cell r="L12">
            <v>0</v>
          </cell>
          <cell r="M12">
            <v>0</v>
          </cell>
          <cell r="N12">
            <v>154315901.83976001</v>
          </cell>
          <cell r="O12">
            <v>1.8001899318491936E-2</v>
          </cell>
          <cell r="P12">
            <v>2</v>
          </cell>
          <cell r="Q12">
            <v>0</v>
          </cell>
        </row>
        <row r="13">
          <cell r="D13" t="str">
            <v>02-01</v>
          </cell>
          <cell r="E13">
            <v>264664.092</v>
          </cell>
          <cell r="F13">
            <v>29782650.27276</v>
          </cell>
          <cell r="G13" t="str">
            <v>RETIROS Y TRASLADOS</v>
          </cell>
          <cell r="H13">
            <v>0</v>
          </cell>
          <cell r="I13">
            <v>0</v>
          </cell>
          <cell r="J13">
            <v>0</v>
          </cell>
          <cell r="K13">
            <v>2998936.73</v>
          </cell>
          <cell r="L13">
            <v>0</v>
          </cell>
          <cell r="M13">
            <v>2998936.73</v>
          </cell>
          <cell r="N13">
            <v>0</v>
          </cell>
          <cell r="O13">
            <v>0</v>
          </cell>
          <cell r="P13">
            <v>5</v>
          </cell>
          <cell r="Q13">
            <v>0</v>
          </cell>
        </row>
        <row r="14">
          <cell r="D14" t="str">
            <v>02-01-010</v>
          </cell>
          <cell r="E14" t="str">
            <v>E-105.6</v>
          </cell>
          <cell r="F14">
            <v>2046192</v>
          </cell>
          <cell r="G14" t="str">
            <v>PROVISION PARA TRASLADO DE OTRAS ESTRUCTURAS EXISTENTES. INCLUYE TRANSPORTE INTERNO, CARGUE Y DISPOSICION FINAL DE MATERIAL SOBRANTE EN BOTADERO OFICIAL</v>
          </cell>
          <cell r="H14" t="str">
            <v>U</v>
          </cell>
          <cell r="I14">
            <v>2998936.73</v>
          </cell>
          <cell r="J14">
            <v>1</v>
          </cell>
          <cell r="K14">
            <v>2998936.73</v>
          </cell>
          <cell r="L14">
            <v>1</v>
          </cell>
          <cell r="M14">
            <v>2998936.73</v>
          </cell>
          <cell r="N14">
            <v>0</v>
          </cell>
          <cell r="O14">
            <v>0</v>
          </cell>
          <cell r="P14">
            <v>9</v>
          </cell>
          <cell r="Q14">
            <v>0</v>
          </cell>
        </row>
        <row r="15">
          <cell r="D15" t="str">
            <v>02-02</v>
          </cell>
          <cell r="E15">
            <v>250448.31</v>
          </cell>
          <cell r="F15">
            <v>17005440.249000002</v>
          </cell>
          <cell r="G15" t="str">
            <v>DEMOLICIONES</v>
          </cell>
          <cell r="H15" t="str">
            <v>1.9</v>
          </cell>
          <cell r="I15">
            <v>0</v>
          </cell>
          <cell r="J15">
            <v>0</v>
          </cell>
          <cell r="K15">
            <v>151316965.10975999</v>
          </cell>
          <cell r="L15">
            <v>0</v>
          </cell>
          <cell r="M15">
            <v>151316965.10975999</v>
          </cell>
          <cell r="N15">
            <v>0</v>
          </cell>
          <cell r="O15">
            <v>0</v>
          </cell>
          <cell r="P15">
            <v>5</v>
          </cell>
          <cell r="Q15">
            <v>0</v>
          </cell>
        </row>
        <row r="16">
          <cell r="D16" t="str">
            <v>02-02-020</v>
          </cell>
          <cell r="E16" t="str">
            <v>E-105.2</v>
          </cell>
          <cell r="F16">
            <v>23022879.334000003</v>
          </cell>
          <cell r="G16" t="str">
            <v>DEMOLICION DE ANDENES, ZONAS VERDES, MUROS Y CUALQUIER OTRO ELEMENTO EXISTENTE ENTERRADO O SUPERFICIAL, MEDIDO EN SITIO COMO AREA COMPRENDIDA ENTRE EL PARAMENTO DE LAS EDIFICACIONES Y EL BORDE DEL PAVIMENTO ACTUAL. INCLUYE TRANSPORTE INTERNO, CARGUE Y DISPOSICION FINAL DE MATERIAL SOBRANTE EN BOTADERO OFICIAL.</v>
          </cell>
          <cell r="H16" t="str">
            <v>M2</v>
          </cell>
          <cell r="I16">
            <v>18590.879999999997</v>
          </cell>
          <cell r="J16">
            <v>1929.5039999999997</v>
          </cell>
          <cell r="K16">
            <v>35871177.32351999</v>
          </cell>
          <cell r="L16">
            <v>1929.5039999999997</v>
          </cell>
          <cell r="M16">
            <v>35871177.32351999</v>
          </cell>
          <cell r="N16">
            <v>0</v>
          </cell>
          <cell r="O16">
            <v>0</v>
          </cell>
          <cell r="P16">
            <v>9</v>
          </cell>
          <cell r="Q16">
            <v>0</v>
          </cell>
        </row>
        <row r="17">
          <cell r="D17" t="str">
            <v>02-02-030</v>
          </cell>
          <cell r="E17" t="str">
            <v>E-105.5</v>
          </cell>
          <cell r="F17">
            <v>3266347.2</v>
          </cell>
          <cell r="G17" t="str">
            <v>DEMOLICION MANUAL Y/O MECANICA DE VIVIENDAS EXISTENTES MEDIDO EN SITIO COMO AREA CONSTRUIDA POR NIVELES. INCLUYE TRANSPORTE INTERNO, CARGUE Y DISPOSICION FINAL DE MATERIAL SOBRANTE EN BOTADERO OFICIAL.</v>
          </cell>
          <cell r="H17" t="str">
            <v>M2</v>
          </cell>
          <cell r="I17">
            <v>40738.22</v>
          </cell>
          <cell r="J17">
            <v>799.2912</v>
          </cell>
          <cell r="K17">
            <v>32561700.749664001</v>
          </cell>
          <cell r="L17">
            <v>799.2912</v>
          </cell>
          <cell r="M17">
            <v>32561700.749664001</v>
          </cell>
          <cell r="N17">
            <v>0</v>
          </cell>
          <cell r="O17">
            <v>0</v>
          </cell>
          <cell r="P17">
            <v>9</v>
          </cell>
          <cell r="Q17">
            <v>0</v>
          </cell>
        </row>
        <row r="18">
          <cell r="D18" t="str">
            <v>02-02-040</v>
          </cell>
          <cell r="E18" t="str">
            <v>E-201</v>
          </cell>
          <cell r="F18">
            <v>5999198</v>
          </cell>
          <cell r="G18" t="str">
            <v>DEMOLICION DE MUROS EN CONCRETO REFORZADO EXISTENTES MEDIDO EN SITIO. INCLUYE TRANSPORTE INTERNO, CARGUE, TRANSPORTE Y BOTADA DE MATERIAL SOBRANTE EN BOTADEROS OFICIALES</v>
          </cell>
          <cell r="H18" t="str">
            <v>M3</v>
          </cell>
          <cell r="I18">
            <v>133875.41000000003</v>
          </cell>
          <cell r="J18">
            <v>619.11360000000002</v>
          </cell>
          <cell r="K18">
            <v>82884087.036576018</v>
          </cell>
          <cell r="L18">
            <v>619.11360000000002</v>
          </cell>
          <cell r="M18">
            <v>82884087.036576018</v>
          </cell>
          <cell r="N18">
            <v>0</v>
          </cell>
          <cell r="O18">
            <v>0</v>
          </cell>
          <cell r="P18">
            <v>9</v>
          </cell>
          <cell r="Q18">
            <v>0</v>
          </cell>
        </row>
        <row r="19">
          <cell r="D19" t="str">
            <v>03</v>
          </cell>
          <cell r="E19">
            <v>1100</v>
          </cell>
          <cell r="F19">
            <v>1148400</v>
          </cell>
          <cell r="G19" t="str">
            <v>MOVIMIENTOS DE TIERRA</v>
          </cell>
          <cell r="H19" t="str">
            <v>1.13</v>
          </cell>
          <cell r="I19">
            <v>0</v>
          </cell>
          <cell r="J19">
            <v>0</v>
          </cell>
          <cell r="K19">
            <v>1511416381.2662551</v>
          </cell>
          <cell r="L19">
            <v>0</v>
          </cell>
          <cell r="M19">
            <v>0</v>
          </cell>
          <cell r="N19">
            <v>1511416381.2662551</v>
          </cell>
          <cell r="O19">
            <v>0.17631601927925369</v>
          </cell>
          <cell r="P19">
            <v>2</v>
          </cell>
          <cell r="Q19">
            <v>0</v>
          </cell>
        </row>
        <row r="20">
          <cell r="D20" t="str">
            <v>03-01</v>
          </cell>
          <cell r="E20">
            <v>2520</v>
          </cell>
          <cell r="F20">
            <v>2630880</v>
          </cell>
          <cell r="G20" t="str">
            <v>CORTES</v>
          </cell>
          <cell r="H20" t="str">
            <v>1.14</v>
          </cell>
          <cell r="I20">
            <v>0</v>
          </cell>
          <cell r="J20">
            <v>0</v>
          </cell>
          <cell r="K20">
            <v>1030027989.9215406</v>
          </cell>
          <cell r="L20">
            <v>0</v>
          </cell>
          <cell r="M20">
            <v>1030027989.9215406</v>
          </cell>
          <cell r="N20">
            <v>0</v>
          </cell>
          <cell r="O20">
            <v>0</v>
          </cell>
          <cell r="P20">
            <v>5</v>
          </cell>
          <cell r="Q20">
            <v>0</v>
          </cell>
        </row>
        <row r="21">
          <cell r="D21" t="str">
            <v>03-01-210</v>
          </cell>
          <cell r="E21" t="str">
            <v>E-201</v>
          </cell>
          <cell r="F21">
            <v>2630880</v>
          </cell>
          <cell r="G21" t="str">
            <v>EXCAVACION MANUAL O MECANICA EN TIERRA BAJO CUALQUIER GRADO DE HUMEDAD. INCLUYE ACARREO INTERNO, CARGUE, TRANSPORTE Y DISPOSICION FINAL DEL MATERIAL SOBRANTE EN BOTADEROS OFICIALES. MEDIDO EN SITIO</v>
          </cell>
          <cell r="H21" t="str">
            <v>M3</v>
          </cell>
          <cell r="I21">
            <v>52735.839999999997</v>
          </cell>
          <cell r="J21">
            <v>10184.820312000002</v>
          </cell>
          <cell r="K21">
            <v>537105054.40238214</v>
          </cell>
          <cell r="L21">
            <v>10184.820312000002</v>
          </cell>
          <cell r="M21">
            <v>537105054.40238214</v>
          </cell>
          <cell r="N21">
            <v>0</v>
          </cell>
          <cell r="O21">
            <v>0</v>
          </cell>
          <cell r="P21">
            <v>9</v>
          </cell>
        </row>
        <row r="22">
          <cell r="D22" t="str">
            <v>03-01-300</v>
          </cell>
          <cell r="E22" t="str">
            <v>I-621.1</v>
          </cell>
          <cell r="F22">
            <v>4756452</v>
          </cell>
          <cell r="G22" t="str">
            <v>EXCAVACION MANUAL DE PILAS. INCLUYE VACIADO DE ANILLOS DE ENTIBADO, CARGUE, TRANSPORTE Y DISPOSICION FINAL DEL MATERIAL SOBRANTE EN BOTADEROS OFICIALES.</v>
          </cell>
          <cell r="H22" t="str">
            <v>M3</v>
          </cell>
          <cell r="I22">
            <v>324733.12000000005</v>
          </cell>
          <cell r="J22">
            <v>573.40349113320895</v>
          </cell>
          <cell r="K22">
            <v>186203104.6945793</v>
          </cell>
          <cell r="L22">
            <v>573.40349113320895</v>
          </cell>
          <cell r="M22">
            <v>186203104.6945793</v>
          </cell>
          <cell r="N22">
            <v>0</v>
          </cell>
          <cell r="O22">
            <v>0</v>
          </cell>
          <cell r="P22">
            <v>9</v>
          </cell>
        </row>
        <row r="23">
          <cell r="D23" t="str">
            <v>03-01-310</v>
          </cell>
          <cell r="E23" t="str">
            <v>E-201</v>
          </cell>
          <cell r="F23">
            <v>923622.30349999992</v>
          </cell>
          <cell r="G23" t="str">
            <v>EXCAVACION MANUAL DE CAISSONS. INCLUYE VACIADO DE ANILLOS DE ENTIBADO, CARGUE, TRANSPORTE Y DISPOSICION FINAL DEL MATERIAL SOBRANTE EN BOTADEROS OFICIALES.</v>
          </cell>
          <cell r="H23" t="str">
            <v>M3</v>
          </cell>
          <cell r="I23">
            <v>269466.28999999998</v>
          </cell>
          <cell r="J23">
            <v>294.5243112740431</v>
          </cell>
          <cell r="K23">
            <v>79364373.473821566</v>
          </cell>
          <cell r="L23">
            <v>294.5243112740431</v>
          </cell>
          <cell r="M23">
            <v>79364373.473821566</v>
          </cell>
          <cell r="N23">
            <v>0</v>
          </cell>
          <cell r="O23">
            <v>0</v>
          </cell>
          <cell r="P23">
            <v>9</v>
          </cell>
        </row>
        <row r="24">
          <cell r="D24" t="str">
            <v>03-01-400</v>
          </cell>
          <cell r="E24" t="str">
            <v>E-107.2</v>
          </cell>
          <cell r="F24">
            <v>594672.80349999992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242816.16000000003</v>
          </cell>
          <cell r="J24">
            <v>936.32753829381693</v>
          </cell>
          <cell r="K24">
            <v>227355457.3507576</v>
          </cell>
          <cell r="L24">
            <v>936.32753829381693</v>
          </cell>
          <cell r="M24">
            <v>227355457.3507576</v>
          </cell>
          <cell r="N24">
            <v>0</v>
          </cell>
          <cell r="O24">
            <v>0</v>
          </cell>
          <cell r="P24">
            <v>9</v>
          </cell>
        </row>
        <row r="25">
          <cell r="D25" t="str">
            <v>03-02</v>
          </cell>
          <cell r="E25">
            <v>45338.823529411762</v>
          </cell>
          <cell r="F25">
            <v>770760</v>
          </cell>
          <cell r="G25" t="str">
            <v>LLENOS</v>
          </cell>
          <cell r="H25" t="str">
            <v>AI (25%)</v>
          </cell>
          <cell r="I25">
            <v>0</v>
          </cell>
          <cell r="J25">
            <v>0</v>
          </cell>
          <cell r="K25">
            <v>407376032.10077763</v>
          </cell>
          <cell r="L25">
            <v>0</v>
          </cell>
          <cell r="M25">
            <v>407376032.10077763</v>
          </cell>
          <cell r="N25">
            <v>0</v>
          </cell>
          <cell r="O25">
            <v>0</v>
          </cell>
          <cell r="P25">
            <v>5</v>
          </cell>
        </row>
        <row r="26">
          <cell r="D26" t="str">
            <v>03-02-010</v>
          </cell>
          <cell r="E26" t="str">
            <v>E-204</v>
          </cell>
          <cell r="F26">
            <v>1480509.6</v>
          </cell>
          <cell r="G26" t="str">
            <v>LLENOS COMPACTADOS EN ARENILLA ALREDEDOR DE ESTRUCTURAS. INCLUYE SUMINISTRO, TRANSPORTE INTERNO Y COMPACTACION.</v>
          </cell>
          <cell r="H26" t="str">
            <v>M3</v>
          </cell>
          <cell r="I26">
            <v>72634.73000000001</v>
          </cell>
          <cell r="J26">
            <v>5608.5571199999995</v>
          </cell>
          <cell r="K26">
            <v>407376032.10077763</v>
          </cell>
          <cell r="L26">
            <v>5608.5571199999995</v>
          </cell>
          <cell r="M26">
            <v>407376032.10077763</v>
          </cell>
          <cell r="N26">
            <v>0</v>
          </cell>
          <cell r="O26">
            <v>0</v>
          </cell>
          <cell r="P26">
            <v>9</v>
          </cell>
        </row>
        <row r="27">
          <cell r="D27" t="str">
            <v>03-04</v>
          </cell>
          <cell r="E27">
            <v>352941.17647000001</v>
          </cell>
          <cell r="F27">
            <v>5999999.9999900004</v>
          </cell>
          <cell r="G27" t="str">
            <v>FILTROS</v>
          </cell>
          <cell r="I27">
            <v>0</v>
          </cell>
          <cell r="J27">
            <v>0</v>
          </cell>
          <cell r="K27">
            <v>74012359.243937001</v>
          </cell>
          <cell r="L27">
            <v>0</v>
          </cell>
          <cell r="M27">
            <v>74012359.243937001</v>
          </cell>
          <cell r="N27">
            <v>0</v>
          </cell>
          <cell r="O27">
            <v>0</v>
          </cell>
          <cell r="P27">
            <v>5</v>
          </cell>
        </row>
        <row r="28">
          <cell r="D28" t="str">
            <v>03-04-010</v>
          </cell>
          <cell r="E28" t="str">
            <v>E-404</v>
          </cell>
          <cell r="F28">
            <v>9600000</v>
          </cell>
          <cell r="G28" t="str">
            <v>CAMA DE TRITURADO</v>
          </cell>
          <cell r="H28" t="str">
            <v>M3</v>
          </cell>
          <cell r="I28">
            <v>77402.890000000014</v>
          </cell>
          <cell r="J28">
            <v>14.609100000000002</v>
          </cell>
          <cell r="K28">
            <v>1130786.5602990002</v>
          </cell>
          <cell r="L28">
            <v>14.609100000000002</v>
          </cell>
          <cell r="M28">
            <v>1130786.5602990002</v>
          </cell>
          <cell r="N28">
            <v>0</v>
          </cell>
          <cell r="O28">
            <v>0</v>
          </cell>
          <cell r="P28">
            <v>9</v>
          </cell>
        </row>
        <row r="29">
          <cell r="D29" t="str">
            <v>03-04-020</v>
          </cell>
          <cell r="E29" t="str">
            <v>E-405</v>
          </cell>
          <cell r="F29">
            <v>9600000</v>
          </cell>
          <cell r="G29" t="str">
            <v>MATERIAL GRANULAR PARA FILTRO 1" A 1-1/2"</v>
          </cell>
          <cell r="H29" t="str">
            <v>M3</v>
          </cell>
          <cell r="I29">
            <v>75952.890000000014</v>
          </cell>
          <cell r="J29">
            <v>34.661200000000001</v>
          </cell>
          <cell r="K29">
            <v>2632618.3108680006</v>
          </cell>
          <cell r="L29">
            <v>34.661200000000001</v>
          </cell>
          <cell r="M29">
            <v>2632618.3108680006</v>
          </cell>
          <cell r="N29">
            <v>0</v>
          </cell>
          <cell r="O29">
            <v>0</v>
          </cell>
          <cell r="P29">
            <v>9</v>
          </cell>
        </row>
        <row r="30">
          <cell r="D30" t="str">
            <v>03-04-030</v>
          </cell>
          <cell r="E30" t="str">
            <v>E-405</v>
          </cell>
          <cell r="F30">
            <v>3243337.25</v>
          </cell>
          <cell r="G30" t="str">
            <v>GEOTEXTIL</v>
          </cell>
          <cell r="H30" t="str">
            <v>M2</v>
          </cell>
          <cell r="I30">
            <v>8819.5499999999993</v>
          </cell>
          <cell r="J30">
            <v>1333.0613999999998</v>
          </cell>
          <cell r="K30">
            <v>11757001.670369998</v>
          </cell>
          <cell r="L30">
            <v>1333.0613999999998</v>
          </cell>
          <cell r="M30">
            <v>11757001.670369998</v>
          </cell>
          <cell r="N30">
            <v>0</v>
          </cell>
          <cell r="O30">
            <v>0</v>
          </cell>
          <cell r="P30">
            <v>9</v>
          </cell>
        </row>
        <row r="31">
          <cell r="D31" t="str">
            <v>03-04-040</v>
          </cell>
          <cell r="E31" t="str">
            <v>E-405</v>
          </cell>
          <cell r="F31">
            <v>1057274.75</v>
          </cell>
          <cell r="G31" t="str">
            <v>TUBERIA PERFORADA PARA FILTRO Ø4"</v>
          </cell>
          <cell r="H31" t="str">
            <v>M</v>
          </cell>
          <cell r="I31">
            <v>30159.08</v>
          </cell>
          <cell r="J31">
            <v>605.04</v>
          </cell>
          <cell r="K31">
            <v>18247449.7632</v>
          </cell>
          <cell r="L31">
            <v>605.04</v>
          </cell>
          <cell r="M31">
            <v>18247449.7632</v>
          </cell>
          <cell r="N31">
            <v>0</v>
          </cell>
          <cell r="O31">
            <v>0</v>
          </cell>
          <cell r="P31">
            <v>9</v>
          </cell>
        </row>
        <row r="32">
          <cell r="D32" t="str">
            <v>03-04-045</v>
          </cell>
          <cell r="E32" t="str">
            <v>E-405</v>
          </cell>
          <cell r="F32">
            <v>672000</v>
          </cell>
          <cell r="G32" t="str">
            <v>TUBERIA PVC Ø2" PERFORADA PARA LLORADEROS</v>
          </cell>
          <cell r="H32" t="str">
            <v>M</v>
          </cell>
          <cell r="I32">
            <v>88681.16</v>
          </cell>
          <cell r="J32">
            <v>19</v>
          </cell>
          <cell r="K32">
            <v>1684942.04</v>
          </cell>
          <cell r="L32">
            <v>19</v>
          </cell>
          <cell r="M32">
            <v>1684942.04</v>
          </cell>
          <cell r="N32">
            <v>0</v>
          </cell>
          <cell r="O32">
            <v>0</v>
          </cell>
          <cell r="P32">
            <v>9</v>
          </cell>
        </row>
        <row r="33">
          <cell r="D33" t="str">
            <v>03-04-067</v>
          </cell>
          <cell r="E33" t="str">
            <v>E-401</v>
          </cell>
          <cell r="F33">
            <v>1514062.5</v>
          </cell>
          <cell r="G33" t="str">
            <v>GEODREN VIAL PAVCO, TB 100 MM 2.0 M O EQUIVALENTE</v>
          </cell>
          <cell r="H33" t="str">
            <v>M</v>
          </cell>
          <cell r="I33">
            <v>65742.960000000006</v>
          </cell>
          <cell r="J33">
            <v>586.52</v>
          </cell>
          <cell r="K33">
            <v>38559560.8992</v>
          </cell>
          <cell r="L33">
            <v>586.52</v>
          </cell>
          <cell r="M33">
            <v>38559560.8992</v>
          </cell>
          <cell r="N33">
            <v>0</v>
          </cell>
          <cell r="O33">
            <v>0</v>
          </cell>
          <cell r="P33">
            <v>9</v>
          </cell>
        </row>
        <row r="34">
          <cell r="D34" t="str">
            <v>04</v>
          </cell>
          <cell r="E34">
            <v>0</v>
          </cell>
          <cell r="F34">
            <v>144198015.30074999</v>
          </cell>
          <cell r="G34" t="str">
            <v>CONCRETOS ESTRUCTURALES</v>
          </cell>
          <cell r="H34">
            <v>0</v>
          </cell>
          <cell r="I34">
            <v>0</v>
          </cell>
          <cell r="J34">
            <v>0</v>
          </cell>
          <cell r="K34">
            <v>2174787997.253283</v>
          </cell>
          <cell r="L34">
            <v>0</v>
          </cell>
          <cell r="M34">
            <v>0</v>
          </cell>
          <cell r="N34">
            <v>2174787997.253283</v>
          </cell>
          <cell r="O34">
            <v>0.25370239942136091</v>
          </cell>
          <cell r="P34">
            <v>2</v>
          </cell>
        </row>
        <row r="35">
          <cell r="D35" t="str">
            <v>04-02</v>
          </cell>
          <cell r="E35">
            <v>0</v>
          </cell>
          <cell r="F35">
            <v>34053135.400000006</v>
          </cell>
          <cell r="G35" t="str">
            <v>MUROS DE CONTENCION</v>
          </cell>
          <cell r="H35">
            <v>0</v>
          </cell>
          <cell r="I35">
            <v>0</v>
          </cell>
          <cell r="J35">
            <v>0</v>
          </cell>
          <cell r="K35">
            <v>842125248.38757157</v>
          </cell>
          <cell r="L35">
            <v>0</v>
          </cell>
          <cell r="M35">
            <v>842125248.38757157</v>
          </cell>
          <cell r="N35">
            <v>0</v>
          </cell>
          <cell r="O35">
            <v>0</v>
          </cell>
          <cell r="P35">
            <v>5</v>
          </cell>
        </row>
        <row r="36">
          <cell r="D36" t="str">
            <v>04-02-010</v>
          </cell>
          <cell r="E36" t="str">
            <v>E-503</v>
          </cell>
          <cell r="F36">
            <v>178251150.70074999</v>
          </cell>
          <cell r="G36" t="str">
            <v>CONCRETO F'C 21 MPa PARA MUROS DE CONTENCION</v>
          </cell>
          <cell r="H36" t="str">
            <v>M3</v>
          </cell>
          <cell r="I36">
            <v>620845.82999999984</v>
          </cell>
          <cell r="J36">
            <v>1356.4160500000005</v>
          </cell>
          <cell r="K36">
            <v>842125248.38757157</v>
          </cell>
          <cell r="L36">
            <v>1356.4160500000005</v>
          </cell>
          <cell r="M36">
            <v>842125248.38757157</v>
          </cell>
          <cell r="N36">
            <v>0</v>
          </cell>
          <cell r="O36">
            <v>0</v>
          </cell>
          <cell r="P36">
            <v>9</v>
          </cell>
        </row>
        <row r="37">
          <cell r="D37" t="str">
            <v>04-04</v>
          </cell>
          <cell r="G37" t="str">
            <v>BOX CULVERT</v>
          </cell>
          <cell r="I37">
            <v>0</v>
          </cell>
          <cell r="J37">
            <v>0</v>
          </cell>
          <cell r="K37">
            <v>73309215.982558683</v>
          </cell>
          <cell r="L37">
            <v>0</v>
          </cell>
          <cell r="M37">
            <v>73309215.982558683</v>
          </cell>
          <cell r="N37">
            <v>0</v>
          </cell>
          <cell r="O37">
            <v>0</v>
          </cell>
          <cell r="P37">
            <v>5</v>
          </cell>
        </row>
        <row r="38">
          <cell r="D38" t="str">
            <v>04-04-010</v>
          </cell>
          <cell r="E38" t="str">
            <v>E-503</v>
          </cell>
          <cell r="G38" t="str">
            <v>CONCRETO F'C 28 MPa PARA BOX CULVERT</v>
          </cell>
          <cell r="H38" t="str">
            <v>M3</v>
          </cell>
          <cell r="I38">
            <v>648962.0299999998</v>
          </cell>
          <cell r="J38">
            <v>47.091440000000006</v>
          </cell>
          <cell r="K38">
            <v>30560556.498023193</v>
          </cell>
          <cell r="L38">
            <v>47.091440000000006</v>
          </cell>
          <cell r="M38">
            <v>30560556.498023193</v>
          </cell>
          <cell r="N38">
            <v>0</v>
          </cell>
          <cell r="O38">
            <v>0</v>
          </cell>
          <cell r="P38">
            <v>9</v>
          </cell>
        </row>
        <row r="39">
          <cell r="D39" t="str">
            <v>04-04-080</v>
          </cell>
          <cell r="E39" t="str">
            <v>E-503</v>
          </cell>
          <cell r="F39">
            <v>0</v>
          </cell>
          <cell r="G39" t="str">
            <v>CONCRETO F'C 21 MPa PARA ALETA DE CONFINAMIENTO</v>
          </cell>
          <cell r="H39" t="str">
            <v>M3</v>
          </cell>
          <cell r="I39">
            <v>536064.57999999996</v>
          </cell>
          <cell r="J39">
            <v>79.745353600000001</v>
          </cell>
          <cell r="K39">
            <v>42748659.484535486</v>
          </cell>
          <cell r="L39">
            <v>79.745353600000001</v>
          </cell>
          <cell r="M39">
            <v>42748659.484535486</v>
          </cell>
          <cell r="N39">
            <v>0</v>
          </cell>
          <cell r="O39">
            <v>0</v>
          </cell>
          <cell r="P39">
            <v>9</v>
          </cell>
        </row>
        <row r="40">
          <cell r="D40" t="str">
            <v>04-05</v>
          </cell>
          <cell r="G40" t="str">
            <v>PUENTES</v>
          </cell>
          <cell r="I40">
            <v>0</v>
          </cell>
          <cell r="J40">
            <v>0</v>
          </cell>
          <cell r="K40">
            <v>1240237211.0561621</v>
          </cell>
          <cell r="L40">
            <v>0</v>
          </cell>
          <cell r="M40">
            <v>1240237211.0561621</v>
          </cell>
          <cell r="N40">
            <v>0</v>
          </cell>
          <cell r="O40">
            <v>0</v>
          </cell>
          <cell r="P40">
            <v>5</v>
          </cell>
        </row>
        <row r="41">
          <cell r="D41" t="str">
            <v>04-05-015</v>
          </cell>
          <cell r="E41" t="str">
            <v>I-621.1</v>
          </cell>
          <cell r="G41" t="str">
            <v>CONCRETO F'C 21 MPa PARA PILOTES</v>
          </cell>
          <cell r="H41" t="str">
            <v>M3</v>
          </cell>
          <cell r="I41">
            <v>403811.98</v>
          </cell>
          <cell r="J41">
            <v>336.39671479814933</v>
          </cell>
          <cell r="K41">
            <v>135841023.46813598</v>
          </cell>
          <cell r="L41">
            <v>336.39671479814933</v>
          </cell>
          <cell r="M41">
            <v>135841023.46813598</v>
          </cell>
          <cell r="N41">
            <v>0</v>
          </cell>
          <cell r="O41">
            <v>0</v>
          </cell>
          <cell r="P41">
            <v>9</v>
          </cell>
        </row>
        <row r="42">
          <cell r="D42" t="str">
            <v>04-05-017</v>
          </cell>
          <cell r="E42" t="str">
            <v>I-621.1</v>
          </cell>
          <cell r="G42" t="str">
            <v>CONCRETO F'C 21 MPa PARA CAISSONS</v>
          </cell>
          <cell r="H42" t="str">
            <v>M3</v>
          </cell>
          <cell r="I42">
            <v>612424.76</v>
          </cell>
          <cell r="J42">
            <v>161.11752171714863</v>
          </cell>
          <cell r="K42">
            <v>98672359.569419548</v>
          </cell>
          <cell r="L42">
            <v>161.11752171714863</v>
          </cell>
          <cell r="M42">
            <v>98672359.569419548</v>
          </cell>
          <cell r="N42">
            <v>0</v>
          </cell>
          <cell r="O42">
            <v>0</v>
          </cell>
          <cell r="P42">
            <v>9</v>
          </cell>
        </row>
        <row r="43">
          <cell r="D43" t="str">
            <v>04-05-100</v>
          </cell>
          <cell r="E43" t="str">
            <v>E-503</v>
          </cell>
          <cell r="G43" t="str">
            <v>CONCRETO F'C 21 MPa PARA ESTRIBOS</v>
          </cell>
          <cell r="H43" t="str">
            <v>M3</v>
          </cell>
          <cell r="I43">
            <v>513353.69</v>
          </cell>
          <cell r="J43">
            <v>20.307797399999995</v>
          </cell>
          <cell r="K43">
            <v>10425082.731062403</v>
          </cell>
          <cell r="L43">
            <v>20.307797399999995</v>
          </cell>
          <cell r="M43">
            <v>10425082.731062403</v>
          </cell>
          <cell r="N43">
            <v>0</v>
          </cell>
          <cell r="O43">
            <v>0</v>
          </cell>
          <cell r="P43">
            <v>9</v>
          </cell>
        </row>
        <row r="44">
          <cell r="D44" t="str">
            <v>04-05-130</v>
          </cell>
          <cell r="E44" t="str">
            <v>E-503</v>
          </cell>
          <cell r="G44" t="str">
            <v>CONCRETO F'C 21 MPa PARA VIGA CABEZAL</v>
          </cell>
          <cell r="H44" t="str">
            <v>M3</v>
          </cell>
          <cell r="I44">
            <v>507719.78000000009</v>
          </cell>
          <cell r="J44">
            <v>2.8797999999999999</v>
          </cell>
          <cell r="K44">
            <v>1462131.4224440001</v>
          </cell>
          <cell r="L44">
            <v>2.8797999999999999</v>
          </cell>
          <cell r="M44">
            <v>1462131.4224440001</v>
          </cell>
          <cell r="N44">
            <v>0</v>
          </cell>
          <cell r="O44">
            <v>0</v>
          </cell>
          <cell r="P44">
            <v>9</v>
          </cell>
        </row>
        <row r="45">
          <cell r="D45" t="str">
            <v>04-05-190</v>
          </cell>
          <cell r="E45" t="str">
            <v>E-502</v>
          </cell>
          <cell r="G45" t="str">
            <v>CONCRETO F'C 28 MPa PARA ZAPATAS</v>
          </cell>
          <cell r="H45" t="str">
            <v>M3</v>
          </cell>
          <cell r="I45">
            <v>510046.96</v>
          </cell>
          <cell r="J45">
            <v>152.46000000000004</v>
          </cell>
          <cell r="K45">
            <v>77761759.521600023</v>
          </cell>
          <cell r="L45">
            <v>152.46000000000004</v>
          </cell>
          <cell r="M45">
            <v>77761759.521600023</v>
          </cell>
          <cell r="N45">
            <v>0</v>
          </cell>
          <cell r="O45">
            <v>0</v>
          </cell>
          <cell r="P45">
            <v>9</v>
          </cell>
        </row>
        <row r="46">
          <cell r="D46" t="str">
            <v>04-05-200</v>
          </cell>
          <cell r="E46" t="str">
            <v>E-502</v>
          </cell>
          <cell r="G46" t="str">
            <v>CONCRETO F'C 35 MPa PARA ZAPATAS</v>
          </cell>
          <cell r="H46" t="str">
            <v>M3</v>
          </cell>
          <cell r="I46">
            <v>545915.84000000008</v>
          </cell>
          <cell r="J46">
            <v>15.972000000000001</v>
          </cell>
          <cell r="K46">
            <v>8719367.7964800019</v>
          </cell>
          <cell r="L46">
            <v>15.972000000000001</v>
          </cell>
          <cell r="M46">
            <v>8719367.7964800019</v>
          </cell>
          <cell r="N46">
            <v>0</v>
          </cell>
          <cell r="O46">
            <v>0</v>
          </cell>
          <cell r="P46">
            <v>9</v>
          </cell>
        </row>
        <row r="47">
          <cell r="D47" t="str">
            <v>04-05-210</v>
          </cell>
          <cell r="E47" t="str">
            <v>E-503</v>
          </cell>
          <cell r="G47" t="str">
            <v>CONCRETO F'C 28 MPa PARA COLUMNAS</v>
          </cell>
          <cell r="H47" t="str">
            <v>M3</v>
          </cell>
          <cell r="I47">
            <v>838373.19</v>
          </cell>
          <cell r="J47">
            <v>46.084499999999998</v>
          </cell>
          <cell r="K47">
            <v>38636009.274554998</v>
          </cell>
          <cell r="L47">
            <v>46.084499999999998</v>
          </cell>
          <cell r="M47">
            <v>38636009.274554998</v>
          </cell>
          <cell r="N47">
            <v>0</v>
          </cell>
          <cell r="O47">
            <v>0</v>
          </cell>
          <cell r="P47">
            <v>9</v>
          </cell>
        </row>
        <row r="48">
          <cell r="D48" t="str">
            <v>04-05-220</v>
          </cell>
          <cell r="E48" t="str">
            <v>E-503</v>
          </cell>
          <cell r="G48" t="str">
            <v>CONCRETO F'C 42 MPa PARA COLUMNAS</v>
          </cell>
          <cell r="H48" t="str">
            <v>M3</v>
          </cell>
          <cell r="I48">
            <v>917969.49</v>
          </cell>
          <cell r="J48">
            <v>17.671500000000002</v>
          </cell>
          <cell r="K48">
            <v>16221897.842535002</v>
          </cell>
          <cell r="L48">
            <v>17.671500000000002</v>
          </cell>
          <cell r="M48">
            <v>16221897.842535002</v>
          </cell>
          <cell r="N48">
            <v>0</v>
          </cell>
          <cell r="O48">
            <v>0</v>
          </cell>
          <cell r="P48">
            <v>9</v>
          </cell>
        </row>
        <row r="49">
          <cell r="D49" t="str">
            <v>04-05-230</v>
          </cell>
          <cell r="E49" t="str">
            <v>E-503</v>
          </cell>
          <cell r="G49" t="str">
            <v>CONCRETO F'C 35 MPa PARA TABLEROS</v>
          </cell>
          <cell r="H49" t="str">
            <v>M3</v>
          </cell>
          <cell r="I49">
            <v>1442646.68</v>
          </cell>
          <cell r="J49">
            <v>568.77602100000013</v>
          </cell>
          <cell r="K49">
            <v>820542838.35926044</v>
          </cell>
          <cell r="L49">
            <v>568.77602100000013</v>
          </cell>
          <cell r="M49">
            <v>820542838.35926044</v>
          </cell>
          <cell r="N49">
            <v>0</v>
          </cell>
          <cell r="O49">
            <v>0</v>
          </cell>
          <cell r="P49">
            <v>9</v>
          </cell>
        </row>
        <row r="50">
          <cell r="D50" t="str">
            <v>04-05-240</v>
          </cell>
          <cell r="E50" t="str">
            <v>E-503</v>
          </cell>
          <cell r="G50" t="str">
            <v>CONCRETO F'C 21 MPa PARA BARRERA TIPO NEW JERSEY</v>
          </cell>
          <cell r="H50" t="str">
            <v>M3</v>
          </cell>
          <cell r="I50">
            <v>605771.34000000008</v>
          </cell>
          <cell r="J50">
            <v>52.750500000000002</v>
          </cell>
          <cell r="K50">
            <v>31954741.070670005</v>
          </cell>
          <cell r="L50">
            <v>52.750500000000002</v>
          </cell>
          <cell r="M50">
            <v>31954741.070670005</v>
          </cell>
          <cell r="N50">
            <v>0</v>
          </cell>
          <cell r="O50">
            <v>0</v>
          </cell>
          <cell r="P50">
            <v>9</v>
          </cell>
        </row>
        <row r="51">
          <cell r="D51" t="str">
            <v>04-10</v>
          </cell>
          <cell r="G51" t="str">
            <v>ACCESORIOS</v>
          </cell>
          <cell r="I51">
            <v>0</v>
          </cell>
          <cell r="J51">
            <v>0</v>
          </cell>
          <cell r="K51">
            <v>19116321.826990001</v>
          </cell>
          <cell r="L51">
            <v>0</v>
          </cell>
          <cell r="M51">
            <v>19116321.826990001</v>
          </cell>
          <cell r="N51">
            <v>0</v>
          </cell>
          <cell r="O51">
            <v>0</v>
          </cell>
          <cell r="P51">
            <v>5</v>
          </cell>
        </row>
        <row r="52">
          <cell r="D52" t="str">
            <v>04-10-010</v>
          </cell>
          <cell r="E52" t="str">
            <v>E-507</v>
          </cell>
          <cell r="G52" t="str">
            <v>CINTA PVC DE 15 CM PARA JUNTAS DE EXPANSION</v>
          </cell>
          <cell r="H52" t="str">
            <v>M</v>
          </cell>
          <cell r="I52">
            <v>33701.410000000003</v>
          </cell>
          <cell r="J52">
            <v>173.23900000000003</v>
          </cell>
          <cell r="K52">
            <v>5838398.5669900021</v>
          </cell>
          <cell r="L52">
            <v>173.23900000000003</v>
          </cell>
          <cell r="M52">
            <v>5838398.5669900021</v>
          </cell>
          <cell r="N52">
            <v>0</v>
          </cell>
          <cell r="O52">
            <v>0</v>
          </cell>
          <cell r="P52">
            <v>9</v>
          </cell>
        </row>
        <row r="53">
          <cell r="D53" t="str">
            <v>04-10-027</v>
          </cell>
          <cell r="E53" t="str">
            <v>I-642</v>
          </cell>
          <cell r="G53" t="str">
            <v>NEOPRENO DUREZA 60 55X50X10 CON 3 PLATINAS DE 1/8"</v>
          </cell>
          <cell r="H53" t="str">
            <v>U</v>
          </cell>
          <cell r="I53">
            <v>912661.8</v>
          </cell>
          <cell r="J53">
            <v>14</v>
          </cell>
          <cell r="K53">
            <v>12777265.200000001</v>
          </cell>
          <cell r="L53">
            <v>14</v>
          </cell>
          <cell r="M53">
            <v>12777265.200000001</v>
          </cell>
          <cell r="N53">
            <v>0</v>
          </cell>
          <cell r="O53">
            <v>0</v>
          </cell>
          <cell r="P53">
            <v>9</v>
          </cell>
        </row>
        <row r="54">
          <cell r="D54" t="str">
            <v>04-10-030</v>
          </cell>
          <cell r="E54" t="str">
            <v>I-642</v>
          </cell>
          <cell r="G54" t="str">
            <v>NEOPRENO 0.25X0.60X0.01</v>
          </cell>
          <cell r="H54" t="str">
            <v>U</v>
          </cell>
          <cell r="I54">
            <v>35761.289999999994</v>
          </cell>
          <cell r="J54">
            <v>14</v>
          </cell>
          <cell r="K54">
            <v>500658.05999999994</v>
          </cell>
          <cell r="L54">
            <v>14</v>
          </cell>
          <cell r="M54">
            <v>500658.05999999994</v>
          </cell>
          <cell r="N54">
            <v>0</v>
          </cell>
          <cell r="O54">
            <v>0</v>
          </cell>
          <cell r="P54">
            <v>9</v>
          </cell>
        </row>
        <row r="55">
          <cell r="D55" t="str">
            <v>05</v>
          </cell>
          <cell r="G55" t="str">
            <v>ACERO DE REFUERZO</v>
          </cell>
          <cell r="I55">
            <v>0</v>
          </cell>
          <cell r="J55">
            <v>0</v>
          </cell>
          <cell r="K55">
            <v>849149901.00547922</v>
          </cell>
          <cell r="L55">
            <v>0</v>
          </cell>
          <cell r="M55">
            <v>0</v>
          </cell>
          <cell r="N55">
            <v>849149901.00547922</v>
          </cell>
          <cell r="O55">
            <v>9.9058560018533762E-2</v>
          </cell>
          <cell r="P55">
            <v>2</v>
          </cell>
        </row>
        <row r="56">
          <cell r="D56" t="str">
            <v>05-01</v>
          </cell>
          <cell r="G56" t="str">
            <v>ACERO DE REFUERZO PARA ESTRUCTURAS</v>
          </cell>
          <cell r="I56">
            <v>0</v>
          </cell>
          <cell r="J56">
            <v>0</v>
          </cell>
          <cell r="K56">
            <v>849149901.00547922</v>
          </cell>
          <cell r="L56">
            <v>0</v>
          </cell>
          <cell r="M56">
            <v>849149901.00547922</v>
          </cell>
          <cell r="N56">
            <v>0</v>
          </cell>
          <cell r="O56">
            <v>0</v>
          </cell>
          <cell r="P56">
            <v>5</v>
          </cell>
        </row>
        <row r="57">
          <cell r="D57" t="str">
            <v>05-01-010</v>
          </cell>
          <cell r="E57" t="str">
            <v>I-640.1</v>
          </cell>
          <cell r="G57" t="str">
            <v>ACERO CORRUGADO FY 4200 MPA</v>
          </cell>
          <cell r="H57" t="str">
            <v>KG</v>
          </cell>
          <cell r="I57">
            <v>2641.34</v>
          </cell>
          <cell r="J57">
            <v>258078.65122655893</v>
          </cell>
          <cell r="K57">
            <v>681673464.63075924</v>
          </cell>
          <cell r="L57">
            <v>258078.65122655893</v>
          </cell>
          <cell r="M57">
            <v>681673464.63075924</v>
          </cell>
          <cell r="N57">
            <v>0</v>
          </cell>
          <cell r="O57">
            <v>0</v>
          </cell>
          <cell r="P57">
            <v>9</v>
          </cell>
        </row>
        <row r="58">
          <cell r="D58" t="str">
            <v>05-01-040</v>
          </cell>
          <cell r="E58" t="str">
            <v>I-640.1</v>
          </cell>
          <cell r="G58" t="str">
            <v>PELDAÑOS PARA CAMARAS DE INSPECCION</v>
          </cell>
          <cell r="H58" t="str">
            <v>U</v>
          </cell>
          <cell r="I58">
            <v>32888.850000000006</v>
          </cell>
          <cell r="J58">
            <v>308</v>
          </cell>
          <cell r="K58">
            <v>10129765.800000003</v>
          </cell>
          <cell r="L58">
            <v>308</v>
          </cell>
          <cell r="M58">
            <v>10129765.800000003</v>
          </cell>
          <cell r="N58">
            <v>0</v>
          </cell>
          <cell r="O58">
            <v>0</v>
          </cell>
          <cell r="P58">
            <v>9</v>
          </cell>
        </row>
        <row r="59">
          <cell r="D59" t="str">
            <v>05-01-050</v>
          </cell>
          <cell r="E59" t="str">
            <v>I-641</v>
          </cell>
          <cell r="G59" t="str">
            <v>ACERO POSTENSADO TORON Ø=0.6"</v>
          </cell>
          <cell r="H59" t="str">
            <v>M</v>
          </cell>
          <cell r="I59">
            <v>13608</v>
          </cell>
          <cell r="J59">
            <v>11553.696000000002</v>
          </cell>
          <cell r="K59">
            <v>157222695.16800001</v>
          </cell>
          <cell r="L59">
            <v>11553.696000000002</v>
          </cell>
          <cell r="M59">
            <v>157222695.16800001</v>
          </cell>
          <cell r="N59">
            <v>0</v>
          </cell>
          <cell r="O59">
            <v>0</v>
          </cell>
          <cell r="P59">
            <v>9</v>
          </cell>
        </row>
        <row r="60">
          <cell r="D60" t="str">
            <v>05-01-060</v>
          </cell>
          <cell r="E60" t="str">
            <v>E-602</v>
          </cell>
          <cell r="G60" t="str">
            <v>MALLA ELECTROSOLDADA D50</v>
          </cell>
          <cell r="H60" t="str">
            <v>KG</v>
          </cell>
          <cell r="I60">
            <v>2984.77</v>
          </cell>
          <cell r="J60">
            <v>41.536000000000001</v>
          </cell>
          <cell r="K60">
            <v>123975.40672</v>
          </cell>
          <cell r="L60">
            <v>41.536000000000001</v>
          </cell>
          <cell r="M60">
            <v>123975.40672</v>
          </cell>
          <cell r="N60">
            <v>0</v>
          </cell>
          <cell r="O60">
            <v>0</v>
          </cell>
          <cell r="P60">
            <v>9</v>
          </cell>
        </row>
        <row r="61">
          <cell r="D61" t="str">
            <v>11</v>
          </cell>
          <cell r="G61" t="str">
            <v>CARPINTERIA METALICA</v>
          </cell>
          <cell r="I61">
            <v>0</v>
          </cell>
          <cell r="J61">
            <v>0</v>
          </cell>
          <cell r="K61">
            <v>180870163.45200002</v>
          </cell>
          <cell r="L61">
            <v>0</v>
          </cell>
          <cell r="M61">
            <v>0</v>
          </cell>
          <cell r="N61">
            <v>180870163.45200002</v>
          </cell>
          <cell r="O61">
            <v>2.1099617300380923E-2</v>
          </cell>
          <cell r="P61">
            <v>2</v>
          </cell>
        </row>
        <row r="62">
          <cell r="D62" t="str">
            <v>11-03</v>
          </cell>
          <cell r="G62" t="str">
            <v>BARANDAS Y DEFENSAS</v>
          </cell>
          <cell r="I62">
            <v>0</v>
          </cell>
          <cell r="J62">
            <v>0</v>
          </cell>
          <cell r="K62">
            <v>180870163.45200002</v>
          </cell>
          <cell r="L62">
            <v>0</v>
          </cell>
          <cell r="M62">
            <v>180870163.45200002</v>
          </cell>
          <cell r="N62">
            <v>0</v>
          </cell>
          <cell r="O62">
            <v>0</v>
          </cell>
          <cell r="P62">
            <v>5</v>
          </cell>
        </row>
        <row r="63">
          <cell r="D63" t="str">
            <v>11-03-020</v>
          </cell>
          <cell r="E63" t="str">
            <v>E-2301</v>
          </cell>
          <cell r="G63" t="str">
            <v>BARANDA METALICA</v>
          </cell>
          <cell r="H63" t="str">
            <v>M</v>
          </cell>
          <cell r="I63">
            <v>324046</v>
          </cell>
          <cell r="J63">
            <v>558.16200000000003</v>
          </cell>
          <cell r="K63">
            <v>180870163.45200002</v>
          </cell>
          <cell r="L63">
            <v>558.16200000000003</v>
          </cell>
          <cell r="M63">
            <v>180870163.45200002</v>
          </cell>
          <cell r="N63">
            <v>0</v>
          </cell>
          <cell r="O63">
            <v>0</v>
          </cell>
          <cell r="P63">
            <v>9</v>
          </cell>
        </row>
        <row r="64">
          <cell r="D64" t="str">
            <v>14</v>
          </cell>
          <cell r="G64" t="str">
            <v>INSTALACIONES HIDROSANITARIAS Y DE GAS</v>
          </cell>
          <cell r="I64">
            <v>0</v>
          </cell>
          <cell r="J64">
            <v>0</v>
          </cell>
          <cell r="K64">
            <v>615720589.26309514</v>
          </cell>
          <cell r="L64">
            <v>0</v>
          </cell>
          <cell r="M64">
            <v>0</v>
          </cell>
          <cell r="N64">
            <v>615720589.26309514</v>
          </cell>
          <cell r="O64">
            <v>7.1827594720253907E-2</v>
          </cell>
          <cell r="P64">
            <v>2</v>
          </cell>
        </row>
        <row r="65">
          <cell r="D65" t="str">
            <v>14-01</v>
          </cell>
          <cell r="G65" t="str">
            <v>OBRAS PRELIMINARES</v>
          </cell>
          <cell r="I65">
            <v>0</v>
          </cell>
          <cell r="J65">
            <v>0</v>
          </cell>
          <cell r="K65">
            <v>2387487.8940000003</v>
          </cell>
          <cell r="L65">
            <v>0</v>
          </cell>
          <cell r="M65">
            <v>2387487.8940000003</v>
          </cell>
          <cell r="N65">
            <v>0</v>
          </cell>
          <cell r="O65">
            <v>0</v>
          </cell>
          <cell r="P65">
            <v>5</v>
          </cell>
        </row>
        <row r="66">
          <cell r="D66" t="str">
            <v>14-01-010</v>
          </cell>
          <cell r="E66" t="str">
            <v>E-104</v>
          </cell>
          <cell r="G66" t="str">
            <v>LOCALIZACION, TRAZADO Y REPLANTEO.</v>
          </cell>
          <cell r="H66" t="str">
            <v>DIA</v>
          </cell>
          <cell r="I66">
            <v>723481.18</v>
          </cell>
          <cell r="J66">
            <v>3.3000000000000003</v>
          </cell>
          <cell r="K66">
            <v>2387487.8940000003</v>
          </cell>
          <cell r="L66">
            <v>3.3000000000000003</v>
          </cell>
          <cell r="M66">
            <v>2387487.8940000003</v>
          </cell>
          <cell r="N66">
            <v>0</v>
          </cell>
          <cell r="O66">
            <v>0</v>
          </cell>
          <cell r="P66">
            <v>9</v>
          </cell>
        </row>
        <row r="67">
          <cell r="D67" t="str">
            <v>14-02</v>
          </cell>
          <cell r="G67" t="str">
            <v>MOVIMIENTO DE TIERRA Y EXCAVACIONES</v>
          </cell>
          <cell r="I67">
            <v>0</v>
          </cell>
          <cell r="J67">
            <v>0</v>
          </cell>
          <cell r="K67">
            <v>182791832.11755061</v>
          </cell>
          <cell r="L67">
            <v>0</v>
          </cell>
          <cell r="M67">
            <v>182791832.11755061</v>
          </cell>
          <cell r="N67">
            <v>0</v>
          </cell>
          <cell r="O67">
            <v>0</v>
          </cell>
          <cell r="P67">
            <v>5</v>
          </cell>
        </row>
        <row r="68">
          <cell r="D68" t="str">
            <v>14-02-010</v>
          </cell>
          <cell r="E68" t="str">
            <v>E-201</v>
          </cell>
          <cell r="G68" t="str">
            <v>EXCAVACION DE 0 A 2 METROS</v>
          </cell>
          <cell r="H68" t="str">
            <v>M3</v>
          </cell>
          <cell r="I68">
            <v>20733.97</v>
          </cell>
          <cell r="J68">
            <v>1836.8127800000002</v>
          </cell>
          <cell r="K68">
            <v>38084421.076136604</v>
          </cell>
          <cell r="L68">
            <v>1836.8127800000002</v>
          </cell>
          <cell r="M68">
            <v>38084421.076136604</v>
          </cell>
          <cell r="N68">
            <v>0</v>
          </cell>
          <cell r="O68">
            <v>0</v>
          </cell>
          <cell r="P68">
            <v>9</v>
          </cell>
        </row>
        <row r="69">
          <cell r="D69" t="str">
            <v>14-02-015</v>
          </cell>
          <cell r="E69" t="str">
            <v>E-201</v>
          </cell>
          <cell r="G69" t="str">
            <v>EXCAVACION DE 2 A 4 METROS</v>
          </cell>
          <cell r="H69" t="str">
            <v>M3</v>
          </cell>
          <cell r="I69">
            <v>52735.839999999997</v>
          </cell>
          <cell r="J69">
            <v>725.53800000000001</v>
          </cell>
          <cell r="K69">
            <v>38261855.881919995</v>
          </cell>
          <cell r="L69">
            <v>725.53800000000001</v>
          </cell>
          <cell r="M69">
            <v>38261855.881919995</v>
          </cell>
          <cell r="N69">
            <v>0</v>
          </cell>
          <cell r="O69">
            <v>0</v>
          </cell>
          <cell r="P69">
            <v>9</v>
          </cell>
        </row>
        <row r="70">
          <cell r="D70" t="str">
            <v>14-02-017</v>
          </cell>
          <cell r="E70" t="str">
            <v>E-201</v>
          </cell>
          <cell r="G70" t="str">
            <v>EXCAVACION DE 4 A 6 METROS</v>
          </cell>
          <cell r="H70" t="str">
            <v>M3</v>
          </cell>
          <cell r="I70">
            <v>60555.96</v>
          </cell>
          <cell r="J70">
            <v>196.87320000000003</v>
          </cell>
          <cell r="K70">
            <v>11921845.624272002</v>
          </cell>
          <cell r="L70">
            <v>196.87320000000003</v>
          </cell>
          <cell r="M70">
            <v>11921845.624272002</v>
          </cell>
          <cell r="N70">
            <v>0</v>
          </cell>
          <cell r="O70">
            <v>0</v>
          </cell>
          <cell r="P70">
            <v>9</v>
          </cell>
        </row>
        <row r="71">
          <cell r="D71" t="str">
            <v>14-02-020</v>
          </cell>
          <cell r="E71" t="str">
            <v>E-205</v>
          </cell>
          <cell r="G71" t="str">
            <v>BOTADA DE MATERIAL SOBRANTE</v>
          </cell>
          <cell r="H71" t="str">
            <v>M3</v>
          </cell>
          <cell r="I71">
            <v>36400</v>
          </cell>
          <cell r="J71">
            <v>931.21395400000029</v>
          </cell>
          <cell r="K71">
            <v>33896187.925600007</v>
          </cell>
          <cell r="L71">
            <v>931.21395400000029</v>
          </cell>
          <cell r="M71">
            <v>33896187.925600007</v>
          </cell>
          <cell r="N71">
            <v>0</v>
          </cell>
          <cell r="O71">
            <v>0</v>
          </cell>
          <cell r="P71">
            <v>9</v>
          </cell>
        </row>
        <row r="72">
          <cell r="D72" t="str">
            <v>14-02-030</v>
          </cell>
          <cell r="E72" t="str">
            <v>E-202</v>
          </cell>
          <cell r="G72" t="str">
            <v>CONSTRUCCION ENTIBADO TEMPORAL</v>
          </cell>
          <cell r="H72" t="str">
            <v>M2</v>
          </cell>
          <cell r="I72">
            <v>18579.810000000001</v>
          </cell>
          <cell r="J72">
            <v>3263.0861999999997</v>
          </cell>
          <cell r="K72">
            <v>60627521.609622002</v>
          </cell>
          <cell r="L72">
            <v>3263.0861999999997</v>
          </cell>
          <cell r="M72">
            <v>60627521.609622002</v>
          </cell>
          <cell r="N72">
            <v>0</v>
          </cell>
          <cell r="O72">
            <v>0</v>
          </cell>
          <cell r="P72">
            <v>9</v>
          </cell>
        </row>
        <row r="73">
          <cell r="D73" t="str">
            <v>14-03</v>
          </cell>
          <cell r="G73" t="str">
            <v>LLENOS Y REEMPLAZOS</v>
          </cell>
          <cell r="I73">
            <v>0</v>
          </cell>
          <cell r="J73">
            <v>0</v>
          </cell>
          <cell r="K73">
            <v>172941488.37396446</v>
          </cell>
          <cell r="L73">
            <v>0</v>
          </cell>
          <cell r="M73">
            <v>172941488.37396446</v>
          </cell>
          <cell r="N73">
            <v>0</v>
          </cell>
          <cell r="O73">
            <v>0</v>
          </cell>
          <cell r="P73">
            <v>5</v>
          </cell>
        </row>
        <row r="74">
          <cell r="D74" t="str">
            <v>14-03-010</v>
          </cell>
          <cell r="E74" t="str">
            <v>E-204</v>
          </cell>
          <cell r="G74" t="str">
            <v>LLENOS EN BASE GRANULAR</v>
          </cell>
          <cell r="H74" t="str">
            <v>M3</v>
          </cell>
          <cell r="I74">
            <v>100681.89</v>
          </cell>
          <cell r="J74">
            <v>264.39655000000005</v>
          </cell>
          <cell r="K74">
            <v>26619944.363479506</v>
          </cell>
          <cell r="L74">
            <v>264.39655000000005</v>
          </cell>
          <cell r="M74">
            <v>26619944.363479506</v>
          </cell>
          <cell r="N74">
            <v>0</v>
          </cell>
          <cell r="O74">
            <v>0</v>
          </cell>
          <cell r="P74">
            <v>9</v>
          </cell>
        </row>
        <row r="75">
          <cell r="D75" t="str">
            <v>14-03-020</v>
          </cell>
          <cell r="E75" t="str">
            <v>E-204</v>
          </cell>
          <cell r="G75" t="str">
            <v>LLENOS EN SUB-BASE GRANULAR</v>
          </cell>
          <cell r="H75" t="str">
            <v>M3</v>
          </cell>
          <cell r="I75">
            <v>88719.39</v>
          </cell>
          <cell r="J75">
            <v>369.45711000000006</v>
          </cell>
          <cell r="K75">
            <v>32778009.430362906</v>
          </cell>
          <cell r="L75">
            <v>369.45711000000006</v>
          </cell>
          <cell r="M75">
            <v>32778009.430362906</v>
          </cell>
          <cell r="N75">
            <v>0</v>
          </cell>
          <cell r="O75">
            <v>0</v>
          </cell>
          <cell r="P75">
            <v>9</v>
          </cell>
        </row>
        <row r="76">
          <cell r="D76" t="str">
            <v>14-03-030</v>
          </cell>
          <cell r="E76" t="str">
            <v>E-204</v>
          </cell>
          <cell r="G76" t="str">
            <v>LLENOS EN ARENILLA</v>
          </cell>
          <cell r="H76" t="str">
            <v>M3</v>
          </cell>
          <cell r="I76">
            <v>72634.73</v>
          </cell>
          <cell r="J76">
            <v>580.90826937582995</v>
          </cell>
          <cell r="K76">
            <v>42194115.300880671</v>
          </cell>
          <cell r="L76">
            <v>580.90826937582995</v>
          </cell>
          <cell r="M76">
            <v>42194115.300880671</v>
          </cell>
          <cell r="N76">
            <v>0</v>
          </cell>
          <cell r="O76">
            <v>0</v>
          </cell>
          <cell r="P76">
            <v>9</v>
          </cell>
        </row>
        <row r="77">
          <cell r="D77" t="str">
            <v>14-03-040</v>
          </cell>
          <cell r="E77" t="str">
            <v>E-204</v>
          </cell>
          <cell r="G77" t="str">
            <v>LLENOS EN MATERIAL SOBRANTE, PROVENIENTE DE LAS EXCAVACIONES</v>
          </cell>
          <cell r="H77" t="str">
            <v>M3</v>
          </cell>
          <cell r="I77">
            <v>29006.05</v>
          </cell>
          <cell r="J77">
            <v>1679.0548499999998</v>
          </cell>
          <cell r="K77">
            <v>48702748.931842491</v>
          </cell>
          <cell r="L77">
            <v>1679.0548499999998</v>
          </cell>
          <cell r="M77">
            <v>48702748.931842491</v>
          </cell>
          <cell r="N77">
            <v>0</v>
          </cell>
          <cell r="O77">
            <v>0</v>
          </cell>
          <cell r="P77">
            <v>9</v>
          </cell>
        </row>
        <row r="78">
          <cell r="D78" t="str">
            <v>14-03-050</v>
          </cell>
          <cell r="E78" t="str">
            <v>E-204</v>
          </cell>
          <cell r="G78" t="str">
            <v>TRITURADO 3/4" PARA CIMENTACION</v>
          </cell>
          <cell r="H78" t="str">
            <v>M3</v>
          </cell>
          <cell r="I78">
            <v>125167.31</v>
          </cell>
          <cell r="J78">
            <v>180.93119000000002</v>
          </cell>
          <cell r="K78">
            <v>22646670.347398903</v>
          </cell>
          <cell r="L78">
            <v>180.93119000000002</v>
          </cell>
          <cell r="M78">
            <v>22646670.347398903</v>
          </cell>
          <cell r="N78">
            <v>0</v>
          </cell>
          <cell r="O78">
            <v>0</v>
          </cell>
          <cell r="P78">
            <v>9</v>
          </cell>
        </row>
        <row r="79">
          <cell r="D79" t="str">
            <v>14-04</v>
          </cell>
          <cell r="G79" t="str">
            <v>ACUEDUCTO - TUBERIA</v>
          </cell>
          <cell r="I79">
            <v>0</v>
          </cell>
          <cell r="J79">
            <v>0</v>
          </cell>
          <cell r="K79">
            <v>36953710.213420004</v>
          </cell>
          <cell r="L79">
            <v>0</v>
          </cell>
          <cell r="M79">
            <v>36953710.213420004</v>
          </cell>
          <cell r="N79">
            <v>0</v>
          </cell>
          <cell r="O79">
            <v>0</v>
          </cell>
          <cell r="P79">
            <v>5</v>
          </cell>
        </row>
        <row r="80">
          <cell r="D80" t="str">
            <v>14-04-010</v>
          </cell>
          <cell r="E80" t="str">
            <v>E-701.3</v>
          </cell>
          <cell r="G80" t="str">
            <v>TUBERIA PVC Ø100 MM RDE 21</v>
          </cell>
          <cell r="H80" t="str">
            <v>M</v>
          </cell>
          <cell r="I80">
            <v>46458.080000000002</v>
          </cell>
          <cell r="J80">
            <v>581.29500000000007</v>
          </cell>
          <cell r="K80">
            <v>27005849.613600004</v>
          </cell>
          <cell r="L80">
            <v>581.29500000000007</v>
          </cell>
          <cell r="M80">
            <v>27005849.613600004</v>
          </cell>
          <cell r="N80">
            <v>0</v>
          </cell>
          <cell r="O80">
            <v>0</v>
          </cell>
          <cell r="P80">
            <v>9</v>
          </cell>
        </row>
        <row r="81">
          <cell r="D81" t="str">
            <v>14-04-020</v>
          </cell>
          <cell r="E81" t="str">
            <v>E-701.3</v>
          </cell>
          <cell r="G81" t="str">
            <v>TUBERIA PVC Ø150 MM RDE 21</v>
          </cell>
          <cell r="H81" t="str">
            <v>M</v>
          </cell>
          <cell r="I81">
            <v>99972.47</v>
          </cell>
          <cell r="J81">
            <v>99.506</v>
          </cell>
          <cell r="K81">
            <v>9947860.5998200011</v>
          </cell>
          <cell r="L81">
            <v>99.506</v>
          </cell>
          <cell r="M81">
            <v>9947860.5998200011</v>
          </cell>
          <cell r="N81">
            <v>0</v>
          </cell>
          <cell r="O81">
            <v>0</v>
          </cell>
          <cell r="P81">
            <v>9</v>
          </cell>
        </row>
        <row r="82">
          <cell r="D82" t="str">
            <v>14-05</v>
          </cell>
          <cell r="G82" t="str">
            <v>ACUEDUCTO - ACCESORIOS</v>
          </cell>
          <cell r="I82">
            <v>0</v>
          </cell>
          <cell r="J82">
            <v>0</v>
          </cell>
          <cell r="K82">
            <v>15914318.93</v>
          </cell>
          <cell r="L82">
            <v>0</v>
          </cell>
          <cell r="M82">
            <v>15914318.93</v>
          </cell>
          <cell r="N82">
            <v>0</v>
          </cell>
          <cell r="O82">
            <v>0</v>
          </cell>
          <cell r="P82">
            <v>5</v>
          </cell>
        </row>
        <row r="83">
          <cell r="D83" t="str">
            <v>14-05-010</v>
          </cell>
          <cell r="E83" t="str">
            <v>E-701.3</v>
          </cell>
          <cell r="G83" t="str">
            <v>TEE PVC Ø150 MM X 150 MM</v>
          </cell>
          <cell r="H83" t="str">
            <v>U</v>
          </cell>
          <cell r="I83">
            <v>482504.93</v>
          </cell>
          <cell r="J83">
            <v>4</v>
          </cell>
          <cell r="K83">
            <v>1930019.72</v>
          </cell>
          <cell r="L83">
            <v>4</v>
          </cell>
          <cell r="M83">
            <v>1930019.72</v>
          </cell>
          <cell r="N83">
            <v>0</v>
          </cell>
          <cell r="O83">
            <v>0</v>
          </cell>
          <cell r="P83">
            <v>9</v>
          </cell>
        </row>
        <row r="84">
          <cell r="D84" t="str">
            <v>14-05-020</v>
          </cell>
          <cell r="E84" t="str">
            <v>E-701.3</v>
          </cell>
          <cell r="G84" t="str">
            <v>TEE PVC Ø150 MM X 100 MM</v>
          </cell>
          <cell r="H84" t="str">
            <v>U</v>
          </cell>
          <cell r="I84">
            <v>388769.51</v>
          </cell>
          <cell r="J84">
            <v>2</v>
          </cell>
          <cell r="K84">
            <v>777539.02</v>
          </cell>
          <cell r="L84">
            <v>2</v>
          </cell>
          <cell r="M84">
            <v>777539.02</v>
          </cell>
          <cell r="N84">
            <v>0</v>
          </cell>
          <cell r="O84">
            <v>0</v>
          </cell>
          <cell r="P84">
            <v>9</v>
          </cell>
        </row>
        <row r="85">
          <cell r="D85" t="str">
            <v>14-05-030</v>
          </cell>
          <cell r="E85" t="str">
            <v>E-701.3</v>
          </cell>
          <cell r="G85" t="str">
            <v>TEE PVC Ø150 MM X 75 MM</v>
          </cell>
          <cell r="H85" t="str">
            <v>U</v>
          </cell>
          <cell r="I85">
            <v>461144.92</v>
          </cell>
          <cell r="J85">
            <v>4</v>
          </cell>
          <cell r="K85">
            <v>1844579.68</v>
          </cell>
          <cell r="L85">
            <v>4</v>
          </cell>
          <cell r="M85">
            <v>1844579.68</v>
          </cell>
          <cell r="N85">
            <v>0</v>
          </cell>
          <cell r="O85">
            <v>0</v>
          </cell>
          <cell r="P85">
            <v>9</v>
          </cell>
        </row>
        <row r="86">
          <cell r="D86" t="str">
            <v>14-05-055</v>
          </cell>
          <cell r="E86" t="str">
            <v>E-701.3</v>
          </cell>
          <cell r="G86" t="str">
            <v>CODO 45° PVC Ø200 MM</v>
          </cell>
          <cell r="H86" t="str">
            <v>U</v>
          </cell>
          <cell r="I86">
            <v>417152.1</v>
          </cell>
          <cell r="J86">
            <v>2</v>
          </cell>
          <cell r="K86">
            <v>834304.2</v>
          </cell>
          <cell r="L86">
            <v>2</v>
          </cell>
          <cell r="M86">
            <v>834304.2</v>
          </cell>
          <cell r="N86">
            <v>0</v>
          </cell>
          <cell r="O86">
            <v>0</v>
          </cell>
          <cell r="P86">
            <v>9</v>
          </cell>
        </row>
        <row r="87">
          <cell r="D87" t="str">
            <v>14-05-060</v>
          </cell>
          <cell r="E87" t="str">
            <v>E-701.3</v>
          </cell>
          <cell r="G87" t="str">
            <v>CODO 90° PVC Ø150 MM</v>
          </cell>
          <cell r="H87" t="str">
            <v>U</v>
          </cell>
          <cell r="I87">
            <v>308401.17</v>
          </cell>
          <cell r="J87">
            <v>4</v>
          </cell>
          <cell r="K87">
            <v>1233604.68</v>
          </cell>
          <cell r="L87">
            <v>4</v>
          </cell>
          <cell r="M87">
            <v>1233604.68</v>
          </cell>
          <cell r="N87">
            <v>0</v>
          </cell>
          <cell r="O87">
            <v>0</v>
          </cell>
          <cell r="P87">
            <v>9</v>
          </cell>
        </row>
        <row r="88">
          <cell r="D88" t="str">
            <v>14-05-065</v>
          </cell>
          <cell r="E88" t="str">
            <v>E-701.3</v>
          </cell>
          <cell r="G88" t="str">
            <v>CODO 45° PVC Ø150 MM</v>
          </cell>
          <cell r="H88" t="str">
            <v>U</v>
          </cell>
          <cell r="I88">
            <v>201145.31</v>
          </cell>
          <cell r="J88">
            <v>5</v>
          </cell>
          <cell r="K88">
            <v>1005726.55</v>
          </cell>
          <cell r="L88">
            <v>5</v>
          </cell>
          <cell r="M88">
            <v>1005726.55</v>
          </cell>
          <cell r="N88">
            <v>0</v>
          </cell>
          <cell r="O88">
            <v>0</v>
          </cell>
          <cell r="P88">
            <v>9</v>
          </cell>
        </row>
        <row r="89">
          <cell r="D89" t="str">
            <v>14-05-070</v>
          </cell>
          <cell r="E89" t="str">
            <v>E-701.3</v>
          </cell>
          <cell r="G89" t="str">
            <v>CODO 22.50° PVC Ø150 MM</v>
          </cell>
          <cell r="H89" t="str">
            <v>U</v>
          </cell>
          <cell r="I89">
            <v>187858.14</v>
          </cell>
          <cell r="J89">
            <v>4</v>
          </cell>
          <cell r="K89">
            <v>751432.56</v>
          </cell>
          <cell r="L89">
            <v>4</v>
          </cell>
          <cell r="M89">
            <v>751432.56</v>
          </cell>
          <cell r="N89">
            <v>0</v>
          </cell>
          <cell r="O89">
            <v>0</v>
          </cell>
          <cell r="P89">
            <v>9</v>
          </cell>
        </row>
        <row r="90">
          <cell r="D90" t="str">
            <v>14-05-080</v>
          </cell>
          <cell r="E90" t="str">
            <v>E-701.3</v>
          </cell>
          <cell r="G90" t="str">
            <v>CODO 11.25° PVC Ø150 MM</v>
          </cell>
          <cell r="H90" t="str">
            <v>U</v>
          </cell>
          <cell r="I90">
            <v>170163.04</v>
          </cell>
          <cell r="J90">
            <v>9</v>
          </cell>
          <cell r="K90">
            <v>1531467.36</v>
          </cell>
          <cell r="L90">
            <v>9</v>
          </cell>
          <cell r="M90">
            <v>1531467.36</v>
          </cell>
          <cell r="N90">
            <v>0</v>
          </cell>
          <cell r="O90">
            <v>0</v>
          </cell>
          <cell r="P90">
            <v>9</v>
          </cell>
        </row>
        <row r="91">
          <cell r="D91" t="str">
            <v>14-05-100</v>
          </cell>
          <cell r="E91" t="str">
            <v>E-703</v>
          </cell>
          <cell r="G91" t="str">
            <v>HIDRANTE Ø75 MM</v>
          </cell>
          <cell r="H91" t="str">
            <v>U</v>
          </cell>
          <cell r="I91">
            <v>4101981.86</v>
          </cell>
          <cell r="J91">
            <v>1</v>
          </cell>
          <cell r="K91">
            <v>4101981.86</v>
          </cell>
          <cell r="L91">
            <v>1</v>
          </cell>
          <cell r="M91">
            <v>4101981.86</v>
          </cell>
          <cell r="N91">
            <v>0</v>
          </cell>
          <cell r="O91">
            <v>0</v>
          </cell>
          <cell r="P91">
            <v>9</v>
          </cell>
        </row>
        <row r="92">
          <cell r="D92" t="str">
            <v>14-05-110</v>
          </cell>
          <cell r="E92" t="str">
            <v>E-701.3</v>
          </cell>
          <cell r="G92" t="str">
            <v>CODO 90° PVC Ø100 MM</v>
          </cell>
          <cell r="H92" t="str">
            <v>U</v>
          </cell>
          <cell r="I92">
            <v>129940.83</v>
          </cell>
          <cell r="J92">
            <v>4</v>
          </cell>
          <cell r="K92">
            <v>519763.32</v>
          </cell>
          <cell r="L92">
            <v>4</v>
          </cell>
          <cell r="M92">
            <v>519763.32</v>
          </cell>
          <cell r="N92">
            <v>0</v>
          </cell>
          <cell r="O92">
            <v>0</v>
          </cell>
          <cell r="P92">
            <v>9</v>
          </cell>
        </row>
        <row r="93">
          <cell r="D93" t="str">
            <v>14-05-140</v>
          </cell>
          <cell r="E93" t="str">
            <v>E-701.3</v>
          </cell>
          <cell r="G93" t="str">
            <v>CODO 11.25° PVC Ø100 MM</v>
          </cell>
          <cell r="H93" t="str">
            <v>U</v>
          </cell>
          <cell r="I93">
            <v>92774.78</v>
          </cell>
          <cell r="J93">
            <v>6</v>
          </cell>
          <cell r="K93">
            <v>556648.67999999993</v>
          </cell>
          <cell r="L93">
            <v>6</v>
          </cell>
          <cell r="M93">
            <v>556648.67999999993</v>
          </cell>
          <cell r="N93">
            <v>0</v>
          </cell>
          <cell r="O93">
            <v>0</v>
          </cell>
          <cell r="P93">
            <v>9</v>
          </cell>
        </row>
        <row r="94">
          <cell r="D94" t="str">
            <v>14-05-180</v>
          </cell>
          <cell r="E94" t="str">
            <v>E-701.3</v>
          </cell>
          <cell r="G94" t="str">
            <v>REDUCCION PVC Ø200 MM X 150 MM</v>
          </cell>
          <cell r="H94" t="str">
            <v>U</v>
          </cell>
          <cell r="I94">
            <v>413625.65</v>
          </cell>
          <cell r="J94">
            <v>2</v>
          </cell>
          <cell r="K94">
            <v>827251.3</v>
          </cell>
          <cell r="L94">
            <v>2</v>
          </cell>
          <cell r="M94">
            <v>827251.3</v>
          </cell>
          <cell r="N94">
            <v>0</v>
          </cell>
          <cell r="O94">
            <v>0</v>
          </cell>
          <cell r="P94">
            <v>9</v>
          </cell>
        </row>
        <row r="95">
          <cell r="D95" t="str">
            <v>14-06</v>
          </cell>
          <cell r="G95" t="str">
            <v>ACUEDUCTO - VALVULAS</v>
          </cell>
          <cell r="I95">
            <v>0</v>
          </cell>
          <cell r="J95">
            <v>0</v>
          </cell>
          <cell r="K95">
            <v>19891137.200000003</v>
          </cell>
          <cell r="L95">
            <v>0</v>
          </cell>
          <cell r="M95">
            <v>19891137.200000003</v>
          </cell>
          <cell r="N95">
            <v>0</v>
          </cell>
          <cell r="O95">
            <v>0</v>
          </cell>
          <cell r="P95">
            <v>5</v>
          </cell>
        </row>
        <row r="96">
          <cell r="D96" t="str">
            <v>14-06-025</v>
          </cell>
          <cell r="E96" t="str">
            <v>E-702.1</v>
          </cell>
          <cell r="G96" t="str">
            <v>VALVULA DE COMPUERTA Ø200 MM</v>
          </cell>
          <cell r="H96" t="str">
            <v>U</v>
          </cell>
          <cell r="I96">
            <v>2785688.06</v>
          </cell>
          <cell r="J96">
            <v>1</v>
          </cell>
          <cell r="K96">
            <v>2785688.06</v>
          </cell>
          <cell r="L96">
            <v>1</v>
          </cell>
          <cell r="M96">
            <v>2785688.06</v>
          </cell>
          <cell r="N96">
            <v>0</v>
          </cell>
          <cell r="O96">
            <v>0</v>
          </cell>
          <cell r="P96">
            <v>9</v>
          </cell>
        </row>
        <row r="97">
          <cell r="D97" t="str">
            <v>14-06-030</v>
          </cell>
          <cell r="E97" t="str">
            <v>E-702.1</v>
          </cell>
          <cell r="G97" t="str">
            <v>VALVULA DE COMPUERTA Ø150 MM</v>
          </cell>
          <cell r="H97" t="str">
            <v>U</v>
          </cell>
          <cell r="I97">
            <v>1803492.86</v>
          </cell>
          <cell r="J97">
            <v>6</v>
          </cell>
          <cell r="K97">
            <v>10820957.16</v>
          </cell>
          <cell r="L97">
            <v>6</v>
          </cell>
          <cell r="M97">
            <v>10820957.16</v>
          </cell>
          <cell r="N97">
            <v>0</v>
          </cell>
          <cell r="O97">
            <v>0</v>
          </cell>
          <cell r="P97">
            <v>9</v>
          </cell>
        </row>
        <row r="98">
          <cell r="D98" t="str">
            <v>14-06-040</v>
          </cell>
          <cell r="E98" t="str">
            <v>E-702.1</v>
          </cell>
          <cell r="G98" t="str">
            <v>VALVULA DE COMPUERTA Ø100 MM</v>
          </cell>
          <cell r="H98" t="str">
            <v>U</v>
          </cell>
          <cell r="I98">
            <v>905899.9</v>
          </cell>
          <cell r="J98">
            <v>3</v>
          </cell>
          <cell r="K98">
            <v>2717699.7</v>
          </cell>
          <cell r="L98">
            <v>3</v>
          </cell>
          <cell r="M98">
            <v>2717699.7</v>
          </cell>
          <cell r="N98">
            <v>0</v>
          </cell>
          <cell r="O98">
            <v>0</v>
          </cell>
          <cell r="P98">
            <v>9</v>
          </cell>
        </row>
        <row r="99">
          <cell r="D99" t="str">
            <v>14-06-050</v>
          </cell>
          <cell r="E99" t="str">
            <v>E-702.1</v>
          </cell>
          <cell r="G99" t="str">
            <v>VALVULA DE COMPUERTA Ø75 MM</v>
          </cell>
          <cell r="H99" t="str">
            <v>U</v>
          </cell>
          <cell r="I99">
            <v>700380.65</v>
          </cell>
          <cell r="J99">
            <v>4</v>
          </cell>
          <cell r="K99">
            <v>2801522.6</v>
          </cell>
          <cell r="L99">
            <v>4</v>
          </cell>
          <cell r="M99">
            <v>2801522.6</v>
          </cell>
          <cell r="N99">
            <v>0</v>
          </cell>
          <cell r="O99">
            <v>0</v>
          </cell>
          <cell r="P99">
            <v>9</v>
          </cell>
        </row>
        <row r="100">
          <cell r="D100" t="str">
            <v>14-06-070</v>
          </cell>
          <cell r="E100" t="str">
            <v>E-702.2</v>
          </cell>
          <cell r="G100" t="str">
            <v>VALVULA DE VENTOSA Ø50 MM</v>
          </cell>
          <cell r="H100" t="str">
            <v>U</v>
          </cell>
          <cell r="I100">
            <v>382634.84</v>
          </cell>
          <cell r="J100">
            <v>2</v>
          </cell>
          <cell r="K100">
            <v>765269.68</v>
          </cell>
          <cell r="L100">
            <v>2</v>
          </cell>
          <cell r="M100">
            <v>765269.68</v>
          </cell>
          <cell r="N100">
            <v>0</v>
          </cell>
          <cell r="O100">
            <v>0</v>
          </cell>
          <cell r="P100">
            <v>9</v>
          </cell>
        </row>
        <row r="101">
          <cell r="D101" t="str">
            <v>14-07</v>
          </cell>
          <cell r="G101" t="str">
            <v>ANCLAJES</v>
          </cell>
          <cell r="I101">
            <v>0</v>
          </cell>
          <cell r="J101">
            <v>0</v>
          </cell>
          <cell r="K101">
            <v>9468504.0876800008</v>
          </cell>
          <cell r="L101">
            <v>0</v>
          </cell>
          <cell r="M101">
            <v>9468504.0876800008</v>
          </cell>
          <cell r="N101">
            <v>0</v>
          </cell>
          <cell r="O101">
            <v>0</v>
          </cell>
          <cell r="P101">
            <v>5</v>
          </cell>
        </row>
        <row r="102">
          <cell r="D102" t="str">
            <v>14-07-010</v>
          </cell>
          <cell r="E102" t="str">
            <v>E-503</v>
          </cell>
          <cell r="G102" t="str">
            <v>ANCLAJE EN CONCRETO REFORZADO</v>
          </cell>
          <cell r="H102" t="str">
            <v>M3</v>
          </cell>
          <cell r="I102">
            <v>594456.56000000006</v>
          </cell>
          <cell r="J102">
            <v>15.928000000000001</v>
          </cell>
          <cell r="K102">
            <v>9468504.0876800008</v>
          </cell>
          <cell r="L102">
            <v>15.928000000000001</v>
          </cell>
          <cell r="M102">
            <v>9468504.0876800008</v>
          </cell>
          <cell r="N102">
            <v>0</v>
          </cell>
          <cell r="O102">
            <v>0</v>
          </cell>
          <cell r="P102">
            <v>9</v>
          </cell>
        </row>
        <row r="103">
          <cell r="D103" t="str">
            <v>14-11</v>
          </cell>
          <cell r="G103" t="str">
            <v>TUBERIAS PVC NOVAFORT, NOVALOC O EQUIVALENTE</v>
          </cell>
          <cell r="I103">
            <v>0</v>
          </cell>
          <cell r="J103">
            <v>0</v>
          </cell>
          <cell r="K103">
            <v>65588430.691299997</v>
          </cell>
          <cell r="L103">
            <v>0</v>
          </cell>
          <cell r="M103">
            <v>65588430.691299997</v>
          </cell>
          <cell r="N103">
            <v>0</v>
          </cell>
          <cell r="O103">
            <v>0</v>
          </cell>
          <cell r="P103">
            <v>5</v>
          </cell>
        </row>
        <row r="104">
          <cell r="D104" t="str">
            <v>14-11-005</v>
          </cell>
          <cell r="E104" t="str">
            <v>E-701.3</v>
          </cell>
          <cell r="G104" t="str">
            <v>TUBERIA PVC NOVAFORT O EQUIVALENTE DE Ø200 MM</v>
          </cell>
          <cell r="H104" t="str">
            <v>M</v>
          </cell>
          <cell r="I104">
            <v>56942.49</v>
          </cell>
          <cell r="J104">
            <v>201.09100000000001</v>
          </cell>
          <cell r="K104">
            <v>11450622.256589999</v>
          </cell>
          <cell r="L104">
            <v>201.09100000000001</v>
          </cell>
          <cell r="M104">
            <v>11450622.256589999</v>
          </cell>
          <cell r="N104">
            <v>0</v>
          </cell>
          <cell r="O104">
            <v>0</v>
          </cell>
          <cell r="P104">
            <v>9</v>
          </cell>
        </row>
        <row r="105">
          <cell r="D105" t="str">
            <v>14-11-010</v>
          </cell>
          <cell r="E105" t="str">
            <v>E-701.3</v>
          </cell>
          <cell r="G105" t="str">
            <v>TUBERIA PVC NOVAFORT O EQUIVALENTE DE Ø250 MM</v>
          </cell>
          <cell r="H105" t="str">
            <v>M</v>
          </cell>
          <cell r="I105">
            <v>82784.039999999994</v>
          </cell>
          <cell r="J105">
            <v>301.51</v>
          </cell>
          <cell r="K105">
            <v>24960215.900399998</v>
          </cell>
          <cell r="L105">
            <v>301.51</v>
          </cell>
          <cell r="M105">
            <v>24960215.900399998</v>
          </cell>
          <cell r="N105">
            <v>0</v>
          </cell>
          <cell r="O105">
            <v>0</v>
          </cell>
          <cell r="P105">
            <v>9</v>
          </cell>
        </row>
        <row r="106">
          <cell r="D106" t="str">
            <v>14-11-200</v>
          </cell>
          <cell r="E106" t="str">
            <v>E-701.3</v>
          </cell>
          <cell r="G106" t="str">
            <v>TUBERIA PVC NOVALOC O EQUIVALENTE DE Ø625 MM</v>
          </cell>
          <cell r="H106" t="str">
            <v>M</v>
          </cell>
          <cell r="I106">
            <v>87267.23</v>
          </cell>
          <cell r="J106">
            <v>204.886</v>
          </cell>
          <cell r="K106">
            <v>17879833.68578</v>
          </cell>
          <cell r="L106">
            <v>204.886</v>
          </cell>
          <cell r="M106">
            <v>17879833.68578</v>
          </cell>
          <cell r="N106">
            <v>0</v>
          </cell>
          <cell r="O106">
            <v>0</v>
          </cell>
          <cell r="P106">
            <v>9</v>
          </cell>
        </row>
        <row r="107">
          <cell r="D107" t="str">
            <v>14-11-220</v>
          </cell>
          <cell r="E107" t="str">
            <v>E-701.3</v>
          </cell>
          <cell r="G107" t="str">
            <v>TUBERIA PVC NOVALOC O EQUIVALENTE DE Ø860 MM</v>
          </cell>
          <cell r="H107" t="str">
            <v>M</v>
          </cell>
          <cell r="I107">
            <v>135542.91</v>
          </cell>
          <cell r="J107">
            <v>32.538000000000004</v>
          </cell>
          <cell r="K107">
            <v>4410295.2055800008</v>
          </cell>
          <cell r="L107">
            <v>32.538000000000004</v>
          </cell>
          <cell r="M107">
            <v>4410295.2055800008</v>
          </cell>
          <cell r="N107">
            <v>0</v>
          </cell>
          <cell r="O107">
            <v>0</v>
          </cell>
          <cell r="P107">
            <v>9</v>
          </cell>
        </row>
        <row r="108">
          <cell r="D108" t="str">
            <v>14-11-240</v>
          </cell>
          <cell r="E108" t="str">
            <v>E-701.3</v>
          </cell>
          <cell r="G108" t="str">
            <v>TUBERIA PVC NOVALOC O EQUIVALENTE DE Ø1101 MM</v>
          </cell>
          <cell r="H108" t="str">
            <v>M</v>
          </cell>
          <cell r="I108">
            <v>253187.65</v>
          </cell>
          <cell r="J108">
            <v>27.203000000000003</v>
          </cell>
          <cell r="K108">
            <v>6887463.6429500002</v>
          </cell>
          <cell r="L108">
            <v>27.203000000000003</v>
          </cell>
          <cell r="M108">
            <v>6887463.6429500002</v>
          </cell>
          <cell r="N108">
            <v>0</v>
          </cell>
          <cell r="O108">
            <v>0</v>
          </cell>
          <cell r="P108">
            <v>9</v>
          </cell>
        </row>
        <row r="109">
          <cell r="D109" t="str">
            <v>14-12</v>
          </cell>
          <cell r="G109" t="str">
            <v>OBRAS CIVILES</v>
          </cell>
          <cell r="I109">
            <v>0</v>
          </cell>
          <cell r="J109">
            <v>0</v>
          </cell>
          <cell r="K109">
            <v>85289983.304250017</v>
          </cell>
          <cell r="L109">
            <v>0</v>
          </cell>
          <cell r="M109">
            <v>85289983.304250017</v>
          </cell>
          <cell r="N109">
            <v>0</v>
          </cell>
          <cell r="O109">
            <v>0</v>
          </cell>
          <cell r="P109">
            <v>5</v>
          </cell>
        </row>
        <row r="110">
          <cell r="D110" t="str">
            <v>14-12-010</v>
          </cell>
          <cell r="E110" t="str">
            <v>E-808</v>
          </cell>
          <cell r="G110" t="str">
            <v>CONSTRUCCION DE BASE Y CAÑUELA PARA CAMARA DE INSPECCION DE Ø1.20M. INCLUYE TODOS LOS ELEMENTOS NECESARIOS PARA SU CORRECTA INSTALACION Y FUNCIONAMIENTO.</v>
          </cell>
          <cell r="H110" t="str">
            <v>U</v>
          </cell>
          <cell r="I110">
            <v>337377.47</v>
          </cell>
          <cell r="J110">
            <v>14</v>
          </cell>
          <cell r="K110">
            <v>4723284.58</v>
          </cell>
          <cell r="L110">
            <v>14</v>
          </cell>
          <cell r="M110">
            <v>4723284.58</v>
          </cell>
          <cell r="N110">
            <v>0</v>
          </cell>
          <cell r="O110">
            <v>0</v>
          </cell>
          <cell r="P110">
            <v>9</v>
          </cell>
        </row>
        <row r="111">
          <cell r="D111" t="str">
            <v>14-12-011</v>
          </cell>
          <cell r="E111" t="str">
            <v>E-808</v>
          </cell>
          <cell r="G111" t="str">
            <v>CONSTRUCCION DE BASE Y CAÑUELA PARA CAMARA DE INSPECCION DE Ø1.50M. INCLUYE TODOS LOS ELEMENTOS NECESARIOS PARA SU CORRECTA INSTALACION Y FUNCIONAMIENTO.</v>
          </cell>
          <cell r="H111" t="str">
            <v>U</v>
          </cell>
          <cell r="I111">
            <v>481227.28</v>
          </cell>
          <cell r="J111">
            <v>20</v>
          </cell>
          <cell r="K111">
            <v>9624545.6000000015</v>
          </cell>
          <cell r="L111">
            <v>20</v>
          </cell>
          <cell r="M111">
            <v>9624545.6000000015</v>
          </cell>
          <cell r="N111">
            <v>0</v>
          </cell>
          <cell r="O111">
            <v>0</v>
          </cell>
          <cell r="P111">
            <v>9</v>
          </cell>
        </row>
        <row r="112">
          <cell r="D112" t="str">
            <v>14-12-012</v>
          </cell>
          <cell r="E112" t="str">
            <v>E-808</v>
          </cell>
          <cell r="G112" t="str">
            <v>CONSTRUCCION DE CONO PARA CAMARA DE INSPECCION DE Ø1.20M. INCLUYE TODOS LOS ELEMENTOS NECESARIOS PARA SU CORRECTA INSTALACION Y FUNCIONAMIENTO.</v>
          </cell>
          <cell r="H112" t="str">
            <v>U</v>
          </cell>
          <cell r="I112">
            <v>485096.48</v>
          </cell>
          <cell r="J112">
            <v>11</v>
          </cell>
          <cell r="K112">
            <v>5336061.2799999993</v>
          </cell>
          <cell r="L112">
            <v>11</v>
          </cell>
          <cell r="M112">
            <v>5336061.2799999993</v>
          </cell>
          <cell r="N112">
            <v>0</v>
          </cell>
          <cell r="O112">
            <v>0</v>
          </cell>
          <cell r="P112">
            <v>9</v>
          </cell>
        </row>
        <row r="113">
          <cell r="D113" t="str">
            <v>14-12-013</v>
          </cell>
          <cell r="E113" t="str">
            <v>E-808</v>
          </cell>
          <cell r="G113" t="str">
            <v>CONSTRUCCION DE CONO PARA CAMARA DE INSPECCION DE Ø1.50M. INCLUYE TODOS LOS ELEMENTOS NECESARIOS PARA SU CORRECTA INSTALACION Y FUNCIONAMIENTO.</v>
          </cell>
          <cell r="H113" t="str">
            <v>U</v>
          </cell>
          <cell r="I113">
            <v>796523.69</v>
          </cell>
          <cell r="J113">
            <v>8</v>
          </cell>
          <cell r="K113">
            <v>6372189.5199999996</v>
          </cell>
          <cell r="L113">
            <v>8</v>
          </cell>
          <cell r="M113">
            <v>6372189.5199999996</v>
          </cell>
          <cell r="N113">
            <v>0</v>
          </cell>
          <cell r="O113">
            <v>0</v>
          </cell>
          <cell r="P113">
            <v>9</v>
          </cell>
        </row>
        <row r="114">
          <cell r="D114" t="str">
            <v>14-12-014</v>
          </cell>
          <cell r="E114" t="str">
            <v>E-808</v>
          </cell>
          <cell r="G114" t="str">
            <v>CONSTRUCCION DE CUELLO Y TAPA PARA CAMARA DE INSPECCION DE Ø1.20M. INCLUYE TODOS LOS ELEMENTOS NECESARIOS PARA SU CORRECTA INSTALACION Y FUNCIONAMIENTO.</v>
          </cell>
          <cell r="H114" t="str">
            <v>U</v>
          </cell>
          <cell r="I114">
            <v>341418.04</v>
          </cell>
          <cell r="J114">
            <v>19</v>
          </cell>
          <cell r="K114">
            <v>6486942.7599999998</v>
          </cell>
          <cell r="L114">
            <v>19</v>
          </cell>
          <cell r="M114">
            <v>6486942.7599999998</v>
          </cell>
          <cell r="N114">
            <v>0</v>
          </cell>
          <cell r="O114">
            <v>0</v>
          </cell>
          <cell r="P114">
            <v>9</v>
          </cell>
        </row>
        <row r="115">
          <cell r="D115" t="str">
            <v>14-12-020</v>
          </cell>
          <cell r="E115" t="str">
            <v>E-808</v>
          </cell>
          <cell r="G115" t="str">
            <v>CONSTRUCCION DE CILINDRO PARA CAMARA DE INSPECCION DE Ø1.20M. INCLUYE TODOS LOS ELEMENTOS NECESARIOS PARA SU CORRECTA INSTALACION Y FUNCIONAMIENTO. LOS GANCHOS SE PAGARAN EN SU RESPECTIVO ITEM.</v>
          </cell>
          <cell r="H115" t="str">
            <v>M</v>
          </cell>
          <cell r="I115">
            <v>845080.55</v>
          </cell>
          <cell r="J115">
            <v>16.599</v>
          </cell>
          <cell r="K115">
            <v>14027492.049450001</v>
          </cell>
          <cell r="L115">
            <v>16.599</v>
          </cell>
          <cell r="M115">
            <v>14027492.049450001</v>
          </cell>
          <cell r="N115">
            <v>0</v>
          </cell>
          <cell r="O115">
            <v>0</v>
          </cell>
          <cell r="P115">
            <v>9</v>
          </cell>
        </row>
        <row r="116">
          <cell r="D116" t="str">
            <v>14-12-021</v>
          </cell>
          <cell r="E116" t="str">
            <v>E-808</v>
          </cell>
          <cell r="G116" t="str">
            <v>CONSTRUCCION DE CILINDRO PARA CAMARA DE INSPECCION DE Ø1.50M. INCLUYE TODOS LOS ELEMENTOS NECESARIOS PARA SU CORRECTA INSTALACION Y FUNCIONAMIENTO. LOS GANCHOS SE PAGARAN EN SU RESPECTIVO ITEM.</v>
          </cell>
          <cell r="H116" t="str">
            <v>M</v>
          </cell>
          <cell r="I116">
            <v>1154390.7</v>
          </cell>
          <cell r="J116">
            <v>22.263999999999999</v>
          </cell>
          <cell r="K116">
            <v>25701354.544799998</v>
          </cell>
          <cell r="L116">
            <v>22.263999999999999</v>
          </cell>
          <cell r="M116">
            <v>25701354.544799998</v>
          </cell>
          <cell r="N116">
            <v>0</v>
          </cell>
          <cell r="O116">
            <v>0</v>
          </cell>
          <cell r="P116">
            <v>9</v>
          </cell>
        </row>
        <row r="117">
          <cell r="D117" t="str">
            <v>14-12-030</v>
          </cell>
          <cell r="E117" t="str">
            <v>E-818</v>
          </cell>
          <cell r="G117" t="str">
            <v>CONSTRUCCION DE SUMIDERO TIPO B</v>
          </cell>
          <cell r="H117" t="str">
            <v>U</v>
          </cell>
          <cell r="I117">
            <v>601219.88</v>
          </cell>
          <cell r="J117">
            <v>2</v>
          </cell>
          <cell r="K117">
            <v>1202439.76</v>
          </cell>
          <cell r="L117">
            <v>2</v>
          </cell>
          <cell r="M117">
            <v>1202439.76</v>
          </cell>
          <cell r="N117">
            <v>0</v>
          </cell>
          <cell r="O117">
            <v>0</v>
          </cell>
          <cell r="P117">
            <v>9</v>
          </cell>
        </row>
        <row r="118">
          <cell r="D118" t="str">
            <v>14-12-040</v>
          </cell>
          <cell r="E118" t="str">
            <v>E-813</v>
          </cell>
          <cell r="G118" t="str">
            <v>CONSTRUCCION DE ALIVIADERO DE ORIFICIO EN CAMARA DE INSPECCION</v>
          </cell>
          <cell r="H118" t="str">
            <v>U</v>
          </cell>
          <cell r="I118">
            <v>33335.410000000003</v>
          </cell>
          <cell r="J118">
            <v>1</v>
          </cell>
          <cell r="K118">
            <v>33335.410000000003</v>
          </cell>
          <cell r="L118">
            <v>1</v>
          </cell>
          <cell r="M118">
            <v>33335.410000000003</v>
          </cell>
          <cell r="N118">
            <v>0</v>
          </cell>
          <cell r="O118">
            <v>0</v>
          </cell>
          <cell r="P118">
            <v>9</v>
          </cell>
        </row>
        <row r="119">
          <cell r="D119" t="str">
            <v>14-12-050</v>
          </cell>
          <cell r="E119" t="str">
            <v>E-808</v>
          </cell>
          <cell r="G119" t="str">
            <v>RECUBRIMIENTO PARA PROTECCION DE CAÑUELAS CON EL FIN DE PREVENIR DESGASTES DEBIDO A ALTAS VELOCIDADES</v>
          </cell>
          <cell r="H119" t="str">
            <v>U</v>
          </cell>
          <cell r="I119">
            <v>58132.160000000003</v>
          </cell>
          <cell r="J119">
            <v>8</v>
          </cell>
          <cell r="K119">
            <v>465057.28000000003</v>
          </cell>
          <cell r="L119">
            <v>8</v>
          </cell>
          <cell r="M119">
            <v>465057.28000000003</v>
          </cell>
          <cell r="N119">
            <v>0</v>
          </cell>
          <cell r="O119">
            <v>0</v>
          </cell>
          <cell r="P119">
            <v>9</v>
          </cell>
        </row>
        <row r="120">
          <cell r="D120" t="str">
            <v>14-12-060</v>
          </cell>
          <cell r="E120" t="str">
            <v>E-811</v>
          </cell>
          <cell r="G120" t="str">
            <v>ADECUACION DE CAMARAS EXISTENTES PARA EMPALMES CON LA RED PROYECTADA, YA SEA REALZAR O PROFUNDIZAR LA CAMARA.</v>
          </cell>
          <cell r="H120" t="str">
            <v>U</v>
          </cell>
          <cell r="I120">
            <v>745190.07</v>
          </cell>
          <cell r="J120">
            <v>12</v>
          </cell>
          <cell r="K120">
            <v>8942280.8399999999</v>
          </cell>
          <cell r="L120">
            <v>12</v>
          </cell>
          <cell r="M120">
            <v>8942280.8399999999</v>
          </cell>
          <cell r="N120">
            <v>0</v>
          </cell>
          <cell r="O120">
            <v>0</v>
          </cell>
          <cell r="P120">
            <v>9</v>
          </cell>
        </row>
        <row r="121">
          <cell r="D121" t="str">
            <v>14-12-070</v>
          </cell>
          <cell r="E121" t="str">
            <v>E-813</v>
          </cell>
          <cell r="G121" t="str">
            <v>CONSTRUCCION DE CAMARA DE CAIDA</v>
          </cell>
          <cell r="H121" t="str">
            <v>U</v>
          </cell>
          <cell r="I121">
            <v>791666.56</v>
          </cell>
          <cell r="J121">
            <v>3</v>
          </cell>
          <cell r="K121">
            <v>2374999.6800000002</v>
          </cell>
          <cell r="L121">
            <v>3</v>
          </cell>
          <cell r="M121">
            <v>2374999.6800000002</v>
          </cell>
          <cell r="N121">
            <v>0</v>
          </cell>
          <cell r="O121">
            <v>0</v>
          </cell>
          <cell r="P121">
            <v>9</v>
          </cell>
        </row>
        <row r="122">
          <cell r="D122" t="str">
            <v>14-20</v>
          </cell>
          <cell r="G122" t="str">
            <v>REDES DE GAS</v>
          </cell>
          <cell r="I122">
            <v>0</v>
          </cell>
          <cell r="J122">
            <v>0</v>
          </cell>
          <cell r="K122">
            <v>24493696.450929996</v>
          </cell>
          <cell r="L122">
            <v>0</v>
          </cell>
          <cell r="M122">
            <v>24493696.450929996</v>
          </cell>
          <cell r="N122">
            <v>0</v>
          </cell>
          <cell r="O122">
            <v>0</v>
          </cell>
          <cell r="P122">
            <v>5</v>
          </cell>
        </row>
        <row r="123">
          <cell r="D123" t="str">
            <v>14-20-020</v>
          </cell>
          <cell r="E123" t="str">
            <v>E-1101</v>
          </cell>
          <cell r="G123"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123" t="str">
            <v>M</v>
          </cell>
          <cell r="I123">
            <v>23747.43</v>
          </cell>
          <cell r="J123">
            <v>125.01500000000001</v>
          </cell>
          <cell r="K123">
            <v>2968784.9614500003</v>
          </cell>
          <cell r="L123">
            <v>125.01500000000001</v>
          </cell>
          <cell r="M123">
            <v>2968784.9614500003</v>
          </cell>
          <cell r="N123">
            <v>0</v>
          </cell>
          <cell r="O123">
            <v>0</v>
          </cell>
          <cell r="P123">
            <v>9</v>
          </cell>
        </row>
        <row r="124">
          <cell r="D124" t="str">
            <v>14-20-030</v>
          </cell>
          <cell r="E124" t="str">
            <v>E-1101</v>
          </cell>
          <cell r="G124"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124" t="str">
            <v>M</v>
          </cell>
          <cell r="I124">
            <v>45738.78</v>
          </cell>
          <cell r="J124">
            <v>368.56600000000003</v>
          </cell>
          <cell r="K124">
            <v>16857759.189479999</v>
          </cell>
          <cell r="L124">
            <v>368.56600000000003</v>
          </cell>
          <cell r="M124">
            <v>16857759.189479999</v>
          </cell>
          <cell r="N124">
            <v>0</v>
          </cell>
          <cell r="O124">
            <v>0</v>
          </cell>
          <cell r="P124">
            <v>9</v>
          </cell>
        </row>
        <row r="125">
          <cell r="D125" t="str">
            <v>14-20-040</v>
          </cell>
          <cell r="E125" t="str">
            <v>E-1102</v>
          </cell>
          <cell r="G125" t="str">
            <v>SUMINISTRO, TRANSPORTE E INSTALACION DE UNION DE 32 MM EN POLIETILENO. INCLUYE SUMINISTRO Y TRANSPORTE DE LOS MATERIALES, TERMOFUSION DEL ACCESORIO Y TODOS LOS ELEMENTOS NECESARIOS PARA SU CORRECTA INSTALACION Y FUNCIONAMIENTO.</v>
          </cell>
          <cell r="H125" t="str">
            <v>U</v>
          </cell>
          <cell r="I125">
            <v>95663.16</v>
          </cell>
          <cell r="J125">
            <v>2</v>
          </cell>
          <cell r="K125">
            <v>191326.32</v>
          </cell>
          <cell r="L125">
            <v>2</v>
          </cell>
          <cell r="M125">
            <v>191326.32</v>
          </cell>
          <cell r="N125">
            <v>0</v>
          </cell>
          <cell r="O125">
            <v>0</v>
          </cell>
          <cell r="P125">
            <v>9</v>
          </cell>
        </row>
        <row r="126">
          <cell r="D126" t="str">
            <v>14-20-050</v>
          </cell>
          <cell r="E126" t="str">
            <v>E-1103</v>
          </cell>
          <cell r="G126" t="str">
            <v>SUMINISTRO, TRANSPORTE E INSTALACION DE POLIVALVULA DE 32 MM EN POLIETILENO. INCLUYE SUMINISTRO Y TRANSPORTE DE LOS MATERIALES, TERMOFUSION DEL ACCESORIO Y TODOS LOS ELEMENTOS NECESARIOS PARA SU CORRECTA INSTALACION Y FUNCIONAMIENTO.</v>
          </cell>
          <cell r="H126" t="str">
            <v>U</v>
          </cell>
          <cell r="I126">
            <v>393183.95</v>
          </cell>
          <cell r="J126">
            <v>1</v>
          </cell>
          <cell r="K126">
            <v>393183.95</v>
          </cell>
          <cell r="L126">
            <v>1</v>
          </cell>
          <cell r="M126">
            <v>393183.95</v>
          </cell>
          <cell r="N126">
            <v>0</v>
          </cell>
          <cell r="O126">
            <v>0</v>
          </cell>
          <cell r="P126">
            <v>9</v>
          </cell>
        </row>
        <row r="127">
          <cell r="D127" t="str">
            <v>14-20-055</v>
          </cell>
          <cell r="E127" t="str">
            <v>E-1103</v>
          </cell>
          <cell r="G127" t="str">
            <v>SUMINISTRO, TRANSPORTE E INSTALACION DE POLIVALVULA DE 90 MM EN POLIETILENO. INCLUYE SUMINISTRO Y TRANSPORTE DE LOS MATERIALES, TERMOFUSION DEL ACCESORIO Y TODOS LOS ELEMENTOS NECESARIOS PARA SU CORRECTA INSTALACION Y FUNCIONAMIENTO.</v>
          </cell>
          <cell r="H127" t="str">
            <v>U</v>
          </cell>
          <cell r="I127">
            <v>1006546.71</v>
          </cell>
          <cell r="J127">
            <v>1</v>
          </cell>
          <cell r="K127">
            <v>1006546.71</v>
          </cell>
          <cell r="L127">
            <v>1</v>
          </cell>
          <cell r="M127">
            <v>1006546.71</v>
          </cell>
          <cell r="N127">
            <v>0</v>
          </cell>
          <cell r="O127">
            <v>0</v>
          </cell>
          <cell r="P127">
            <v>9</v>
          </cell>
        </row>
        <row r="128">
          <cell r="D128" t="str">
            <v>14-20-075</v>
          </cell>
          <cell r="E128" t="str">
            <v>E-1102</v>
          </cell>
          <cell r="G128" t="str">
            <v>SUMINISTRO, TRANSPORTE E INSTALACION DE TEE DE 32X25MM EN POLIETILENO. INCLUYE SUMINISTRO Y TRANSPORTE DE LOS MATERIALES, TERMOFUSION DEL ACCESORIO Y TODOS LOS ELEMENTOS NECESARIOS PARA SU CORRECTA INSTALACION Y FUNCIONAMIENTO.</v>
          </cell>
          <cell r="H128" t="str">
            <v>U</v>
          </cell>
          <cell r="I128">
            <v>116327.42</v>
          </cell>
          <cell r="J128">
            <v>1</v>
          </cell>
          <cell r="K128">
            <v>116327.42</v>
          </cell>
          <cell r="L128">
            <v>1</v>
          </cell>
          <cell r="M128">
            <v>116327.42</v>
          </cell>
          <cell r="N128">
            <v>0</v>
          </cell>
          <cell r="O128">
            <v>0</v>
          </cell>
          <cell r="P128">
            <v>9</v>
          </cell>
        </row>
        <row r="129">
          <cell r="D129" t="str">
            <v>14-20-080</v>
          </cell>
          <cell r="E129" t="str">
            <v>E-1102</v>
          </cell>
          <cell r="G129" t="str">
            <v>SUMINISTRO, TRANSPORTE E INSTALACION DE TEE DE 32 MM EN POLIETILENO. INCLUYE SUMINISTRO Y TRANSPORTE DE LOS MATERIALES, TERMOFUSION DEL ACCESORIO Y TODOS LOS ELEMENTOS NECESARIOS PARA SU CORRECTA INSTALACION Y FUNCIONAMIENTO.</v>
          </cell>
          <cell r="H129" t="str">
            <v>U</v>
          </cell>
          <cell r="I129">
            <v>122011.42</v>
          </cell>
          <cell r="J129">
            <v>2</v>
          </cell>
          <cell r="K129">
            <v>244022.84</v>
          </cell>
          <cell r="L129">
            <v>2</v>
          </cell>
          <cell r="M129">
            <v>244022.84</v>
          </cell>
          <cell r="N129">
            <v>0</v>
          </cell>
          <cell r="O129">
            <v>0</v>
          </cell>
          <cell r="P129">
            <v>9</v>
          </cell>
        </row>
        <row r="130">
          <cell r="D130" t="str">
            <v>14-20-110</v>
          </cell>
          <cell r="E130" t="str">
            <v>E-1102</v>
          </cell>
          <cell r="G130" t="str">
            <v>SUMINISTRO, TRANSPORTE E INSTALACION DE TAPON DE 32MM EN POLIETILENO. INCLUYE SUMINISTRO Y TRANSPORTE DE LOS MATERIALES, TERMOFUSION DEL ACCESORIO Y TODOS LOS ELEMENTOS NECESARIOS PARA SU CORRECTA INSTALACION Y FUNCIONAMIENTO.</v>
          </cell>
          <cell r="H130" t="str">
            <v>U</v>
          </cell>
          <cell r="I130">
            <v>91100.15</v>
          </cell>
          <cell r="J130">
            <v>1</v>
          </cell>
          <cell r="K130">
            <v>91100.15</v>
          </cell>
          <cell r="L130">
            <v>1</v>
          </cell>
          <cell r="M130">
            <v>91100.15</v>
          </cell>
          <cell r="N130">
            <v>0</v>
          </cell>
          <cell r="O130">
            <v>0</v>
          </cell>
          <cell r="P130">
            <v>9</v>
          </cell>
        </row>
        <row r="131">
          <cell r="D131" t="str">
            <v>14-20-130</v>
          </cell>
          <cell r="E131" t="str">
            <v>E-1102</v>
          </cell>
          <cell r="G131" t="str">
            <v>SUMINISTRO, TRANSPORTE E INSTALACION DE TEE DE 90 MM EN POLIETILENO. INCLUYE SUMINISTRO Y TRANSPORTE DE LOS MATERIALES, TERMOFUSION DEL ACCESORIO Y TODOS LOS ELEMENTOS NECESARIOS PARA SU CORRECTA INSTALACION Y FUNCIONAMIENTO.</v>
          </cell>
          <cell r="H131" t="str">
            <v>U</v>
          </cell>
          <cell r="I131">
            <v>140806.88</v>
          </cell>
          <cell r="J131">
            <v>4</v>
          </cell>
          <cell r="K131">
            <v>563227.52</v>
          </cell>
          <cell r="L131">
            <v>4</v>
          </cell>
          <cell r="M131">
            <v>563227.52</v>
          </cell>
          <cell r="N131">
            <v>0</v>
          </cell>
          <cell r="O131">
            <v>0</v>
          </cell>
          <cell r="P131">
            <v>9</v>
          </cell>
        </row>
        <row r="132">
          <cell r="D132" t="str">
            <v>14-20-140</v>
          </cell>
          <cell r="E132" t="str">
            <v>E-1102</v>
          </cell>
          <cell r="G132" t="str">
            <v>SUMINISTRO, TRANSPORTE E INSTALACION DE REDUCCION 90X32 MM EN POLIETILENO. INCLUYE SUMINISTRO Y TRANSPORTE DE LOS MATERIALES, TERMOFUSION DEL ACCESORIO Y TODOS LOS ELEMENTOS NECESARIOS PARA SU CORRECTA INSTALACION Y FUNCIONAMIENTO.</v>
          </cell>
          <cell r="H132" t="str">
            <v>U</v>
          </cell>
          <cell r="I132">
            <v>125842.88</v>
          </cell>
          <cell r="J132">
            <v>1</v>
          </cell>
          <cell r="K132">
            <v>125842.88</v>
          </cell>
          <cell r="L132">
            <v>1</v>
          </cell>
          <cell r="M132">
            <v>125842.88</v>
          </cell>
          <cell r="N132">
            <v>0</v>
          </cell>
          <cell r="O132">
            <v>0</v>
          </cell>
          <cell r="P132">
            <v>9</v>
          </cell>
        </row>
        <row r="133">
          <cell r="D133" t="str">
            <v>14-20-155</v>
          </cell>
          <cell r="E133" t="str">
            <v>E-1102</v>
          </cell>
          <cell r="G133" t="str">
            <v>SUMINISTRO, TRANSPORTE E INSTALACION DE REDUCCION 90X63 MM EN POLIETILENO. INCLUYE SUMINISTRO Y TRANSPORTE DE LOS MATERIALES, TERMOFUSION DEL ACCESORIO Y TODOS LOS ELEMENTOS NECESARIOS PARA SU CORRECTA INSTALACION Y FUNCIONAMIENTO.</v>
          </cell>
          <cell r="H133" t="str">
            <v>U</v>
          </cell>
          <cell r="I133">
            <v>217260.16</v>
          </cell>
          <cell r="J133">
            <v>1</v>
          </cell>
          <cell r="K133">
            <v>217260.16</v>
          </cell>
          <cell r="L133">
            <v>1</v>
          </cell>
          <cell r="M133">
            <v>217260.16</v>
          </cell>
          <cell r="N133">
            <v>0</v>
          </cell>
          <cell r="O133">
            <v>0</v>
          </cell>
          <cell r="P133">
            <v>9</v>
          </cell>
        </row>
        <row r="134">
          <cell r="D134" t="str">
            <v>14-20-160</v>
          </cell>
          <cell r="E134" t="str">
            <v>E-1111</v>
          </cell>
          <cell r="G134" t="str">
            <v>SUMINISTRO, TRANSPORTE E INSTALACION DE PLACAS METALICAS Y MOJONES DE REFERENCIACION CADA 15 MTS Y EN CADA CAMBIO DE DIRECCION. INCLUYE SUMINISTRO Y TRANSPORTE DE LOS MATERIALES Y TODOS LOS ELEMENTOS NECESARIOS PARA SU CORRECTA INSTALACION.</v>
          </cell>
          <cell r="H134" t="str">
            <v>U</v>
          </cell>
          <cell r="I134">
            <v>37469.69</v>
          </cell>
          <cell r="J134">
            <v>35</v>
          </cell>
          <cell r="K134">
            <v>1311439.1500000001</v>
          </cell>
          <cell r="L134">
            <v>35</v>
          </cell>
          <cell r="M134">
            <v>1311439.1500000001</v>
          </cell>
          <cell r="N134">
            <v>0</v>
          </cell>
          <cell r="O134">
            <v>0</v>
          </cell>
          <cell r="P134">
            <v>9</v>
          </cell>
        </row>
        <row r="135">
          <cell r="D135" t="str">
            <v>14-20-170</v>
          </cell>
          <cell r="E135" t="str">
            <v>E-1102</v>
          </cell>
          <cell r="G135" t="str">
            <v>SUMINISTRO, TRANSPORTE E INSTALACIÓN DE CODO DE 90 MM EN POLIETILENO. INCLUYE SUMINISTRO Y TRANSPORTE DE LOS MATERIALES, TERMOFUSIÓN DEL ACCESORIO Y TODOS LOS ELEMENTOS NECESARIOS PARA SU CORRECTA INSTALACIÓN Y FUNCIONAMIENTO.</v>
          </cell>
          <cell r="H135" t="str">
            <v>U</v>
          </cell>
          <cell r="I135">
            <v>203437.6</v>
          </cell>
          <cell r="J135">
            <v>2</v>
          </cell>
          <cell r="K135">
            <v>406875.2</v>
          </cell>
          <cell r="L135">
            <v>2</v>
          </cell>
          <cell r="M135">
            <v>406875.2</v>
          </cell>
          <cell r="N135">
            <v>0</v>
          </cell>
          <cell r="O135">
            <v>0</v>
          </cell>
          <cell r="P135">
            <v>9</v>
          </cell>
        </row>
        <row r="136">
          <cell r="D136" t="str">
            <v>15</v>
          </cell>
          <cell r="G136" t="str">
            <v>INSTALACIONES ELECTRICAS</v>
          </cell>
          <cell r="I136">
            <v>0</v>
          </cell>
          <cell r="J136">
            <v>0</v>
          </cell>
          <cell r="K136">
            <v>573440204.9369998</v>
          </cell>
          <cell r="L136">
            <v>0</v>
          </cell>
          <cell r="M136">
            <v>0</v>
          </cell>
          <cell r="N136">
            <v>573440204.9369998</v>
          </cell>
          <cell r="O136">
            <v>6.6895327774907865E-2</v>
          </cell>
          <cell r="P136">
            <v>2</v>
          </cell>
        </row>
        <row r="137">
          <cell r="D137" t="str">
            <v>15-01</v>
          </cell>
          <cell r="G137" t="str">
            <v>INSTALACIONES ELECTRICAS</v>
          </cell>
          <cell r="I137">
            <v>0</v>
          </cell>
          <cell r="J137">
            <v>0</v>
          </cell>
          <cell r="K137">
            <v>175280319.81699997</v>
          </cell>
          <cell r="L137">
            <v>0</v>
          </cell>
          <cell r="M137">
            <v>175280319.81699997</v>
          </cell>
          <cell r="N137">
            <v>0</v>
          </cell>
          <cell r="O137">
            <v>0</v>
          </cell>
          <cell r="P137">
            <v>5</v>
          </cell>
        </row>
        <row r="138">
          <cell r="D138" t="str">
            <v>15-01-010</v>
          </cell>
          <cell r="E138" t="str">
            <v>E-GRUPO 0 A 7</v>
          </cell>
          <cell r="G138" t="str">
            <v>SUMINISTRO, MONTAJE Y PUESTA EN OPERACION DE: POSTE DE CONCRETO DE 12M, 1050KG.</v>
          </cell>
          <cell r="H138" t="str">
            <v>U</v>
          </cell>
          <cell r="I138">
            <v>2246445.5400000005</v>
          </cell>
          <cell r="J138">
            <v>11</v>
          </cell>
          <cell r="K138">
            <v>24710900.940000005</v>
          </cell>
          <cell r="L138">
            <v>11</v>
          </cell>
          <cell r="M138">
            <v>24710900.940000005</v>
          </cell>
          <cell r="N138">
            <v>0</v>
          </cell>
          <cell r="O138">
            <v>0</v>
          </cell>
          <cell r="P138">
            <v>9</v>
          </cell>
        </row>
        <row r="139">
          <cell r="D139" t="str">
            <v>15-01-040</v>
          </cell>
          <cell r="E139" t="str">
            <v>E-RA6-002</v>
          </cell>
          <cell r="G139" t="str">
            <v>SUMINISTRO, MONTAJE Y PUESTA EN OPERACION DE: GRUPO DE NORMA RA6-002.</v>
          </cell>
          <cell r="H139" t="str">
            <v>U</v>
          </cell>
          <cell r="I139">
            <v>446044.51</v>
          </cell>
          <cell r="J139">
            <v>7</v>
          </cell>
          <cell r="K139">
            <v>3122311.5700000003</v>
          </cell>
          <cell r="L139">
            <v>7</v>
          </cell>
          <cell r="M139">
            <v>3122311.5700000003</v>
          </cell>
          <cell r="N139">
            <v>0</v>
          </cell>
          <cell r="O139">
            <v>0</v>
          </cell>
          <cell r="P139">
            <v>9</v>
          </cell>
        </row>
        <row r="140">
          <cell r="D140" t="str">
            <v>15-01-115</v>
          </cell>
          <cell r="E140" t="str">
            <v>E-RA2-301</v>
          </cell>
          <cell r="G140" t="str">
            <v>SUMINISTRO, MONTAJE Y PUESTA EN OPERACION DE: GRUPO DE NORMA RA2-301.</v>
          </cell>
          <cell r="H140" t="str">
            <v>U</v>
          </cell>
          <cell r="I140">
            <v>494901.25000000006</v>
          </cell>
          <cell r="J140">
            <v>1</v>
          </cell>
          <cell r="K140">
            <v>494901.25000000006</v>
          </cell>
          <cell r="L140">
            <v>1</v>
          </cell>
          <cell r="M140">
            <v>494901.25000000006</v>
          </cell>
          <cell r="N140">
            <v>0</v>
          </cell>
          <cell r="O140">
            <v>0</v>
          </cell>
          <cell r="P140">
            <v>9</v>
          </cell>
        </row>
        <row r="141">
          <cell r="D141" t="str">
            <v>15-01-120</v>
          </cell>
          <cell r="E141" t="str">
            <v>E-RA2-302</v>
          </cell>
          <cell r="G141" t="str">
            <v>SUMINISTRO, MONTAJE Y PUESTA EN OPERACION DE: GRUPO DE NORMA RA2-302.</v>
          </cell>
          <cell r="H141" t="str">
            <v>U</v>
          </cell>
          <cell r="I141">
            <v>862567</v>
          </cell>
          <cell r="J141">
            <v>7</v>
          </cell>
          <cell r="K141">
            <v>6037969</v>
          </cell>
          <cell r="L141">
            <v>7</v>
          </cell>
          <cell r="M141">
            <v>6037969</v>
          </cell>
          <cell r="N141">
            <v>0</v>
          </cell>
          <cell r="O141">
            <v>0</v>
          </cell>
          <cell r="P141">
            <v>9</v>
          </cell>
        </row>
        <row r="142">
          <cell r="D142" t="str">
            <v>15-01-135</v>
          </cell>
          <cell r="E142" t="str">
            <v>E-RA2-303/2</v>
          </cell>
          <cell r="G142" t="str">
            <v>SUMINISTRO, MONTAJE Y PUESTA EN OPERACION DE: GRUPO DE NORMA RA2-303/2.</v>
          </cell>
          <cell r="H142" t="str">
            <v>U</v>
          </cell>
          <cell r="I142">
            <v>822851.35000000009</v>
          </cell>
          <cell r="J142">
            <v>8</v>
          </cell>
          <cell r="K142">
            <v>6582810.8000000007</v>
          </cell>
          <cell r="L142">
            <v>8</v>
          </cell>
          <cell r="M142">
            <v>6582810.8000000007</v>
          </cell>
          <cell r="N142">
            <v>0</v>
          </cell>
          <cell r="O142">
            <v>0</v>
          </cell>
          <cell r="P142">
            <v>9</v>
          </cell>
        </row>
        <row r="143">
          <cell r="D143" t="str">
            <v>15-01-137</v>
          </cell>
          <cell r="E143" t="str">
            <v>E-RA2-304/1</v>
          </cell>
          <cell r="G143" t="str">
            <v>SUMINISTRO, MONTAJE Y PUESTA EN OPERACION DE: GRUPO DE NORMA RA2-304/1.</v>
          </cell>
          <cell r="H143" t="str">
            <v>U</v>
          </cell>
          <cell r="I143">
            <v>1695146.97</v>
          </cell>
          <cell r="J143">
            <v>1</v>
          </cell>
          <cell r="K143">
            <v>1695146.97</v>
          </cell>
          <cell r="L143">
            <v>1</v>
          </cell>
          <cell r="M143">
            <v>1695146.97</v>
          </cell>
          <cell r="N143">
            <v>0</v>
          </cell>
          <cell r="O143">
            <v>0</v>
          </cell>
          <cell r="P143">
            <v>9</v>
          </cell>
        </row>
        <row r="144">
          <cell r="D144" t="str">
            <v>15-01-140</v>
          </cell>
          <cell r="E144" t="str">
            <v>E-RA6-010</v>
          </cell>
          <cell r="G144" t="str">
            <v>SUMINISTRO, MONTAJE Y PUESTA EN OPERACION DE: GRUPO DE NORMA RA6-010.</v>
          </cell>
          <cell r="H144" t="str">
            <v>U</v>
          </cell>
          <cell r="I144">
            <v>300663.25</v>
          </cell>
          <cell r="J144">
            <v>11</v>
          </cell>
          <cell r="K144">
            <v>3307295.75</v>
          </cell>
          <cell r="L144">
            <v>11</v>
          </cell>
          <cell r="M144">
            <v>3307295.75</v>
          </cell>
          <cell r="N144">
            <v>0</v>
          </cell>
          <cell r="O144">
            <v>0</v>
          </cell>
          <cell r="P144">
            <v>9</v>
          </cell>
        </row>
        <row r="145">
          <cell r="D145" t="str">
            <v>15-01-150</v>
          </cell>
          <cell r="E145" t="str">
            <v>E-RA2-017</v>
          </cell>
          <cell r="G145" t="str">
            <v>SUMINISTRO, MONTAJE Y PUESTA EN OPERACION DE: GRUPO DE NORMA RA2-017.</v>
          </cell>
          <cell r="H145" t="str">
            <v>U</v>
          </cell>
          <cell r="I145">
            <v>2002242.4000000001</v>
          </cell>
          <cell r="J145">
            <v>2</v>
          </cell>
          <cell r="K145">
            <v>4004484.8000000003</v>
          </cell>
          <cell r="L145">
            <v>2</v>
          </cell>
          <cell r="M145">
            <v>4004484.8000000003</v>
          </cell>
          <cell r="N145">
            <v>0</v>
          </cell>
          <cell r="O145">
            <v>0</v>
          </cell>
          <cell r="P145">
            <v>9</v>
          </cell>
        </row>
        <row r="146">
          <cell r="D146" t="str">
            <v>15-01-170</v>
          </cell>
          <cell r="E146" t="str">
            <v>E-GRUPO 0 A 7</v>
          </cell>
          <cell r="G146" t="str">
            <v>SUMINISTRO, MONTAJE Y PUESTA EN OPERACION DE: LINEA 4X266.8 ACSR CUBIERTO.</v>
          </cell>
          <cell r="H146" t="str">
            <v>M</v>
          </cell>
          <cell r="I146">
            <v>128205.16</v>
          </cell>
          <cell r="J146">
            <v>517</v>
          </cell>
          <cell r="K146">
            <v>66282067.719999999</v>
          </cell>
          <cell r="L146">
            <v>517</v>
          </cell>
          <cell r="M146">
            <v>66282067.719999999</v>
          </cell>
          <cell r="N146">
            <v>0</v>
          </cell>
          <cell r="O146">
            <v>0</v>
          </cell>
          <cell r="P146">
            <v>9</v>
          </cell>
        </row>
        <row r="147">
          <cell r="D147" t="str">
            <v>15-01-180</v>
          </cell>
          <cell r="E147" t="str">
            <v>E-GRUPO 0 A 7</v>
          </cell>
          <cell r="G147" t="str">
            <v>SUMINISTRO, MONTAJE Y PUESTA EN OPERACION DE: POSTE DE CONCRETO DE 8M.</v>
          </cell>
          <cell r="H147" t="str">
            <v>U</v>
          </cell>
          <cell r="I147">
            <v>1502453.53</v>
          </cell>
          <cell r="J147">
            <v>1</v>
          </cell>
          <cell r="K147">
            <v>1502453.53</v>
          </cell>
          <cell r="L147">
            <v>1</v>
          </cell>
          <cell r="M147">
            <v>1502453.53</v>
          </cell>
          <cell r="N147">
            <v>0</v>
          </cell>
          <cell r="O147">
            <v>0</v>
          </cell>
          <cell r="P147">
            <v>9</v>
          </cell>
        </row>
        <row r="148">
          <cell r="D148" t="str">
            <v>15-01-190</v>
          </cell>
          <cell r="E148" t="str">
            <v>E-RS3-002</v>
          </cell>
          <cell r="G148" t="str">
            <v>SUMINISTRO, MONTAJE Y PUESTA EN OPERACION DE: CAJAS DE PISO SEGUN NORMA RS3-002 COMPLETAS.</v>
          </cell>
          <cell r="H148" t="str">
            <v>U</v>
          </cell>
          <cell r="I148">
            <v>381159.61999999994</v>
          </cell>
          <cell r="J148">
            <v>5</v>
          </cell>
          <cell r="K148">
            <v>1905798.0999999996</v>
          </cell>
          <cell r="L148">
            <v>5</v>
          </cell>
          <cell r="M148">
            <v>1905798.0999999996</v>
          </cell>
          <cell r="N148">
            <v>0</v>
          </cell>
          <cell r="O148">
            <v>0</v>
          </cell>
          <cell r="P148">
            <v>9</v>
          </cell>
        </row>
        <row r="149">
          <cell r="D149" t="str">
            <v>15-01-200</v>
          </cell>
          <cell r="E149" t="str">
            <v>E-RS3-003</v>
          </cell>
          <cell r="G149" t="str">
            <v>SUMINISTRO, MONTAJE Y PUESTA EN OPERACION DE: CAJAS DE PISO SEGUN NORMA RS3-003 COMPLETAS.</v>
          </cell>
          <cell r="H149" t="str">
            <v>U</v>
          </cell>
          <cell r="I149">
            <v>310892.77</v>
          </cell>
          <cell r="J149">
            <v>8</v>
          </cell>
          <cell r="K149">
            <v>2487142.16</v>
          </cell>
          <cell r="L149">
            <v>8</v>
          </cell>
          <cell r="M149">
            <v>2487142.16</v>
          </cell>
          <cell r="N149">
            <v>0</v>
          </cell>
          <cell r="O149">
            <v>0</v>
          </cell>
          <cell r="P149">
            <v>9</v>
          </cell>
        </row>
        <row r="150">
          <cell r="D150" t="str">
            <v>15-01-210</v>
          </cell>
          <cell r="E150" t="str">
            <v>E-GRUPO 0 A 7</v>
          </cell>
          <cell r="G150" t="str">
            <v>SUMINISTRO, MONTAJE Y PUESTA EN OPERACION DE: CANALIZACION EN PVC TIPO DB DE 1Ø 3". INCLUYE, EXCAVACION, BOTADA DE MATERIAL, LLENOS EN ARENILLA Y TODO LO NECESARIO PARA SU CORRECTA EJECUCION.</v>
          </cell>
          <cell r="H150" t="str">
            <v>M</v>
          </cell>
          <cell r="I150">
            <v>28463.21</v>
          </cell>
          <cell r="J150">
            <v>176</v>
          </cell>
          <cell r="K150">
            <v>5009524.96</v>
          </cell>
          <cell r="L150">
            <v>176</v>
          </cell>
          <cell r="M150">
            <v>5009524.96</v>
          </cell>
          <cell r="N150">
            <v>0</v>
          </cell>
          <cell r="O150">
            <v>0</v>
          </cell>
          <cell r="P150">
            <v>9</v>
          </cell>
        </row>
        <row r="151">
          <cell r="D151" t="str">
            <v>15-01-215</v>
          </cell>
          <cell r="E151" t="str">
            <v>E-GRUPO 0 A 7</v>
          </cell>
          <cell r="G151" t="str">
            <v>SUMINISTRO, MONTAJE Y PUESTA EN OPERACION DE: CRUCE DE VIA CON CANALIZACION EN PVC TIPO DB DE 1Ø 3". INCLUYE, EXCAVACION, BOTADA DE MATERIAL, ATRACADA, LLENOS EN ARENILLA Y TODO LO NECESARIO PARA SU CORRECTA EJECUCION.</v>
          </cell>
          <cell r="H151" t="str">
            <v>M</v>
          </cell>
          <cell r="I151">
            <v>259079.66999999998</v>
          </cell>
          <cell r="J151">
            <v>53.900000000000006</v>
          </cell>
          <cell r="K151">
            <v>13964394.213000001</v>
          </cell>
          <cell r="L151">
            <v>53.900000000000006</v>
          </cell>
          <cell r="M151">
            <v>13964394.213000001</v>
          </cell>
          <cell r="N151">
            <v>0</v>
          </cell>
          <cell r="O151">
            <v>0</v>
          </cell>
          <cell r="P151">
            <v>9</v>
          </cell>
        </row>
        <row r="152">
          <cell r="D152" t="str">
            <v>15-01-240</v>
          </cell>
          <cell r="E152" t="str">
            <v>E-GRUPO 0 A 7</v>
          </cell>
          <cell r="G152" t="str">
            <v>SUMINISTRO, MONTAJE Y PUESTA EN OPERACION DE: ACOMETIDA MONOFASICA SECUNDARIA EN 2 N° 4 + 1 N° 6 CU-THHN/THWN EN PVC DE 1-1/2" INCLUYE EXCAVACION, BOTADA DE MATERIAL Y TODO LO NECESARIO PARA SU CORRECTA EJECUCION.</v>
          </cell>
          <cell r="H152" t="str">
            <v>M</v>
          </cell>
          <cell r="I152">
            <v>81061.64</v>
          </cell>
          <cell r="J152">
            <v>276.10000000000002</v>
          </cell>
          <cell r="K152">
            <v>22381118.804000001</v>
          </cell>
          <cell r="L152">
            <v>276.10000000000002</v>
          </cell>
          <cell r="M152">
            <v>22381118.804000001</v>
          </cell>
          <cell r="N152">
            <v>0</v>
          </cell>
          <cell r="O152">
            <v>0</v>
          </cell>
          <cell r="P152">
            <v>9</v>
          </cell>
        </row>
        <row r="153">
          <cell r="D153" t="str">
            <v>15-01-250</v>
          </cell>
          <cell r="E153" t="str">
            <v>E-GRUPO 0 A 7</v>
          </cell>
          <cell r="G153" t="str">
            <v>SUMINISTRO, MONTAJE Y PUESTA EN OPERACION DE: ACOMETIDA MONOFASICA DOMICILIARIA EN 2 N° 8 + 1 N° 10 CU-THHN/THWN EN PVC DE 1" INCLUYE CONECTORIZACION, EXCAVACION, BOTADA DE MATERIAL Y TODO LO NECESARIO PARA SU CORRECTA EJECUCION.</v>
          </cell>
          <cell r="H153" t="str">
            <v>M</v>
          </cell>
          <cell r="I153">
            <v>66086.09</v>
          </cell>
          <cell r="J153">
            <v>66</v>
          </cell>
          <cell r="K153">
            <v>4361681.9399999995</v>
          </cell>
          <cell r="L153">
            <v>66</v>
          </cell>
          <cell r="M153">
            <v>4361681.9399999995</v>
          </cell>
          <cell r="N153">
            <v>0</v>
          </cell>
          <cell r="O153">
            <v>0</v>
          </cell>
          <cell r="P153">
            <v>9</v>
          </cell>
        </row>
        <row r="154">
          <cell r="D154" t="str">
            <v>15-01-260</v>
          </cell>
          <cell r="E154" t="str">
            <v>E-RA3-026</v>
          </cell>
          <cell r="G154" t="str">
            <v>SUMINISTRO, MONTAJE Y PUESTA EN OPERACION DE: TRASLADO DE TRANSFORMADOR MONOFASICO EXISTENTE SEGUN NORMA RA3-026.</v>
          </cell>
          <cell r="H154" t="str">
            <v>U</v>
          </cell>
          <cell r="I154">
            <v>316642.61</v>
          </cell>
          <cell r="J154">
            <v>4</v>
          </cell>
          <cell r="K154">
            <v>1266570.44</v>
          </cell>
          <cell r="L154">
            <v>4</v>
          </cell>
          <cell r="M154">
            <v>1266570.44</v>
          </cell>
          <cell r="N154">
            <v>0</v>
          </cell>
          <cell r="O154">
            <v>0</v>
          </cell>
          <cell r="P154">
            <v>9</v>
          </cell>
        </row>
        <row r="155">
          <cell r="D155" t="str">
            <v>15-01-270</v>
          </cell>
          <cell r="E155" t="str">
            <v>E-GRUPO 0 A 7</v>
          </cell>
          <cell r="G155" t="str">
            <v>RETIRO Y REINTEGRO A EMPRESAS PUBLICAS DE MEDELLIN DE POSTERIA DE CONCRETO DE 12 M. INCLUYE LAS RESPECTIVAS VESTIDAS Y VIENTOS.</v>
          </cell>
          <cell r="H155" t="str">
            <v>U</v>
          </cell>
          <cell r="I155">
            <v>236992.35</v>
          </cell>
          <cell r="J155">
            <v>6</v>
          </cell>
          <cell r="K155">
            <v>1421954.1</v>
          </cell>
          <cell r="L155">
            <v>6</v>
          </cell>
          <cell r="M155">
            <v>1421954.1</v>
          </cell>
          <cell r="N155">
            <v>0</v>
          </cell>
          <cell r="O155">
            <v>0</v>
          </cell>
          <cell r="P155">
            <v>9</v>
          </cell>
        </row>
        <row r="156">
          <cell r="D156" t="str">
            <v>15-01-280</v>
          </cell>
          <cell r="E156" t="str">
            <v>E-GRUPO 0 A 7</v>
          </cell>
          <cell r="G156" t="str">
            <v>RETIRO Y REINTEGRO A EMPRESAS PUBLICAS DE MEDELLIN DE POSTERIA DE CONCRETO DE 8 M. INCLUYE LAS RESPECTIVAS VESTIDAS Y VIENTOS.</v>
          </cell>
          <cell r="H156" t="str">
            <v>U</v>
          </cell>
          <cell r="I156">
            <v>169492.06</v>
          </cell>
          <cell r="J156">
            <v>1</v>
          </cell>
          <cell r="K156">
            <v>169492.06</v>
          </cell>
          <cell r="L156">
            <v>1</v>
          </cell>
          <cell r="M156">
            <v>169492.06</v>
          </cell>
          <cell r="N156">
            <v>0</v>
          </cell>
          <cell r="O156">
            <v>0</v>
          </cell>
          <cell r="P156">
            <v>9</v>
          </cell>
        </row>
        <row r="157">
          <cell r="D157" t="str">
            <v>15-01-290</v>
          </cell>
          <cell r="E157" t="str">
            <v>E-GRUPO 0 A 7</v>
          </cell>
          <cell r="G157" t="str">
            <v>RETIRO Y REINTEGRO DE RED PRIMARIA DOBLE CIRCUITO EXISTENTE INCLUYE ESPACIADORES Y REMACHES.</v>
          </cell>
          <cell r="H157" t="str">
            <v>M</v>
          </cell>
          <cell r="I157">
            <v>6074.9899999999989</v>
          </cell>
          <cell r="J157">
            <v>401.50000000000006</v>
          </cell>
          <cell r="K157">
            <v>2439108.4849999999</v>
          </cell>
          <cell r="L157">
            <v>401.50000000000006</v>
          </cell>
          <cell r="M157">
            <v>2439108.4849999999</v>
          </cell>
          <cell r="N157">
            <v>0</v>
          </cell>
          <cell r="O157">
            <v>0</v>
          </cell>
          <cell r="P157">
            <v>9</v>
          </cell>
        </row>
        <row r="158">
          <cell r="D158" t="str">
            <v>15-01-300</v>
          </cell>
          <cell r="E158" t="str">
            <v>E-GRUPO 0 A 7</v>
          </cell>
          <cell r="G158" t="str">
            <v>RETIRO Y REINTEGRO A EMPRESAS PUBLICAS DE MEDELLIN DE LINEA SECUNDARIA EN CABLE TRENZADO.</v>
          </cell>
          <cell r="H158" t="str">
            <v>M</v>
          </cell>
          <cell r="I158">
            <v>6074.9899999999989</v>
          </cell>
          <cell r="J158">
            <v>291.5</v>
          </cell>
          <cell r="K158">
            <v>1770859.5849999997</v>
          </cell>
          <cell r="L158">
            <v>291.5</v>
          </cell>
          <cell r="M158">
            <v>1770859.5849999997</v>
          </cell>
          <cell r="N158">
            <v>0</v>
          </cell>
          <cell r="O158">
            <v>0</v>
          </cell>
          <cell r="P158">
            <v>9</v>
          </cell>
        </row>
        <row r="159">
          <cell r="D159" t="str">
            <v>15-01-310</v>
          </cell>
          <cell r="E159" t="str">
            <v>E-GRUPO 0 A 7</v>
          </cell>
          <cell r="G159" t="str">
            <v>RETIRO Y REINTEGRO A EMPRESAS PUBLICAS DE MEDELLIN DE LAMPARAS DE ALUMBRADO PUBLICO.</v>
          </cell>
          <cell r="H159" t="str">
            <v>U</v>
          </cell>
          <cell r="I159">
            <v>45291.58</v>
          </cell>
          <cell r="J159">
            <v>8</v>
          </cell>
          <cell r="K159">
            <v>362332.64</v>
          </cell>
          <cell r="L159">
            <v>8</v>
          </cell>
          <cell r="M159">
            <v>362332.64</v>
          </cell>
          <cell r="N159">
            <v>0</v>
          </cell>
          <cell r="O159">
            <v>0</v>
          </cell>
          <cell r="P159">
            <v>9</v>
          </cell>
        </row>
        <row r="160">
          <cell r="D160" t="str">
            <v>15-02</v>
          </cell>
          <cell r="G160" t="str">
            <v>ILUMINACION</v>
          </cell>
          <cell r="I160">
            <v>0</v>
          </cell>
          <cell r="J160">
            <v>0</v>
          </cell>
          <cell r="K160">
            <v>250510803.32000002</v>
          </cell>
          <cell r="L160">
            <v>0</v>
          </cell>
          <cell r="M160">
            <v>250510803.32000002</v>
          </cell>
          <cell r="N160">
            <v>0</v>
          </cell>
          <cell r="O160">
            <v>0</v>
          </cell>
          <cell r="P160">
            <v>5</v>
          </cell>
        </row>
        <row r="161">
          <cell r="D161" t="str">
            <v>15-02-010</v>
          </cell>
          <cell r="E161" t="str">
            <v>E-GRUPO 0 A 7</v>
          </cell>
          <cell r="G161"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61" t="str">
            <v>U</v>
          </cell>
          <cell r="I161">
            <v>1435715.77</v>
          </cell>
          <cell r="J161">
            <v>45</v>
          </cell>
          <cell r="K161">
            <v>64607209.649999999</v>
          </cell>
          <cell r="L161">
            <v>45</v>
          </cell>
          <cell r="M161">
            <v>64607209.649999999</v>
          </cell>
          <cell r="N161">
            <v>0</v>
          </cell>
          <cell r="O161">
            <v>0</v>
          </cell>
          <cell r="P161">
            <v>9</v>
          </cell>
        </row>
        <row r="162">
          <cell r="D162" t="str">
            <v>15-02-020</v>
          </cell>
          <cell r="E162" t="str">
            <v>E-GRUPO 0 A 7</v>
          </cell>
          <cell r="G162" t="str">
            <v>SUMINISTRO E INSTALACION DE BRAZO METALICO PARA ALUMBRADO PUBLICO DE 11/2" - 52°/0°, INCLUYE BRAZO, INSTALACION, TRANSPORTE, ELEMENTOS DE ANCLAJE Y FIJACION, Y TODOS LOS ELEMENTOS NECESARIOS PARA SU CORRECTA INSTALACION.</v>
          </cell>
          <cell r="H162" t="str">
            <v>U</v>
          </cell>
          <cell r="I162">
            <v>129643.15</v>
          </cell>
          <cell r="J162">
            <v>45</v>
          </cell>
          <cell r="K162">
            <v>5833941.75</v>
          </cell>
          <cell r="L162">
            <v>45</v>
          </cell>
          <cell r="M162">
            <v>5833941.75</v>
          </cell>
          <cell r="N162">
            <v>0</v>
          </cell>
          <cell r="O162">
            <v>0</v>
          </cell>
          <cell r="P162">
            <v>9</v>
          </cell>
        </row>
        <row r="163">
          <cell r="D163" t="str">
            <v>15-02-021</v>
          </cell>
          <cell r="E163" t="str">
            <v>E-GRUPO 0 A 7</v>
          </cell>
          <cell r="G163" t="str">
            <v>SUMINISTRO E INSTALACION DE LUMINARIA APOLLO SERIES LED GL2 COMPAC 2 - 70W , INCLUYE LUMINARIA LED, INSTALACION, TRANSPORTE, KIT ELECTRICO, CABLE ENCAUCHETADO 3X12 AWG, ELEMENTOS DE ANCLAJE Y FIJACION Y TODOS LOS ELEMENTOS NECESARIOS PARA SU CORRECTO FUNCIONAMIENTO. ESTA LUMINARIA DEBE CUMPLIR CON EL RETILAP Y EL RETIE.</v>
          </cell>
          <cell r="H163" t="str">
            <v>U</v>
          </cell>
          <cell r="I163">
            <v>1835715.77</v>
          </cell>
          <cell r="J163">
            <v>12</v>
          </cell>
          <cell r="K163">
            <v>22028589.240000002</v>
          </cell>
          <cell r="L163">
            <v>12</v>
          </cell>
          <cell r="M163">
            <v>22028589.240000002</v>
          </cell>
          <cell r="N163">
            <v>0</v>
          </cell>
          <cell r="O163">
            <v>0</v>
          </cell>
          <cell r="P163">
            <v>9</v>
          </cell>
        </row>
        <row r="164">
          <cell r="D164" t="str">
            <v>15-02-030</v>
          </cell>
          <cell r="E164" t="str">
            <v>E-GRUPO 0 A 7</v>
          </cell>
          <cell r="G16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64" t="str">
            <v>U</v>
          </cell>
          <cell r="I164">
            <v>1620031.5499999998</v>
          </cell>
          <cell r="J164">
            <v>26</v>
          </cell>
          <cell r="K164">
            <v>42120820.299999997</v>
          </cell>
          <cell r="L164">
            <v>26</v>
          </cell>
          <cell r="M164">
            <v>42120820.299999997</v>
          </cell>
          <cell r="N164">
            <v>0</v>
          </cell>
          <cell r="O164">
            <v>0</v>
          </cell>
          <cell r="P164">
            <v>9</v>
          </cell>
        </row>
        <row r="165">
          <cell r="D165" t="str">
            <v>15-02-050</v>
          </cell>
          <cell r="E165" t="str">
            <v>E-GRUPO 0 A 7</v>
          </cell>
          <cell r="G165" t="str">
            <v>SUMINISTRO E INSTALACION DE TUBERIA CONDUIT, PVC Ø 2". INCLUYE TODO TIPO DE OBRA CIVIL ASOCIADA Y TODOS LOS ELEMENTOS NECESARIOS PARA SU CORRECTO FUNCIONAMIENTO.</v>
          </cell>
          <cell r="H165" t="str">
            <v>M</v>
          </cell>
          <cell r="I165">
            <v>31932.76</v>
          </cell>
          <cell r="J165">
            <v>704</v>
          </cell>
          <cell r="K165">
            <v>22480663.039999999</v>
          </cell>
          <cell r="L165">
            <v>704</v>
          </cell>
          <cell r="M165">
            <v>22480663.039999999</v>
          </cell>
          <cell r="N165">
            <v>0</v>
          </cell>
          <cell r="O165">
            <v>0</v>
          </cell>
          <cell r="P165">
            <v>9</v>
          </cell>
        </row>
        <row r="166">
          <cell r="D166" t="str">
            <v>15-02-060</v>
          </cell>
          <cell r="E166" t="str">
            <v>E-GRUPO 0 A 7</v>
          </cell>
          <cell r="G166" t="str">
            <v>SUMINISTRO E INSTALACION DE TUBERIA CONDUIT, PVC 2 Ø 2". INCLUYE TODO TIPO DE OBRA CIVIL ASOCIADA Y TODOS LOS ELEMENTOS NECESARIOS PARA SU CORRECTO FUNCIONAMIENTO.</v>
          </cell>
          <cell r="H166" t="str">
            <v>M</v>
          </cell>
          <cell r="I166">
            <v>53932.76</v>
          </cell>
          <cell r="J166">
            <v>145.20000000000002</v>
          </cell>
          <cell r="K166">
            <v>7831036.7520000013</v>
          </cell>
          <cell r="L166">
            <v>145.20000000000002</v>
          </cell>
          <cell r="M166">
            <v>7831036.7520000013</v>
          </cell>
          <cell r="N166">
            <v>0</v>
          </cell>
          <cell r="O166">
            <v>0</v>
          </cell>
          <cell r="P166">
            <v>9</v>
          </cell>
        </row>
        <row r="167">
          <cell r="D167" t="str">
            <v>15-02-070</v>
          </cell>
          <cell r="E167" t="str">
            <v>E-GRUPO 0 A 7</v>
          </cell>
          <cell r="G16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67" t="str">
            <v>M</v>
          </cell>
          <cell r="I167">
            <v>46793.540000000008</v>
          </cell>
          <cell r="J167">
            <v>880.00000000000011</v>
          </cell>
          <cell r="K167">
            <v>41178315.20000001</v>
          </cell>
          <cell r="L167">
            <v>880.00000000000011</v>
          </cell>
          <cell r="M167">
            <v>41178315.20000001</v>
          </cell>
          <cell r="N167">
            <v>0</v>
          </cell>
          <cell r="O167">
            <v>0</v>
          </cell>
          <cell r="P167">
            <v>9</v>
          </cell>
        </row>
        <row r="168">
          <cell r="D168" t="str">
            <v>15-02-080</v>
          </cell>
          <cell r="E168" t="str">
            <v>E-GRUPO 0 A 7</v>
          </cell>
          <cell r="G168" t="str">
            <v>SUMINISTRO E INSTALACION DE TRANSFORMADOR MONOFASICO - ACEITE - 15 KVA - 480/240V. INCLUYE TODOS LOS ELEMENTOS NECESARIOS PARA SU CORRECTO FUNCIONAMIENTO.</v>
          </cell>
          <cell r="H168" t="str">
            <v>U</v>
          </cell>
          <cell r="I168">
            <v>4446431.5500000007</v>
          </cell>
          <cell r="J168">
            <v>1</v>
          </cell>
          <cell r="K168">
            <v>4446431.5500000007</v>
          </cell>
          <cell r="L168">
            <v>1</v>
          </cell>
          <cell r="M168">
            <v>4446431.5500000007</v>
          </cell>
          <cell r="N168">
            <v>0</v>
          </cell>
          <cell r="O168">
            <v>0</v>
          </cell>
          <cell r="P168">
            <v>9</v>
          </cell>
        </row>
        <row r="169">
          <cell r="D169" t="str">
            <v>15-02-090</v>
          </cell>
          <cell r="E169" t="str">
            <v>E-GRUPO 0 A 7</v>
          </cell>
          <cell r="G169" t="str">
            <v>SUMINISTRO Y CONSTRUCCION DE CAJA DE PASO 50X50, ANTIFRAUDE, INCLUYE EXCAVACION, BOTADA DE ESCOMBROS, MARCACION CON PLAQUETA ACRILICA ESPECIFICANDO LA RED QUE CRUZA, EL NUMERO DEL TRANSFORMADOR Y VOLTAJE DE LA MISMA.</v>
          </cell>
          <cell r="H169" t="str">
            <v>U</v>
          </cell>
          <cell r="I169">
            <v>411445.19</v>
          </cell>
          <cell r="J169">
            <v>37</v>
          </cell>
          <cell r="K169">
            <v>15223472.029999999</v>
          </cell>
          <cell r="L169">
            <v>37</v>
          </cell>
          <cell r="M169">
            <v>15223472.029999999</v>
          </cell>
          <cell r="N169">
            <v>0</v>
          </cell>
          <cell r="O169">
            <v>0</v>
          </cell>
          <cell r="P169">
            <v>9</v>
          </cell>
        </row>
        <row r="170">
          <cell r="D170" t="str">
            <v>15-02-100</v>
          </cell>
          <cell r="E170" t="str">
            <v>E-GRUPO 0 A 7</v>
          </cell>
          <cell r="G17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70" t="str">
            <v>U</v>
          </cell>
          <cell r="I170">
            <v>221607.88999999998</v>
          </cell>
          <cell r="J170">
            <v>11</v>
          </cell>
          <cell r="K170">
            <v>2437686.79</v>
          </cell>
          <cell r="L170">
            <v>11</v>
          </cell>
          <cell r="M170">
            <v>2437686.79</v>
          </cell>
          <cell r="N170">
            <v>0</v>
          </cell>
          <cell r="O170">
            <v>0</v>
          </cell>
          <cell r="P170">
            <v>9</v>
          </cell>
        </row>
        <row r="171">
          <cell r="D171" t="str">
            <v>15-02-110</v>
          </cell>
          <cell r="E171" t="str">
            <v>E-GRUPO 0 A 7</v>
          </cell>
          <cell r="G171" t="str">
            <v>DESMONTE DE INSTALACIONES ELECTRICAS EXISTENTES</v>
          </cell>
          <cell r="H171" t="str">
            <v>U</v>
          </cell>
          <cell r="I171">
            <v>223215.77</v>
          </cell>
          <cell r="J171">
            <v>45</v>
          </cell>
          <cell r="K171">
            <v>10044709.65</v>
          </cell>
          <cell r="L171">
            <v>45</v>
          </cell>
          <cell r="M171">
            <v>10044709.65</v>
          </cell>
          <cell r="N171">
            <v>0</v>
          </cell>
          <cell r="O171">
            <v>0</v>
          </cell>
          <cell r="P171">
            <v>9</v>
          </cell>
        </row>
        <row r="172">
          <cell r="D172" t="str">
            <v>15-02-120</v>
          </cell>
          <cell r="E172" t="str">
            <v>E-GRUPO 0 A 7</v>
          </cell>
          <cell r="G172" t="str">
            <v>CERTIFICACION RETIE</v>
          </cell>
          <cell r="H172" t="str">
            <v>U</v>
          </cell>
          <cell r="I172">
            <v>3000000</v>
          </cell>
          <cell r="J172">
            <v>1</v>
          </cell>
          <cell r="K172">
            <v>3000000</v>
          </cell>
          <cell r="L172">
            <v>1</v>
          </cell>
          <cell r="M172">
            <v>3000000</v>
          </cell>
          <cell r="N172">
            <v>0</v>
          </cell>
          <cell r="O172">
            <v>0</v>
          </cell>
          <cell r="P172">
            <v>9</v>
          </cell>
        </row>
        <row r="173">
          <cell r="D173" t="str">
            <v>15-02-130</v>
          </cell>
          <cell r="E173" t="str">
            <v>E-GRUPO 0 A 7</v>
          </cell>
          <cell r="G173" t="str">
            <v>CERTIFICACION RETILAP</v>
          </cell>
          <cell r="H173" t="str">
            <v>U</v>
          </cell>
          <cell r="I173">
            <v>4500000</v>
          </cell>
          <cell r="J173">
            <v>1</v>
          </cell>
          <cell r="K173">
            <v>4500000</v>
          </cell>
          <cell r="L173">
            <v>1</v>
          </cell>
          <cell r="M173">
            <v>4500000</v>
          </cell>
          <cell r="N173">
            <v>0</v>
          </cell>
          <cell r="O173">
            <v>0</v>
          </cell>
          <cell r="P173">
            <v>9</v>
          </cell>
        </row>
        <row r="174">
          <cell r="D174" t="str">
            <v>15-02-140</v>
          </cell>
          <cell r="E174" t="str">
            <v>E-GRUPO 0 A 7</v>
          </cell>
          <cell r="G174" t="str">
            <v>LEGALIZACION ANTE EL O.R</v>
          </cell>
          <cell r="H174" t="str">
            <v>U</v>
          </cell>
          <cell r="I174">
            <v>1500000</v>
          </cell>
          <cell r="J174">
            <v>1</v>
          </cell>
          <cell r="K174">
            <v>1500000</v>
          </cell>
          <cell r="L174">
            <v>1</v>
          </cell>
          <cell r="M174">
            <v>1500000</v>
          </cell>
          <cell r="N174">
            <v>0</v>
          </cell>
          <cell r="O174">
            <v>0</v>
          </cell>
          <cell r="P174">
            <v>9</v>
          </cell>
        </row>
        <row r="175">
          <cell r="D175" t="str">
            <v>15-02-150</v>
          </cell>
          <cell r="E175" t="str">
            <v>E-GRUPO 0 A 7</v>
          </cell>
          <cell r="G17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75" t="str">
            <v>U</v>
          </cell>
          <cell r="I175">
            <v>2401031.5500000003</v>
          </cell>
          <cell r="J175">
            <v>1</v>
          </cell>
          <cell r="K175">
            <v>2401031.5500000003</v>
          </cell>
          <cell r="L175">
            <v>1</v>
          </cell>
          <cell r="M175">
            <v>2401031.5500000003</v>
          </cell>
          <cell r="N175">
            <v>0</v>
          </cell>
          <cell r="O175">
            <v>0</v>
          </cell>
          <cell r="P175">
            <v>9</v>
          </cell>
        </row>
        <row r="176">
          <cell r="D176" t="str">
            <v>15-02-160</v>
          </cell>
          <cell r="E176" t="str">
            <v>E-GRUPO 0 A 7</v>
          </cell>
          <cell r="G176" t="str">
            <v>SUMINISTRO E INSTALACION DE CONTADOR DE ENERGIA ACTIVA, MONOFASICO, BIFILAR, 240/120 V, 10/60A, CICLOMETRICO (DE INDUCCION). INCLUYE, CONTADOR, CAJA Y TODOS LOS ELEMENTOS NECESARIOS PARA SU CORRECTO FUNCIONAMIENTO.</v>
          </cell>
          <cell r="H176" t="str">
            <v>U</v>
          </cell>
          <cell r="I176">
            <v>351607.89</v>
          </cell>
          <cell r="J176">
            <v>1</v>
          </cell>
          <cell r="K176">
            <v>351607.89</v>
          </cell>
          <cell r="L176">
            <v>1</v>
          </cell>
          <cell r="M176">
            <v>351607.89</v>
          </cell>
          <cell r="N176">
            <v>0</v>
          </cell>
          <cell r="O176">
            <v>0</v>
          </cell>
          <cell r="P176">
            <v>9</v>
          </cell>
        </row>
        <row r="177">
          <cell r="D177" t="str">
            <v>15-02-250</v>
          </cell>
          <cell r="E177" t="str">
            <v>E-GRUPO 0 A 7</v>
          </cell>
          <cell r="G177"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H177" t="str">
            <v>M</v>
          </cell>
          <cell r="I177">
            <v>39794.540000000008</v>
          </cell>
          <cell r="J177">
            <v>13.200000000000001</v>
          </cell>
          <cell r="K177">
            <v>525287.92800000019</v>
          </cell>
          <cell r="L177">
            <v>13.200000000000001</v>
          </cell>
          <cell r="M177">
            <v>525287.92800000019</v>
          </cell>
          <cell r="N177">
            <v>0</v>
          </cell>
          <cell r="O177">
            <v>0</v>
          </cell>
          <cell r="P177">
            <v>9</v>
          </cell>
        </row>
        <row r="178">
          <cell r="D178" t="str">
            <v>15-03</v>
          </cell>
          <cell r="G178" t="str">
            <v>TELECOMUNICACIONES</v>
          </cell>
          <cell r="I178">
            <v>0</v>
          </cell>
          <cell r="J178">
            <v>0</v>
          </cell>
          <cell r="K178">
            <v>147649081.80000001</v>
          </cell>
          <cell r="L178">
            <v>0</v>
          </cell>
          <cell r="M178">
            <v>147649081.80000001</v>
          </cell>
          <cell r="N178">
            <v>0</v>
          </cell>
          <cell r="O178">
            <v>0</v>
          </cell>
          <cell r="P178">
            <v>5</v>
          </cell>
        </row>
        <row r="179">
          <cell r="D179" t="str">
            <v>15-03-010</v>
          </cell>
          <cell r="E179" t="str">
            <v>E-GRUPO 0 A 7</v>
          </cell>
          <cell r="G179" t="str">
            <v>SUMINISTRO, MONTAJE Y PUESTA EN OPERACION DE: CAJA PARA DOS TAPAS 60X80 COMPLETA (TEL NIN-115).</v>
          </cell>
          <cell r="H179" t="str">
            <v>U</v>
          </cell>
          <cell r="I179">
            <v>880135.66</v>
          </cell>
          <cell r="J179">
            <v>6</v>
          </cell>
          <cell r="K179">
            <v>5280813.96</v>
          </cell>
          <cell r="L179">
            <v>6</v>
          </cell>
          <cell r="M179">
            <v>5280813.96</v>
          </cell>
          <cell r="N179">
            <v>0</v>
          </cell>
          <cell r="O179">
            <v>0</v>
          </cell>
          <cell r="P179">
            <v>9</v>
          </cell>
        </row>
        <row r="180">
          <cell r="D180" t="str">
            <v>15-03-012</v>
          </cell>
          <cell r="E180" t="str">
            <v>E-GRUPO 0 A 7</v>
          </cell>
          <cell r="G180" t="str">
            <v>SUMINISTRO, MONTAJE Y PUESTA EN OPERACION DE: CAMARA PARA SALIDA DE CENTRAL COMPLETA (TEL NIN-110).</v>
          </cell>
          <cell r="H180" t="str">
            <v>U</v>
          </cell>
          <cell r="I180">
            <v>7990722.0300000012</v>
          </cell>
          <cell r="J180">
            <v>2</v>
          </cell>
          <cell r="K180">
            <v>15981444.060000002</v>
          </cell>
          <cell r="L180">
            <v>2</v>
          </cell>
          <cell r="M180">
            <v>15981444.060000002</v>
          </cell>
          <cell r="N180">
            <v>0</v>
          </cell>
          <cell r="O180">
            <v>0</v>
          </cell>
          <cell r="P180">
            <v>9</v>
          </cell>
        </row>
        <row r="181">
          <cell r="D181" t="str">
            <v>15-03-014</v>
          </cell>
          <cell r="E181" t="str">
            <v>E-GRUPO 0 A 7</v>
          </cell>
          <cell r="G181" t="str">
            <v>SUMINISTRO, MONTAJE Y PUESTA EN OPERACION DE: CAJA DE PASO 1 COMPLETA (TEL NIN-104).</v>
          </cell>
          <cell r="H181" t="str">
            <v>U</v>
          </cell>
          <cell r="I181">
            <v>5440437.0199999996</v>
          </cell>
          <cell r="J181">
            <v>3</v>
          </cell>
          <cell r="K181">
            <v>16321311.059999999</v>
          </cell>
          <cell r="L181">
            <v>3</v>
          </cell>
          <cell r="M181">
            <v>16321311.059999999</v>
          </cell>
          <cell r="N181">
            <v>0</v>
          </cell>
          <cell r="O181">
            <v>0</v>
          </cell>
          <cell r="P181">
            <v>9</v>
          </cell>
        </row>
        <row r="182">
          <cell r="D182" t="str">
            <v>15-03-016</v>
          </cell>
          <cell r="E182" t="str">
            <v>E-GRUPO 0 A 7</v>
          </cell>
          <cell r="G182" t="str">
            <v>SUMINISTRO, MONTAJE Y PUESTA EN OPERACION DE: CAJA DE PASO TIPO A COMPLETA (TEL NIN-101).</v>
          </cell>
          <cell r="H182" t="str">
            <v>U</v>
          </cell>
          <cell r="I182">
            <v>7494314.9699999997</v>
          </cell>
          <cell r="J182">
            <v>2</v>
          </cell>
          <cell r="K182">
            <v>14988629.939999999</v>
          </cell>
          <cell r="L182">
            <v>2</v>
          </cell>
          <cell r="M182">
            <v>14988629.939999999</v>
          </cell>
          <cell r="N182">
            <v>0</v>
          </cell>
          <cell r="O182">
            <v>0</v>
          </cell>
          <cell r="P182">
            <v>9</v>
          </cell>
        </row>
        <row r="183">
          <cell r="D183" t="str">
            <v>15-03-018</v>
          </cell>
          <cell r="E183" t="str">
            <v>E-GRUPO 0 A 7</v>
          </cell>
          <cell r="G183" t="str">
            <v>SUMINISTRO, MONTAJE Y PUESTA EN OPERACION DE: CAJA DE PASO DE 1MX 1M COMPLETA (TEL NIN-111).</v>
          </cell>
          <cell r="H183" t="str">
            <v>U</v>
          </cell>
          <cell r="I183">
            <v>1513964.5199999998</v>
          </cell>
          <cell r="J183">
            <v>4</v>
          </cell>
          <cell r="K183">
            <v>6055858.0799999991</v>
          </cell>
          <cell r="L183">
            <v>4</v>
          </cell>
          <cell r="M183">
            <v>6055858.0799999991</v>
          </cell>
          <cell r="N183">
            <v>0</v>
          </cell>
          <cell r="O183">
            <v>0</v>
          </cell>
          <cell r="P183">
            <v>9</v>
          </cell>
        </row>
        <row r="184">
          <cell r="D184" t="str">
            <v>15-03-020</v>
          </cell>
          <cell r="E184" t="str">
            <v>E-TEL-NIN-114</v>
          </cell>
          <cell r="G184" t="str">
            <v>SUMINISTRO, MONTAJE Y PUESTA EN OPERACION DE: CAJA PARA UNA TAPA 60X80 COMPLETA (TEL NIN-114).</v>
          </cell>
          <cell r="H184" t="str">
            <v>U</v>
          </cell>
          <cell r="I184">
            <v>615644.05000000005</v>
          </cell>
          <cell r="J184">
            <v>8</v>
          </cell>
          <cell r="K184">
            <v>4925152.4000000004</v>
          </cell>
          <cell r="L184">
            <v>8</v>
          </cell>
          <cell r="M184">
            <v>4925152.4000000004</v>
          </cell>
          <cell r="N184">
            <v>0</v>
          </cell>
          <cell r="O184">
            <v>0</v>
          </cell>
          <cell r="P184">
            <v>9</v>
          </cell>
        </row>
        <row r="185">
          <cell r="D185" t="str">
            <v>15-03-050</v>
          </cell>
          <cell r="E185" t="str">
            <v>E-GRUPO 0 A 7</v>
          </cell>
          <cell r="G185" t="str">
            <v>SUMINISTRO, MONTAJE Y PUESTA EN OPERACION DE: CANALIZACION EN PVC TIPO DB DE 3Ø 3". INCLUYE: EXCAVACION, BOTADA DE MATERIAL, LLENOS EN ARENILLA Y TODO LO NECESARIO PARA SU CORRECTA EJECUCION.</v>
          </cell>
          <cell r="H185" t="str">
            <v>M</v>
          </cell>
          <cell r="I185">
            <v>79087.86</v>
          </cell>
          <cell r="J185">
            <v>275</v>
          </cell>
          <cell r="K185">
            <v>21749161.5</v>
          </cell>
          <cell r="L185">
            <v>275</v>
          </cell>
          <cell r="M185">
            <v>21749161.5</v>
          </cell>
          <cell r="N185">
            <v>0</v>
          </cell>
          <cell r="O185">
            <v>0</v>
          </cell>
          <cell r="P185">
            <v>9</v>
          </cell>
        </row>
        <row r="186">
          <cell r="D186" t="str">
            <v>15-03-085</v>
          </cell>
          <cell r="E186" t="str">
            <v>E-GRUPO 0 A 7</v>
          </cell>
          <cell r="G186" t="str">
            <v>SUMINISTRO, MONTAJE Y PUESTA EN OPERACION DE: CANALIZACION EN PVC TIPO DB DE 6Ø 4". INCLUYE, EXCAVACION, BOTADA DE MATERIAL, LLENOS EN ARENILLA Y TODO LO NECESARIO PARA SU CORRECTA EJECUCION.</v>
          </cell>
          <cell r="H186" t="str">
            <v>M</v>
          </cell>
          <cell r="I186">
            <v>236161.78</v>
          </cell>
          <cell r="J186">
            <v>253.00000000000003</v>
          </cell>
          <cell r="K186">
            <v>59748930.340000004</v>
          </cell>
          <cell r="L186">
            <v>253.00000000000003</v>
          </cell>
          <cell r="M186">
            <v>59748930.340000004</v>
          </cell>
          <cell r="N186">
            <v>0</v>
          </cell>
          <cell r="O186">
            <v>0</v>
          </cell>
          <cell r="P186">
            <v>9</v>
          </cell>
        </row>
        <row r="187">
          <cell r="D187" t="str">
            <v>15-03-087</v>
          </cell>
          <cell r="E187" t="str">
            <v>E-GRUPO 0 A 7</v>
          </cell>
          <cell r="G187" t="str">
            <v>SUMINISTRO, MONTAJE Y PUESTA EN OPERACION DE: CANALIZACION EN PVC TIPO DB DE 2Ø 4". INCLUYE, EXCAVACION, BOTADA DE MATERIAL, LLENOS EN ARENILLA Y TODO LO NECESARIO PARA SU CORRECTA EJECUCION.</v>
          </cell>
          <cell r="H187" t="str">
            <v>M</v>
          </cell>
          <cell r="I187">
            <v>78720.62</v>
          </cell>
          <cell r="J187">
            <v>33</v>
          </cell>
          <cell r="K187">
            <v>2597780.46</v>
          </cell>
          <cell r="L187">
            <v>33</v>
          </cell>
          <cell r="M187">
            <v>2597780.46</v>
          </cell>
          <cell r="N187">
            <v>0</v>
          </cell>
          <cell r="O187">
            <v>0</v>
          </cell>
          <cell r="P187">
            <v>9</v>
          </cell>
        </row>
        <row r="188">
          <cell r="D188" t="str">
            <v>18</v>
          </cell>
          <cell r="G188" t="str">
            <v>URBANISMO</v>
          </cell>
          <cell r="I188">
            <v>0</v>
          </cell>
          <cell r="J188">
            <v>0</v>
          </cell>
          <cell r="K188">
            <v>2441563900.3809257</v>
          </cell>
          <cell r="L188">
            <v>0</v>
          </cell>
          <cell r="M188">
            <v>0</v>
          </cell>
          <cell r="N188">
            <v>2441563900.3809257</v>
          </cell>
          <cell r="O188">
            <v>0.28482344975673346</v>
          </cell>
          <cell r="P188">
            <v>2</v>
          </cell>
        </row>
        <row r="189">
          <cell r="D189" t="str">
            <v>18-01</v>
          </cell>
          <cell r="G189" t="str">
            <v>ANDENES Y BORDILLOS</v>
          </cell>
          <cell r="I189">
            <v>0</v>
          </cell>
          <cell r="J189">
            <v>0</v>
          </cell>
          <cell r="K189">
            <v>358138781.11796486</v>
          </cell>
          <cell r="L189">
            <v>0</v>
          </cell>
          <cell r="M189">
            <v>358138781.11796486</v>
          </cell>
          <cell r="N189">
            <v>0</v>
          </cell>
          <cell r="O189">
            <v>0</v>
          </cell>
          <cell r="P189">
            <v>5</v>
          </cell>
        </row>
        <row r="190">
          <cell r="D190" t="str">
            <v>18-01-020</v>
          </cell>
          <cell r="E190" t="str">
            <v>E-403</v>
          </cell>
          <cell r="G190" t="str">
            <v>LOSA FUNDIDA 21 MPa E: 0.10 M - ANDENES</v>
          </cell>
          <cell r="H190" t="str">
            <v>M2</v>
          </cell>
          <cell r="I190">
            <v>83386.53</v>
          </cell>
          <cell r="J190">
            <v>1430.8184999999999</v>
          </cell>
          <cell r="K190">
            <v>119310989.77480498</v>
          </cell>
          <cell r="L190">
            <v>1430.8184999999999</v>
          </cell>
          <cell r="M190">
            <v>119310989.77480498</v>
          </cell>
          <cell r="N190">
            <v>0</v>
          </cell>
          <cell r="O190">
            <v>0</v>
          </cell>
          <cell r="P190">
            <v>9</v>
          </cell>
        </row>
        <row r="191">
          <cell r="D191" t="str">
            <v>18-01-030</v>
          </cell>
          <cell r="E191" t="str">
            <v>E-403</v>
          </cell>
          <cell r="G191" t="str">
            <v>LOSA TACTIL ALERTA Y GUIA 0.40X0.40 M</v>
          </cell>
          <cell r="H191" t="str">
            <v>M</v>
          </cell>
          <cell r="I191">
            <v>65364.599999999984</v>
          </cell>
          <cell r="J191">
            <v>2049.564499999999</v>
          </cell>
          <cell r="K191">
            <v>133968963.7166999</v>
          </cell>
          <cell r="L191">
            <v>2049.564499999999</v>
          </cell>
          <cell r="M191">
            <v>133968963.7166999</v>
          </cell>
          <cell r="N191">
            <v>0</v>
          </cell>
          <cell r="O191">
            <v>0</v>
          </cell>
          <cell r="P191">
            <v>9</v>
          </cell>
        </row>
        <row r="192">
          <cell r="D192" t="str">
            <v>18-01-040</v>
          </cell>
          <cell r="E192" t="str">
            <v>E-403</v>
          </cell>
          <cell r="G192" t="str">
            <v>TABLETA DEMARCADORA</v>
          </cell>
          <cell r="H192" t="str">
            <v>M</v>
          </cell>
          <cell r="I192">
            <v>26365.649999999998</v>
          </cell>
          <cell r="J192">
            <v>199.31799999999998</v>
          </cell>
          <cell r="K192">
            <v>5255148.626699999</v>
          </cell>
          <cell r="L192">
            <v>199.31799999999998</v>
          </cell>
          <cell r="M192">
            <v>5255148.626699999</v>
          </cell>
          <cell r="N192">
            <v>0</v>
          </cell>
          <cell r="O192">
            <v>0</v>
          </cell>
          <cell r="P192">
            <v>9</v>
          </cell>
        </row>
        <row r="193">
          <cell r="D193" t="str">
            <v>18-01-050</v>
          </cell>
          <cell r="E193" t="str">
            <v>E-402</v>
          </cell>
          <cell r="G193" t="str">
            <v>BORDILLOS BARRERA RECTO, CUADRANTE BARRERA, REBAJE, ESQUINERO BARRERA 90° Y RECTANGULAR RECTO (350)</v>
          </cell>
          <cell r="H193" t="str">
            <v>M</v>
          </cell>
          <cell r="I193">
            <v>51093.639999999985</v>
          </cell>
          <cell r="J193">
            <v>1949.4340000000002</v>
          </cell>
          <cell r="K193">
            <v>99603678.999759987</v>
          </cell>
          <cell r="L193">
            <v>1949.4340000000002</v>
          </cell>
          <cell r="M193">
            <v>99603678.999759987</v>
          </cell>
          <cell r="N193">
            <v>0</v>
          </cell>
          <cell r="O193">
            <v>0</v>
          </cell>
          <cell r="P193">
            <v>9</v>
          </cell>
        </row>
        <row r="194">
          <cell r="D194" t="str">
            <v>18-02</v>
          </cell>
          <cell r="G194" t="str">
            <v>PAVIMENTOS</v>
          </cell>
          <cell r="I194">
            <v>0</v>
          </cell>
          <cell r="J194">
            <v>0</v>
          </cell>
          <cell r="K194">
            <v>1725973281.6231449</v>
          </cell>
          <cell r="L194">
            <v>0</v>
          </cell>
          <cell r="M194">
            <v>1725973281.6231449</v>
          </cell>
          <cell r="N194">
            <v>0</v>
          </cell>
          <cell r="O194">
            <v>0</v>
          </cell>
          <cell r="P194">
            <v>5</v>
          </cell>
        </row>
        <row r="195">
          <cell r="D195" t="str">
            <v>18-02-870</v>
          </cell>
          <cell r="E195" t="str">
            <v>E-301</v>
          </cell>
          <cell r="G195" t="str">
            <v>RIEGO DE IMPRIMACION CON EMULSION ASFALTICA</v>
          </cell>
          <cell r="H195" t="str">
            <v>M2</v>
          </cell>
          <cell r="I195">
            <v>3317.54</v>
          </cell>
          <cell r="J195">
            <v>4239.6061</v>
          </cell>
          <cell r="K195">
            <v>14065062.820993999</v>
          </cell>
          <cell r="L195">
            <v>4239.6061</v>
          </cell>
          <cell r="M195">
            <v>14065062.820993999</v>
          </cell>
          <cell r="N195">
            <v>0</v>
          </cell>
          <cell r="O195">
            <v>0</v>
          </cell>
          <cell r="P195">
            <v>9</v>
          </cell>
        </row>
        <row r="196">
          <cell r="D196" t="str">
            <v>18-02-890</v>
          </cell>
          <cell r="E196" t="str">
            <v>E-307</v>
          </cell>
          <cell r="G196" t="str">
            <v>REPARACION DE PAVIMENTO EXISTENTE</v>
          </cell>
          <cell r="H196" t="str">
            <v>M3</v>
          </cell>
          <cell r="I196">
            <v>709421.48</v>
          </cell>
          <cell r="J196">
            <v>1510.1703399999999</v>
          </cell>
          <cell r="K196">
            <v>1071347277.6549031</v>
          </cell>
          <cell r="L196">
            <v>1510.1703399999999</v>
          </cell>
          <cell r="M196">
            <v>1071347277.6549031</v>
          </cell>
          <cell r="N196">
            <v>0</v>
          </cell>
          <cell r="O196">
            <v>0</v>
          </cell>
          <cell r="P196">
            <v>9</v>
          </cell>
        </row>
        <row r="197">
          <cell r="D197" t="str">
            <v>18-02-910</v>
          </cell>
          <cell r="E197" t="str">
            <v>E-303</v>
          </cell>
          <cell r="G197" t="str">
            <v>BASE GRANULAR COMPACTADA BG-1 CBR 80%</v>
          </cell>
          <cell r="H197" t="str">
            <v>M3</v>
          </cell>
          <cell r="I197">
            <v>87918.45</v>
          </cell>
          <cell r="J197">
            <v>1950.2188060000001</v>
          </cell>
          <cell r="K197">
            <v>171460214.5843707</v>
          </cell>
          <cell r="L197">
            <v>1950.2188060000001</v>
          </cell>
          <cell r="M197">
            <v>171460214.5843707</v>
          </cell>
          <cell r="N197">
            <v>0</v>
          </cell>
          <cell r="O197">
            <v>0</v>
          </cell>
          <cell r="P197">
            <v>9</v>
          </cell>
        </row>
        <row r="198">
          <cell r="D198" t="str">
            <v>18-02-920</v>
          </cell>
          <cell r="E198" t="str">
            <v>E-307</v>
          </cell>
          <cell r="G198" t="str">
            <v>MEZCLA ASFALTICA TIPO MSC-1</v>
          </cell>
          <cell r="H198" t="str">
            <v>M3</v>
          </cell>
          <cell r="I198">
            <v>556327.36</v>
          </cell>
          <cell r="J198">
            <v>381.56454899999994</v>
          </cell>
          <cell r="K198">
            <v>212274798.2147606</v>
          </cell>
          <cell r="L198">
            <v>381.56454899999994</v>
          </cell>
          <cell r="M198">
            <v>212274798.2147606</v>
          </cell>
          <cell r="N198">
            <v>0</v>
          </cell>
          <cell r="O198">
            <v>0</v>
          </cell>
          <cell r="P198">
            <v>9</v>
          </cell>
        </row>
        <row r="199">
          <cell r="D199" t="str">
            <v>18-02-930</v>
          </cell>
          <cell r="E199" t="str">
            <v>E-307</v>
          </cell>
          <cell r="G199" t="str">
            <v>MEZCLA ASFALTICA TIPO MDC-2</v>
          </cell>
          <cell r="H199" t="str">
            <v>M3</v>
          </cell>
          <cell r="I199">
            <v>574597.36</v>
          </cell>
          <cell r="J199">
            <v>446.96677399999993</v>
          </cell>
          <cell r="K199">
            <v>256825928.34811661</v>
          </cell>
          <cell r="L199">
            <v>446.96677399999993</v>
          </cell>
          <cell r="M199">
            <v>256825928.34811661</v>
          </cell>
          <cell r="N199">
            <v>0</v>
          </cell>
          <cell r="O199">
            <v>0</v>
          </cell>
          <cell r="P199">
            <v>9</v>
          </cell>
        </row>
        <row r="200">
          <cell r="D200" t="str">
            <v>18-03</v>
          </cell>
          <cell r="G200" t="str">
            <v>AMOBLAMIENTO URBANO</v>
          </cell>
          <cell r="I200">
            <v>0</v>
          </cell>
          <cell r="J200">
            <v>0</v>
          </cell>
          <cell r="K200">
            <v>70672775.200000003</v>
          </cell>
          <cell r="L200">
            <v>0</v>
          </cell>
          <cell r="M200">
            <v>70672775.200000003</v>
          </cell>
          <cell r="N200">
            <v>0</v>
          </cell>
          <cell r="O200">
            <v>0</v>
          </cell>
          <cell r="P200">
            <v>5</v>
          </cell>
        </row>
        <row r="201">
          <cell r="D201" t="str">
            <v>18-03-010</v>
          </cell>
          <cell r="E201" t="str">
            <v>P-010</v>
          </cell>
          <cell r="G201" t="str">
            <v>CANECA</v>
          </cell>
          <cell r="H201" t="str">
            <v>U</v>
          </cell>
          <cell r="I201">
            <v>738221.95000000007</v>
          </cell>
          <cell r="J201">
            <v>4</v>
          </cell>
          <cell r="K201">
            <v>2952887.8000000003</v>
          </cell>
          <cell r="L201">
            <v>4</v>
          </cell>
          <cell r="M201">
            <v>2952887.8000000003</v>
          </cell>
          <cell r="N201">
            <v>0</v>
          </cell>
          <cell r="O201">
            <v>0</v>
          </cell>
          <cell r="P201">
            <v>9</v>
          </cell>
        </row>
        <row r="202">
          <cell r="D202" t="str">
            <v>18-03-030</v>
          </cell>
          <cell r="E202" t="str">
            <v>P-010</v>
          </cell>
          <cell r="G202" t="str">
            <v>PARADEROS</v>
          </cell>
          <cell r="H202" t="str">
            <v>U</v>
          </cell>
          <cell r="I202">
            <v>16475667.170000002</v>
          </cell>
          <cell r="J202">
            <v>2</v>
          </cell>
          <cell r="K202">
            <v>32951334.340000004</v>
          </cell>
          <cell r="L202">
            <v>2</v>
          </cell>
          <cell r="M202">
            <v>32951334.340000004</v>
          </cell>
          <cell r="N202">
            <v>0</v>
          </cell>
          <cell r="O202">
            <v>0</v>
          </cell>
          <cell r="P202">
            <v>9</v>
          </cell>
        </row>
        <row r="203">
          <cell r="D203" t="str">
            <v>18-03-070</v>
          </cell>
          <cell r="E203" t="str">
            <v>P-010</v>
          </cell>
          <cell r="G203" t="str">
            <v>BANCA EN ACERO INOXIDABLE TIPO ARQUIMUEBLES L: 2.00 M</v>
          </cell>
          <cell r="H203" t="str">
            <v>U</v>
          </cell>
          <cell r="I203">
            <v>1835676.0400000003</v>
          </cell>
          <cell r="J203">
            <v>14</v>
          </cell>
          <cell r="K203">
            <v>25699464.560000002</v>
          </cell>
          <cell r="L203">
            <v>14</v>
          </cell>
          <cell r="M203">
            <v>25699464.560000002</v>
          </cell>
          <cell r="N203">
            <v>0</v>
          </cell>
          <cell r="O203">
            <v>0</v>
          </cell>
          <cell r="P203">
            <v>9</v>
          </cell>
        </row>
        <row r="204">
          <cell r="D204" t="str">
            <v>18-03-080</v>
          </cell>
          <cell r="E204" t="str">
            <v>P-010</v>
          </cell>
          <cell r="G204" t="str">
            <v>BOLARDOS</v>
          </cell>
          <cell r="H204" t="str">
            <v>U</v>
          </cell>
          <cell r="I204">
            <v>362763.54000000004</v>
          </cell>
          <cell r="J204">
            <v>25</v>
          </cell>
          <cell r="K204">
            <v>9069088.5</v>
          </cell>
          <cell r="L204">
            <v>25</v>
          </cell>
          <cell r="M204">
            <v>9069088.5</v>
          </cell>
          <cell r="N204">
            <v>0</v>
          </cell>
          <cell r="O204">
            <v>0</v>
          </cell>
          <cell r="P204">
            <v>9</v>
          </cell>
        </row>
        <row r="205">
          <cell r="D205" t="str">
            <v>18-04</v>
          </cell>
          <cell r="G205" t="str">
            <v>ARBORIZACION Y ESPECIES VEGETALES</v>
          </cell>
          <cell r="I205">
            <v>0</v>
          </cell>
          <cell r="J205">
            <v>0</v>
          </cell>
          <cell r="K205">
            <v>102596818.029815</v>
          </cell>
          <cell r="L205">
            <v>0</v>
          </cell>
          <cell r="M205">
            <v>102596818.029815</v>
          </cell>
          <cell r="N205">
            <v>0</v>
          </cell>
          <cell r="O205">
            <v>0</v>
          </cell>
          <cell r="P205">
            <v>5</v>
          </cell>
        </row>
        <row r="206">
          <cell r="D206" t="str">
            <v>18-04-010</v>
          </cell>
          <cell r="E206" t="str">
            <v>E-407</v>
          </cell>
          <cell r="G206" t="str">
            <v>ARBOLES</v>
          </cell>
          <cell r="H206" t="str">
            <v>U</v>
          </cell>
          <cell r="I206">
            <v>228237.27000000002</v>
          </cell>
          <cell r="J206">
            <v>76</v>
          </cell>
          <cell r="K206">
            <v>17346032.520000003</v>
          </cell>
          <cell r="L206">
            <v>76</v>
          </cell>
          <cell r="M206">
            <v>17346032.520000003</v>
          </cell>
          <cell r="N206">
            <v>0</v>
          </cell>
          <cell r="O206">
            <v>0</v>
          </cell>
          <cell r="P206">
            <v>9</v>
          </cell>
        </row>
        <row r="207">
          <cell r="D207" t="str">
            <v>18-04-020</v>
          </cell>
          <cell r="E207" t="str">
            <v>P-020</v>
          </cell>
          <cell r="G207" t="str">
            <v>ALCORQUES</v>
          </cell>
          <cell r="H207" t="str">
            <v>U</v>
          </cell>
          <cell r="I207">
            <v>515033.52</v>
          </cell>
          <cell r="J207">
            <v>69</v>
          </cell>
          <cell r="K207">
            <v>35537312.880000003</v>
          </cell>
          <cell r="L207">
            <v>69</v>
          </cell>
          <cell r="M207">
            <v>35537312.880000003</v>
          </cell>
          <cell r="N207">
            <v>0</v>
          </cell>
          <cell r="O207">
            <v>0</v>
          </cell>
          <cell r="P207">
            <v>9</v>
          </cell>
        </row>
        <row r="208">
          <cell r="D208" t="str">
            <v>18-04-030</v>
          </cell>
          <cell r="E208" t="str">
            <v>P-020</v>
          </cell>
          <cell r="G208" t="str">
            <v>MATERA MULTIESPECIES</v>
          </cell>
          <cell r="H208" t="str">
            <v>U</v>
          </cell>
          <cell r="I208">
            <v>281641.48000000004</v>
          </cell>
          <cell r="J208">
            <v>3</v>
          </cell>
          <cell r="K208">
            <v>844924.44000000018</v>
          </cell>
          <cell r="L208">
            <v>3</v>
          </cell>
          <cell r="M208">
            <v>844924.44000000018</v>
          </cell>
          <cell r="N208">
            <v>0</v>
          </cell>
          <cell r="O208">
            <v>0</v>
          </cell>
          <cell r="P208">
            <v>9</v>
          </cell>
        </row>
        <row r="209">
          <cell r="D209" t="str">
            <v>18-04-050</v>
          </cell>
          <cell r="E209" t="str">
            <v>E-406</v>
          </cell>
          <cell r="G209" t="str">
            <v>ZONA VERDE</v>
          </cell>
          <cell r="H209" t="str">
            <v>M2</v>
          </cell>
          <cell r="I209">
            <v>7724.41</v>
          </cell>
          <cell r="J209">
            <v>1577.1214999999997</v>
          </cell>
          <cell r="K209">
            <v>12182333.085814998</v>
          </cell>
          <cell r="L209">
            <v>1577.1214999999997</v>
          </cell>
          <cell r="M209">
            <v>12182333.085814998</v>
          </cell>
          <cell r="N209">
            <v>0</v>
          </cell>
          <cell r="O209">
            <v>0</v>
          </cell>
          <cell r="P209">
            <v>9</v>
          </cell>
        </row>
        <row r="210">
          <cell r="D210" t="str">
            <v>18-04-060</v>
          </cell>
          <cell r="E210" t="str">
            <v>E-405</v>
          </cell>
          <cell r="G210" t="str">
            <v>GRAVILLA</v>
          </cell>
          <cell r="H210" t="str">
            <v>M2</v>
          </cell>
          <cell r="I210">
            <v>90529.600000000006</v>
          </cell>
          <cell r="J210">
            <v>405.24</v>
          </cell>
          <cell r="K210">
            <v>36686215.104000002</v>
          </cell>
          <cell r="L210">
            <v>405.24</v>
          </cell>
          <cell r="M210">
            <v>36686215.104000002</v>
          </cell>
          <cell r="N210">
            <v>0</v>
          </cell>
          <cell r="O210">
            <v>0</v>
          </cell>
          <cell r="P210">
            <v>9</v>
          </cell>
        </row>
        <row r="211">
          <cell r="D211" t="str">
            <v>18-05</v>
          </cell>
          <cell r="G211" t="str">
            <v>SEÑALIZACION</v>
          </cell>
          <cell r="H211">
            <v>0</v>
          </cell>
          <cell r="I211">
            <v>0</v>
          </cell>
          <cell r="J211">
            <v>0</v>
          </cell>
          <cell r="K211">
            <v>30785902.929999996</v>
          </cell>
          <cell r="L211">
            <v>0</v>
          </cell>
          <cell r="M211">
            <v>30785902.929999996</v>
          </cell>
          <cell r="N211">
            <v>0</v>
          </cell>
          <cell r="O211">
            <v>0</v>
          </cell>
          <cell r="P211">
            <v>5</v>
          </cell>
        </row>
        <row r="212">
          <cell r="D212" t="str">
            <v>18-05-010</v>
          </cell>
          <cell r="E212" t="str">
            <v>I-700</v>
          </cell>
          <cell r="G212" t="str">
            <v>SEÑALES HORIZONTALES (FLECHAS Y TRIANGULOS)</v>
          </cell>
          <cell r="H212" t="str">
            <v>U</v>
          </cell>
          <cell r="I212">
            <v>58761.77</v>
          </cell>
          <cell r="J212">
            <v>32</v>
          </cell>
          <cell r="K212">
            <v>1880376.64</v>
          </cell>
          <cell r="L212">
            <v>32</v>
          </cell>
          <cell r="M212">
            <v>1880376.64</v>
          </cell>
          <cell r="N212">
            <v>0</v>
          </cell>
          <cell r="O212">
            <v>0</v>
          </cell>
          <cell r="P212">
            <v>9</v>
          </cell>
        </row>
        <row r="213">
          <cell r="D213" t="str">
            <v>18-05-015</v>
          </cell>
          <cell r="E213" t="str">
            <v>I-700</v>
          </cell>
          <cell r="G213" t="str">
            <v>SEÑALES HORIZONTALES (PARE EN LETRAS)</v>
          </cell>
          <cell r="H213" t="str">
            <v>U</v>
          </cell>
          <cell r="I213">
            <v>232880.36</v>
          </cell>
          <cell r="J213">
            <v>3</v>
          </cell>
          <cell r="K213">
            <v>698641.08</v>
          </cell>
          <cell r="L213">
            <v>3</v>
          </cell>
          <cell r="M213">
            <v>698641.08</v>
          </cell>
          <cell r="N213">
            <v>0</v>
          </cell>
          <cell r="O213">
            <v>0</v>
          </cell>
          <cell r="P213">
            <v>9</v>
          </cell>
        </row>
        <row r="214">
          <cell r="D214" t="str">
            <v>18-05-020</v>
          </cell>
          <cell r="E214" t="str">
            <v>I-710</v>
          </cell>
          <cell r="G214" t="str">
            <v>SEÑALES VERTICALES (REGLAMENTARIAS, PREVENTIVAS E INFORMATIVAS)</v>
          </cell>
          <cell r="H214" t="str">
            <v>U</v>
          </cell>
          <cell r="I214">
            <v>226588</v>
          </cell>
          <cell r="J214">
            <v>37</v>
          </cell>
          <cell r="K214">
            <v>8383756</v>
          </cell>
          <cell r="L214">
            <v>37</v>
          </cell>
          <cell r="M214">
            <v>8383756</v>
          </cell>
          <cell r="N214">
            <v>0</v>
          </cell>
          <cell r="O214">
            <v>0</v>
          </cell>
          <cell r="P214">
            <v>9</v>
          </cell>
        </row>
        <row r="215">
          <cell r="D215" t="str">
            <v>18-05-025</v>
          </cell>
          <cell r="E215" t="str">
            <v>I-710</v>
          </cell>
          <cell r="G215" t="str">
            <v>SEÑALES VERTICALES (SI-05 - 142X95 CM)</v>
          </cell>
          <cell r="H215" t="str">
            <v>U</v>
          </cell>
          <cell r="I215">
            <v>238188</v>
          </cell>
          <cell r="J215">
            <v>6</v>
          </cell>
          <cell r="K215">
            <v>1429128</v>
          </cell>
          <cell r="L215">
            <v>6</v>
          </cell>
          <cell r="M215">
            <v>1429128</v>
          </cell>
          <cell r="N215">
            <v>0</v>
          </cell>
          <cell r="O215">
            <v>0</v>
          </cell>
          <cell r="P215">
            <v>9</v>
          </cell>
        </row>
        <row r="216">
          <cell r="D216" t="str">
            <v>18-05-030</v>
          </cell>
          <cell r="E216" t="str">
            <v>I-710</v>
          </cell>
          <cell r="G216" t="str">
            <v>CHEVRON 1</v>
          </cell>
          <cell r="H216" t="str">
            <v>U</v>
          </cell>
          <cell r="I216">
            <v>145388</v>
          </cell>
          <cell r="J216">
            <v>1</v>
          </cell>
          <cell r="K216">
            <v>145388</v>
          </cell>
          <cell r="L216">
            <v>1</v>
          </cell>
          <cell r="M216">
            <v>145388</v>
          </cell>
          <cell r="N216">
            <v>0</v>
          </cell>
          <cell r="O216">
            <v>0</v>
          </cell>
          <cell r="P216">
            <v>9</v>
          </cell>
        </row>
        <row r="217">
          <cell r="D217" t="str">
            <v>18-05-040</v>
          </cell>
          <cell r="E217" t="str">
            <v>I-701</v>
          </cell>
          <cell r="G217" t="str">
            <v>TACHAS REFLECTIVAS</v>
          </cell>
          <cell r="H217" t="str">
            <v>U</v>
          </cell>
          <cell r="I217">
            <v>14044.73</v>
          </cell>
          <cell r="J217">
            <v>25</v>
          </cell>
          <cell r="K217">
            <v>351118.25</v>
          </cell>
          <cell r="L217">
            <v>25</v>
          </cell>
          <cell r="M217">
            <v>351118.25</v>
          </cell>
          <cell r="N217">
            <v>0</v>
          </cell>
          <cell r="O217">
            <v>0</v>
          </cell>
          <cell r="P217">
            <v>9</v>
          </cell>
        </row>
        <row r="218">
          <cell r="D218" t="str">
            <v>18-05-050</v>
          </cell>
          <cell r="E218" t="str">
            <v>I-700</v>
          </cell>
          <cell r="G218" t="str">
            <v>LINEAS AMARILLAS Y BLANCAS, CONTINUAS Y DISCONTINUAS</v>
          </cell>
          <cell r="H218" t="str">
            <v>M</v>
          </cell>
          <cell r="I218">
            <v>2357.06</v>
          </cell>
          <cell r="J218">
            <v>1924</v>
          </cell>
          <cell r="K218">
            <v>4534983.4399999995</v>
          </cell>
          <cell r="L218">
            <v>1924</v>
          </cell>
          <cell r="M218">
            <v>4534983.4399999995</v>
          </cell>
          <cell r="N218">
            <v>0</v>
          </cell>
          <cell r="O218">
            <v>0</v>
          </cell>
          <cell r="P218">
            <v>9</v>
          </cell>
        </row>
        <row r="219">
          <cell r="D219" t="str">
            <v>18-05-060</v>
          </cell>
          <cell r="E219" t="str">
            <v>I-700</v>
          </cell>
          <cell r="G219" t="str">
            <v>CEBRAS</v>
          </cell>
          <cell r="H219" t="str">
            <v>M</v>
          </cell>
          <cell r="I219">
            <v>175822.52</v>
          </cell>
          <cell r="J219">
            <v>76</v>
          </cell>
          <cell r="K219">
            <v>13362511.52</v>
          </cell>
          <cell r="L219">
            <v>76</v>
          </cell>
          <cell r="M219">
            <v>13362511.52</v>
          </cell>
          <cell r="N219">
            <v>0</v>
          </cell>
          <cell r="O219">
            <v>0</v>
          </cell>
          <cell r="P219">
            <v>9</v>
          </cell>
        </row>
        <row r="220">
          <cell r="D220" t="str">
            <v>18-06</v>
          </cell>
          <cell r="G220" t="str">
            <v>SEMAFORIZACION</v>
          </cell>
          <cell r="I220">
            <v>0</v>
          </cell>
          <cell r="J220">
            <v>0</v>
          </cell>
          <cell r="K220">
            <v>153396341.47999999</v>
          </cell>
          <cell r="L220">
            <v>0</v>
          </cell>
          <cell r="M220">
            <v>153396341.47999999</v>
          </cell>
          <cell r="N220">
            <v>0</v>
          </cell>
          <cell r="O220">
            <v>0</v>
          </cell>
          <cell r="P220">
            <v>5</v>
          </cell>
        </row>
        <row r="221">
          <cell r="D221" t="str">
            <v>18-06-010</v>
          </cell>
          <cell r="E221" t="str">
            <v>E-GRUPO 1</v>
          </cell>
          <cell r="G221" t="str">
            <v>CANALIZACION EN PAVIMENTO</v>
          </cell>
          <cell r="H221" t="str">
            <v>M</v>
          </cell>
          <cell r="I221">
            <v>291423.27</v>
          </cell>
          <cell r="J221">
            <v>15</v>
          </cell>
          <cell r="K221">
            <v>4371349.0500000007</v>
          </cell>
          <cell r="L221">
            <v>15</v>
          </cell>
          <cell r="M221">
            <v>4371349.0500000007</v>
          </cell>
          <cell r="N221">
            <v>0</v>
          </cell>
          <cell r="O221">
            <v>0</v>
          </cell>
          <cell r="P221">
            <v>9</v>
          </cell>
        </row>
        <row r="222">
          <cell r="D222" t="str">
            <v>18-06-020</v>
          </cell>
          <cell r="E222" t="str">
            <v>E-GRUPO 1</v>
          </cell>
          <cell r="G222" t="str">
            <v>CANALIZACION EN ANDEN</v>
          </cell>
          <cell r="H222" t="str">
            <v>M</v>
          </cell>
          <cell r="I222">
            <v>107233.27</v>
          </cell>
          <cell r="J222">
            <v>30</v>
          </cell>
          <cell r="K222">
            <v>3216998.1</v>
          </cell>
          <cell r="L222">
            <v>30</v>
          </cell>
          <cell r="M222">
            <v>3216998.1</v>
          </cell>
          <cell r="N222">
            <v>0</v>
          </cell>
          <cell r="O222">
            <v>0</v>
          </cell>
          <cell r="P222">
            <v>9</v>
          </cell>
        </row>
        <row r="223">
          <cell r="D223" t="str">
            <v>18-06-040</v>
          </cell>
          <cell r="E223" t="str">
            <v>E-GRUPO 3</v>
          </cell>
          <cell r="G223" t="str">
            <v>CAJAS DE INSPECCION DE 50 X 50</v>
          </cell>
          <cell r="H223" t="str">
            <v>U</v>
          </cell>
          <cell r="I223">
            <v>430903.32000000007</v>
          </cell>
          <cell r="J223">
            <v>4</v>
          </cell>
          <cell r="K223">
            <v>1723613.2800000003</v>
          </cell>
          <cell r="L223">
            <v>4</v>
          </cell>
          <cell r="M223">
            <v>1723613.2800000003</v>
          </cell>
          <cell r="N223">
            <v>0</v>
          </cell>
          <cell r="O223">
            <v>0</v>
          </cell>
          <cell r="P223">
            <v>9</v>
          </cell>
        </row>
        <row r="224">
          <cell r="D224" t="str">
            <v>18-06-050</v>
          </cell>
          <cell r="E224" t="str">
            <v>E-GRUPO 3</v>
          </cell>
          <cell r="G224" t="str">
            <v>CAJAS DE INSPECCION DE 60 X 80</v>
          </cell>
          <cell r="H224" t="str">
            <v>U</v>
          </cell>
          <cell r="I224">
            <v>563049.52</v>
          </cell>
          <cell r="J224">
            <v>1</v>
          </cell>
          <cell r="K224">
            <v>563049.52</v>
          </cell>
          <cell r="L224">
            <v>1</v>
          </cell>
          <cell r="M224">
            <v>563049.52</v>
          </cell>
          <cell r="N224">
            <v>0</v>
          </cell>
          <cell r="O224">
            <v>0</v>
          </cell>
          <cell r="P224">
            <v>9</v>
          </cell>
        </row>
        <row r="225">
          <cell r="D225" t="str">
            <v>18-06-070</v>
          </cell>
          <cell r="E225" t="str">
            <v>P-030</v>
          </cell>
          <cell r="G225" t="str">
            <v>POSTE RECTOS</v>
          </cell>
          <cell r="H225" t="str">
            <v>U</v>
          </cell>
          <cell r="I225">
            <v>986315.31999999983</v>
          </cell>
          <cell r="J225">
            <v>4</v>
          </cell>
          <cell r="K225">
            <v>3945261.2799999993</v>
          </cell>
          <cell r="L225">
            <v>4</v>
          </cell>
          <cell r="M225">
            <v>3945261.2799999993</v>
          </cell>
          <cell r="N225">
            <v>0</v>
          </cell>
          <cell r="O225">
            <v>0</v>
          </cell>
          <cell r="P225">
            <v>9</v>
          </cell>
        </row>
        <row r="226">
          <cell r="D226" t="str">
            <v>18-06-080</v>
          </cell>
          <cell r="E226" t="str">
            <v>P-030</v>
          </cell>
          <cell r="G226" t="str">
            <v>ANCLAJES</v>
          </cell>
          <cell r="H226" t="str">
            <v>U</v>
          </cell>
          <cell r="I226">
            <v>1164660.9099999999</v>
          </cell>
          <cell r="J226">
            <v>4</v>
          </cell>
          <cell r="K226">
            <v>4658643.6399999997</v>
          </cell>
          <cell r="L226">
            <v>4</v>
          </cell>
          <cell r="M226">
            <v>4658643.6399999997</v>
          </cell>
          <cell r="N226">
            <v>0</v>
          </cell>
          <cell r="O226">
            <v>0</v>
          </cell>
          <cell r="P226">
            <v>9</v>
          </cell>
        </row>
        <row r="227">
          <cell r="D227" t="str">
            <v>18-06-090</v>
          </cell>
          <cell r="E227" t="str">
            <v>P-030</v>
          </cell>
          <cell r="G227" t="str">
            <v>PEDESTAL PARA CONTROLADOR</v>
          </cell>
          <cell r="H227" t="str">
            <v>U</v>
          </cell>
          <cell r="I227">
            <v>656979.32999999996</v>
          </cell>
          <cell r="J227">
            <v>1</v>
          </cell>
          <cell r="K227">
            <v>656979.32999999996</v>
          </cell>
          <cell r="L227">
            <v>1</v>
          </cell>
          <cell r="M227">
            <v>656979.32999999996</v>
          </cell>
          <cell r="N227">
            <v>0</v>
          </cell>
          <cell r="O227">
            <v>0</v>
          </cell>
          <cell r="P227">
            <v>9</v>
          </cell>
        </row>
        <row r="228">
          <cell r="D228" t="str">
            <v>18-06-100</v>
          </cell>
          <cell r="E228" t="str">
            <v>E-GRUPO 0 A 7</v>
          </cell>
          <cell r="G228" t="str">
            <v>SISTEMA DE TIERRA</v>
          </cell>
          <cell r="H228" t="str">
            <v>U</v>
          </cell>
          <cell r="I228">
            <v>199520</v>
          </cell>
          <cell r="J228">
            <v>1</v>
          </cell>
          <cell r="K228">
            <v>199520</v>
          </cell>
          <cell r="L228">
            <v>1</v>
          </cell>
          <cell r="M228">
            <v>199520</v>
          </cell>
          <cell r="N228">
            <v>0</v>
          </cell>
          <cell r="O228">
            <v>0</v>
          </cell>
          <cell r="P228">
            <v>9</v>
          </cell>
        </row>
        <row r="229">
          <cell r="D229" t="str">
            <v>18-06-110</v>
          </cell>
          <cell r="E229" t="str">
            <v>E-GRUPO 0 A 7</v>
          </cell>
          <cell r="G229" t="str">
            <v>ACOMETIDA ELECTRICA</v>
          </cell>
          <cell r="H229" t="str">
            <v>U</v>
          </cell>
          <cell r="I229">
            <v>454720</v>
          </cell>
          <cell r="J229">
            <v>1</v>
          </cell>
          <cell r="K229">
            <v>454720</v>
          </cell>
          <cell r="L229">
            <v>1</v>
          </cell>
          <cell r="M229">
            <v>454720</v>
          </cell>
          <cell r="N229">
            <v>0</v>
          </cell>
          <cell r="O229">
            <v>0</v>
          </cell>
          <cell r="P229">
            <v>9</v>
          </cell>
        </row>
        <row r="230">
          <cell r="D230" t="str">
            <v>18-06-120</v>
          </cell>
          <cell r="E230" t="str">
            <v>P-030</v>
          </cell>
          <cell r="G230" t="str">
            <v>DISCOS DIRECCIONALES</v>
          </cell>
          <cell r="H230" t="str">
            <v>U</v>
          </cell>
          <cell r="I230">
            <v>138053.46</v>
          </cell>
          <cell r="J230">
            <v>4</v>
          </cell>
          <cell r="K230">
            <v>552213.84</v>
          </cell>
          <cell r="L230">
            <v>4</v>
          </cell>
          <cell r="M230">
            <v>552213.84</v>
          </cell>
          <cell r="N230">
            <v>0</v>
          </cell>
          <cell r="O230">
            <v>0</v>
          </cell>
          <cell r="P230">
            <v>9</v>
          </cell>
        </row>
        <row r="231">
          <cell r="D231" t="str">
            <v>18-06-130</v>
          </cell>
          <cell r="E231" t="str">
            <v>P-030</v>
          </cell>
          <cell r="G231" t="str">
            <v>CABLE DE CONTROL</v>
          </cell>
          <cell r="H231" t="str">
            <v>M</v>
          </cell>
          <cell r="I231">
            <v>293563.82000000007</v>
          </cell>
          <cell r="J231">
            <v>200</v>
          </cell>
          <cell r="K231">
            <v>58712764.000000015</v>
          </cell>
          <cell r="L231">
            <v>200</v>
          </cell>
          <cell r="M231">
            <v>58712764.000000015</v>
          </cell>
          <cell r="N231">
            <v>0</v>
          </cell>
          <cell r="O231">
            <v>0</v>
          </cell>
          <cell r="P231">
            <v>9</v>
          </cell>
        </row>
        <row r="232">
          <cell r="D232" t="str">
            <v>18-06-140</v>
          </cell>
          <cell r="E232" t="str">
            <v>P-030</v>
          </cell>
          <cell r="G232" t="str">
            <v>CABLE PULSADOR</v>
          </cell>
          <cell r="H232" t="str">
            <v>M</v>
          </cell>
          <cell r="I232">
            <v>10866.020000000002</v>
          </cell>
          <cell r="J232">
            <v>50</v>
          </cell>
          <cell r="K232">
            <v>543301.00000000012</v>
          </cell>
          <cell r="L232">
            <v>50</v>
          </cell>
          <cell r="M232">
            <v>543301.00000000012</v>
          </cell>
          <cell r="N232">
            <v>0</v>
          </cell>
          <cell r="O232">
            <v>0</v>
          </cell>
          <cell r="P232">
            <v>9</v>
          </cell>
        </row>
        <row r="233">
          <cell r="D233" t="str">
            <v>18-06-160</v>
          </cell>
          <cell r="E233" t="str">
            <v>P-030</v>
          </cell>
          <cell r="G233" t="str">
            <v>SEMAFOROS VEHICULARES A POSTE</v>
          </cell>
          <cell r="H233" t="str">
            <v>U</v>
          </cell>
          <cell r="I233">
            <v>1778290.2199999997</v>
          </cell>
          <cell r="J233">
            <v>4</v>
          </cell>
          <cell r="K233">
            <v>7113160.879999999</v>
          </cell>
          <cell r="L233">
            <v>4</v>
          </cell>
          <cell r="M233">
            <v>7113160.879999999</v>
          </cell>
          <cell r="N233">
            <v>0</v>
          </cell>
          <cell r="O233">
            <v>0</v>
          </cell>
          <cell r="P233">
            <v>9</v>
          </cell>
        </row>
        <row r="234">
          <cell r="D234" t="str">
            <v>18-06-170</v>
          </cell>
          <cell r="E234" t="str">
            <v>P-030</v>
          </cell>
          <cell r="G234" t="str">
            <v>SEMAFOROS PEATONALES</v>
          </cell>
          <cell r="H234" t="str">
            <v>U</v>
          </cell>
          <cell r="I234">
            <v>1470632.02</v>
          </cell>
          <cell r="J234">
            <v>4</v>
          </cell>
          <cell r="K234">
            <v>5882528.0800000001</v>
          </cell>
          <cell r="L234">
            <v>4</v>
          </cell>
          <cell r="M234">
            <v>5882528.0800000001</v>
          </cell>
          <cell r="N234">
            <v>0</v>
          </cell>
          <cell r="O234">
            <v>0</v>
          </cell>
          <cell r="P234">
            <v>9</v>
          </cell>
        </row>
        <row r="235">
          <cell r="D235" t="str">
            <v>18-06-210</v>
          </cell>
          <cell r="E235" t="str">
            <v>P-030</v>
          </cell>
          <cell r="G235" t="str">
            <v>PLACAS DE CONTRASTE</v>
          </cell>
          <cell r="H235" t="str">
            <v>U</v>
          </cell>
          <cell r="I235">
            <v>258723.65</v>
          </cell>
          <cell r="J235">
            <v>4</v>
          </cell>
          <cell r="K235">
            <v>1034894.6</v>
          </cell>
          <cell r="L235">
            <v>4</v>
          </cell>
          <cell r="M235">
            <v>1034894.6</v>
          </cell>
          <cell r="N235">
            <v>0</v>
          </cell>
          <cell r="O235">
            <v>0</v>
          </cell>
          <cell r="P235">
            <v>9</v>
          </cell>
        </row>
        <row r="236">
          <cell r="D236" t="str">
            <v>18-06-230</v>
          </cell>
          <cell r="E236" t="str">
            <v>P-030</v>
          </cell>
          <cell r="G236" t="str">
            <v>PULSADOR PEATONAL</v>
          </cell>
          <cell r="H236" t="str">
            <v>U</v>
          </cell>
          <cell r="I236">
            <v>581136.04</v>
          </cell>
          <cell r="J236">
            <v>4</v>
          </cell>
          <cell r="K236">
            <v>2324544.16</v>
          </cell>
          <cell r="L236">
            <v>4</v>
          </cell>
          <cell r="M236">
            <v>2324544.16</v>
          </cell>
          <cell r="N236">
            <v>0</v>
          </cell>
          <cell r="O236">
            <v>0</v>
          </cell>
          <cell r="P236">
            <v>9</v>
          </cell>
        </row>
        <row r="237">
          <cell r="D237" t="str">
            <v>18-06-260</v>
          </cell>
          <cell r="E237" t="str">
            <v>P-030</v>
          </cell>
          <cell r="G237" t="str">
            <v>CONTROLADOR LOCAL</v>
          </cell>
          <cell r="H237" t="str">
            <v>U</v>
          </cell>
          <cell r="I237">
            <v>57442800.719999999</v>
          </cell>
          <cell r="J237">
            <v>1</v>
          </cell>
          <cell r="K237">
            <v>57442800.719999999</v>
          </cell>
          <cell r="L237">
            <v>1</v>
          </cell>
          <cell r="M237">
            <v>57442800.719999999</v>
          </cell>
          <cell r="N237">
            <v>0</v>
          </cell>
          <cell r="O237">
            <v>0</v>
          </cell>
          <cell r="P237">
            <v>9</v>
          </cell>
        </row>
        <row r="238">
          <cell r="O238">
            <v>0</v>
          </cell>
        </row>
        <row r="239">
          <cell r="D239" t="str">
            <v>CD</v>
          </cell>
          <cell r="G239" t="str">
            <v>SUBTOTAL COSTO DIRECTO</v>
          </cell>
          <cell r="N239">
            <v>8572201138.8677979</v>
          </cell>
          <cell r="O239">
            <v>1</v>
          </cell>
        </row>
        <row r="240">
          <cell r="D240" t="str">
            <v>CI</v>
          </cell>
          <cell r="G240" t="str">
            <v>SUBTOTAL COSTOS INDIRECTOS</v>
          </cell>
          <cell r="H240" t="str">
            <v>%</v>
          </cell>
          <cell r="I240">
            <v>0.24460000000000001</v>
          </cell>
          <cell r="L240">
            <v>0</v>
          </cell>
          <cell r="N240">
            <v>2096760398.5670636</v>
          </cell>
        </row>
        <row r="241">
          <cell r="G241" t="str">
            <v>SUBTOTAL OBRA CIVIL</v>
          </cell>
          <cell r="N241">
            <v>10668961537.434862</v>
          </cell>
        </row>
        <row r="242">
          <cell r="G242" t="str">
            <v>% DE REAJUSTE DE PRECIOS</v>
          </cell>
          <cell r="H242" t="str">
            <v>%</v>
          </cell>
          <cell r="I242">
            <v>4.1539161436190485E-2</v>
          </cell>
          <cell r="N242">
            <v>443179715.66001379</v>
          </cell>
        </row>
        <row r="244">
          <cell r="G244" t="str">
            <v>VALOR TOTAL DEL PROYECTO</v>
          </cell>
          <cell r="N244">
            <v>11112141253.094875</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row>
        <row r="2">
          <cell r="D2" t="str">
            <v>11114</v>
          </cell>
          <cell r="E2" t="str">
            <v>cemento tipo 1 x 50kg</v>
          </cell>
          <cell r="F2" t="str">
            <v>blt</v>
          </cell>
          <cell r="G2">
            <v>26300</v>
          </cell>
          <cell r="H2">
            <v>0.16</v>
          </cell>
          <cell r="I2">
            <v>30507.999999999996</v>
          </cell>
        </row>
        <row r="3">
          <cell r="D3" t="str">
            <v>11212</v>
          </cell>
          <cell r="E3" t="str">
            <v>arena fina para concreto (1,448kg/m3)</v>
          </cell>
          <cell r="F3" t="str">
            <v>m3</v>
          </cell>
          <cell r="G3">
            <v>55804</v>
          </cell>
          <cell r="H3">
            <v>0.16</v>
          </cell>
          <cell r="I3">
            <v>64732.639999999992</v>
          </cell>
        </row>
        <row r="4">
          <cell r="D4" t="str">
            <v>11218</v>
          </cell>
          <cell r="E4" t="str">
            <v>arenilla</v>
          </cell>
          <cell r="F4" t="str">
            <v>m3</v>
          </cell>
          <cell r="G4">
            <v>17650</v>
          </cell>
          <cell r="H4">
            <v>0.16</v>
          </cell>
          <cell r="I4">
            <v>20474</v>
          </cell>
        </row>
        <row r="5">
          <cell r="D5" t="str">
            <v>11219</v>
          </cell>
          <cell r="E5" t="str">
            <v>arena fina para revoque (1,310kg/m3)</v>
          </cell>
          <cell r="F5" t="str">
            <v>m3</v>
          </cell>
          <cell r="G5">
            <v>48700</v>
          </cell>
          <cell r="H5">
            <v>0.16</v>
          </cell>
          <cell r="I5">
            <v>56491.999999999993</v>
          </cell>
        </row>
        <row r="6">
          <cell r="D6" t="str">
            <v>1121A</v>
          </cell>
          <cell r="E6" t="str">
            <v>arena de pega (1,600kg/m3)</v>
          </cell>
          <cell r="F6" t="str">
            <v>m3</v>
          </cell>
          <cell r="G6">
            <v>27940</v>
          </cell>
          <cell r="H6">
            <v>0.16</v>
          </cell>
          <cell r="I6">
            <v>32410.399999999998</v>
          </cell>
        </row>
        <row r="7">
          <cell r="D7" t="str">
            <v>11237</v>
          </cell>
          <cell r="E7" t="str">
            <v>triturado para concreto tamaño maximo 3/8" (1,540kg/m3)</v>
          </cell>
          <cell r="F7" t="str">
            <v>m3</v>
          </cell>
          <cell r="G7">
            <v>50220</v>
          </cell>
          <cell r="H7">
            <v>0.16</v>
          </cell>
          <cell r="I7">
            <v>58255.199999999997</v>
          </cell>
        </row>
        <row r="8">
          <cell r="D8" t="str">
            <v>11238</v>
          </cell>
          <cell r="E8" t="str">
            <v>triturado para concreto tamaño maximo 3/4" (1,520kg/m3)</v>
          </cell>
          <cell r="F8" t="str">
            <v>m3</v>
          </cell>
          <cell r="G8">
            <v>63540</v>
          </cell>
          <cell r="H8">
            <v>0.16</v>
          </cell>
          <cell r="I8">
            <v>73706.399999999994</v>
          </cell>
        </row>
        <row r="9">
          <cell r="D9" t="str">
            <v>11239</v>
          </cell>
          <cell r="E9" t="str">
            <v>triturado 1/2"</v>
          </cell>
          <cell r="F9" t="str">
            <v>m3</v>
          </cell>
          <cell r="G9">
            <v>30000</v>
          </cell>
          <cell r="H9">
            <v>0.16</v>
          </cell>
          <cell r="I9">
            <v>34800</v>
          </cell>
        </row>
        <row r="10">
          <cell r="D10" t="str">
            <v>11240</v>
          </cell>
          <cell r="E10" t="str">
            <v>piedra para entresuelo</v>
          </cell>
          <cell r="F10" t="str">
            <v>m3</v>
          </cell>
          <cell r="G10">
            <v>40850</v>
          </cell>
          <cell r="H10">
            <v>0.16</v>
          </cell>
          <cell r="I10">
            <v>47386</v>
          </cell>
        </row>
        <row r="11">
          <cell r="D11" t="str">
            <v>11241</v>
          </cell>
          <cell r="E11" t="str">
            <v>triturado 1" a 1-1/2" para filtro</v>
          </cell>
          <cell r="F11" t="str">
            <v>m3</v>
          </cell>
          <cell r="G11">
            <v>29000</v>
          </cell>
          <cell r="H11">
            <v>0.16</v>
          </cell>
          <cell r="I11">
            <v>33640</v>
          </cell>
        </row>
        <row r="12">
          <cell r="D12" t="str">
            <v>11292</v>
          </cell>
          <cell r="E12" t="str">
            <v>base granular (1,650kg/m2)</v>
          </cell>
          <cell r="F12" t="str">
            <v>m3</v>
          </cell>
          <cell r="G12">
            <v>52200</v>
          </cell>
          <cell r="H12">
            <v>0.16</v>
          </cell>
          <cell r="I12">
            <v>60551.999999999993</v>
          </cell>
        </row>
        <row r="13">
          <cell r="D13" t="str">
            <v>11297</v>
          </cell>
          <cell r="E13" t="str">
            <v>sub base granular cruda sin procesar (1,650kg/m3)</v>
          </cell>
          <cell r="F13" t="str">
            <v>m3</v>
          </cell>
          <cell r="G13">
            <v>43950</v>
          </cell>
          <cell r="H13">
            <v>0.16</v>
          </cell>
          <cell r="I13">
            <v>50982</v>
          </cell>
        </row>
        <row r="14">
          <cell r="D14" t="str">
            <v>12133</v>
          </cell>
          <cell r="E14" t="str">
            <v>concreto tipo bombeo 21 mpa, (3000 psi) 1"</v>
          </cell>
          <cell r="F14" t="str">
            <v>m3</v>
          </cell>
          <cell r="G14">
            <v>261938</v>
          </cell>
          <cell r="H14">
            <v>0.16</v>
          </cell>
          <cell r="I14">
            <v>303848.07999999996</v>
          </cell>
        </row>
        <row r="15">
          <cell r="D15" t="str">
            <v>12136</v>
          </cell>
          <cell r="E15" t="str">
            <v>concreto tipo bombeo 28 mpa, (4000 psi) 1"</v>
          </cell>
          <cell r="F15" t="str">
            <v>m3</v>
          </cell>
          <cell r="G15">
            <v>288786</v>
          </cell>
          <cell r="H15">
            <v>0.16</v>
          </cell>
          <cell r="I15">
            <v>334991.75999999995</v>
          </cell>
        </row>
        <row r="16">
          <cell r="D16" t="str">
            <v>12137</v>
          </cell>
          <cell r="E16" t="str">
            <v>servicio de bombeo</v>
          </cell>
          <cell r="F16" t="str">
            <v>m3</v>
          </cell>
          <cell r="G16">
            <v>40000</v>
          </cell>
          <cell r="H16">
            <v>0.16</v>
          </cell>
          <cell r="I16">
            <v>46400</v>
          </cell>
        </row>
        <row r="17">
          <cell r="D17" t="str">
            <v>12139</v>
          </cell>
          <cell r="E17" t="str">
            <v>concreto tipo bombeo 35 mpa, (5000 psi) 1"</v>
          </cell>
          <cell r="F17" t="str">
            <v>m3</v>
          </cell>
          <cell r="G17">
            <v>318235</v>
          </cell>
          <cell r="H17">
            <v>0.16</v>
          </cell>
          <cell r="I17">
            <v>369152.6</v>
          </cell>
        </row>
        <row r="18">
          <cell r="D18" t="str">
            <v>12140</v>
          </cell>
          <cell r="E18" t="str">
            <v>concreto tipo bombeo 41 mpa, (6000 psi) 1"</v>
          </cell>
          <cell r="F18" t="str">
            <v>m3</v>
          </cell>
          <cell r="G18">
            <v>354136</v>
          </cell>
          <cell r="H18">
            <v>0.16</v>
          </cell>
          <cell r="I18">
            <v>410797.75999999995</v>
          </cell>
        </row>
        <row r="19">
          <cell r="D19" t="str">
            <v>12311</v>
          </cell>
          <cell r="E19" t="str">
            <v>pintura acrilica pura para trafico</v>
          </cell>
          <cell r="F19" t="str">
            <v>gl</v>
          </cell>
          <cell r="G19">
            <v>57242</v>
          </cell>
          <cell r="H19">
            <v>0.16</v>
          </cell>
          <cell r="I19">
            <v>66400.72</v>
          </cell>
        </row>
        <row r="20">
          <cell r="D20" t="str">
            <v>12312</v>
          </cell>
          <cell r="E20" t="str">
            <v>esferas reflectivas</v>
          </cell>
          <cell r="F20" t="str">
            <v>blt</v>
          </cell>
          <cell r="G20">
            <v>121810</v>
          </cell>
          <cell r="H20">
            <v>0.16</v>
          </cell>
          <cell r="I20">
            <v>141299.59999999998</v>
          </cell>
        </row>
        <row r="21">
          <cell r="D21" t="str">
            <v>12313</v>
          </cell>
          <cell r="E21" t="str">
            <v>xilol disolvente</v>
          </cell>
          <cell r="F21" t="str">
            <v>gl</v>
          </cell>
          <cell r="G21">
            <v>21700</v>
          </cell>
          <cell r="H21">
            <v>0.16</v>
          </cell>
          <cell r="I21">
            <v>25172</v>
          </cell>
        </row>
        <row r="22">
          <cell r="D22" t="str">
            <v>12911</v>
          </cell>
          <cell r="E22" t="str">
            <v>agua</v>
          </cell>
          <cell r="F22" t="str">
            <v>lt</v>
          </cell>
          <cell r="G22">
            <v>1.1365000000000001</v>
          </cell>
          <cell r="H22">
            <v>0.16</v>
          </cell>
          <cell r="I22">
            <v>1.3183400000000001</v>
          </cell>
        </row>
        <row r="23">
          <cell r="D23" t="str">
            <v>1512O</v>
          </cell>
          <cell r="E23" t="str">
            <v>acero de refuerzo figurado</v>
          </cell>
          <cell r="F23" t="str">
            <v>kg</v>
          </cell>
          <cell r="G23">
            <v>1730</v>
          </cell>
          <cell r="H23">
            <v>0.16</v>
          </cell>
          <cell r="I23">
            <v>2006.8</v>
          </cell>
        </row>
        <row r="24">
          <cell r="D24" t="str">
            <v>1512P</v>
          </cell>
          <cell r="E24" t="str">
            <v>peldaño en acero galvanizado para camara de inspeccion</v>
          </cell>
          <cell r="F24" t="str">
            <v>u</v>
          </cell>
          <cell r="G24">
            <v>14000</v>
          </cell>
          <cell r="H24">
            <v>0.16</v>
          </cell>
          <cell r="I24">
            <v>16239.999999999998</v>
          </cell>
        </row>
        <row r="25">
          <cell r="D25" t="str">
            <v>15231</v>
          </cell>
          <cell r="E25" t="str">
            <v>alambre recocido (alambre cal 18)</v>
          </cell>
          <cell r="F25" t="str">
            <v>kg</v>
          </cell>
          <cell r="G25">
            <v>2500</v>
          </cell>
          <cell r="H25">
            <v>0.16</v>
          </cell>
          <cell r="I25">
            <v>2900</v>
          </cell>
        </row>
        <row r="26">
          <cell r="D26" t="str">
            <v>15421</v>
          </cell>
          <cell r="E26" t="str">
            <v>clavo corriente 1-1/2" a 5"</v>
          </cell>
          <cell r="F26" t="str">
            <v>lb</v>
          </cell>
          <cell r="G26">
            <v>1400</v>
          </cell>
          <cell r="H26">
            <v>0.16</v>
          </cell>
          <cell r="I26">
            <v>1624</v>
          </cell>
        </row>
        <row r="27">
          <cell r="D27" t="str">
            <v>15431</v>
          </cell>
          <cell r="E27" t="str">
            <v>clavo acero liso 1"</v>
          </cell>
          <cell r="F27" t="str">
            <v>lb</v>
          </cell>
          <cell r="G27">
            <v>4000</v>
          </cell>
          <cell r="H27">
            <v>0.16</v>
          </cell>
          <cell r="I27">
            <v>4640</v>
          </cell>
        </row>
        <row r="28">
          <cell r="D28" t="str">
            <v>16F11</v>
          </cell>
          <cell r="E28" t="str">
            <v>baranda metalica vial</v>
          </cell>
          <cell r="F28" t="str">
            <v>m</v>
          </cell>
          <cell r="G28">
            <v>279350</v>
          </cell>
          <cell r="H28">
            <v>0.16</v>
          </cell>
          <cell r="I28">
            <v>324046</v>
          </cell>
        </row>
        <row r="29">
          <cell r="D29" t="str">
            <v>17111</v>
          </cell>
          <cell r="E29" t="str">
            <v>malla electrosoldada d50 2.35x6mt 11.52kg</v>
          </cell>
          <cell r="F29" t="str">
            <v>u</v>
          </cell>
          <cell r="G29">
            <v>23575</v>
          </cell>
          <cell r="H29">
            <v>0.16</v>
          </cell>
          <cell r="I29">
            <v>27346.999999999996</v>
          </cell>
        </row>
        <row r="30">
          <cell r="D30" t="str">
            <v>17511</v>
          </cell>
          <cell r="E30" t="str">
            <v>tela verde cerramiento h: 2.10 m</v>
          </cell>
          <cell r="F30" t="str">
            <v>m</v>
          </cell>
          <cell r="G30">
            <v>1700</v>
          </cell>
          <cell r="H30">
            <v>0.16</v>
          </cell>
          <cell r="I30">
            <v>1971.9999999999998</v>
          </cell>
        </row>
        <row r="31">
          <cell r="D31" t="str">
            <v>17711</v>
          </cell>
          <cell r="E31" t="str">
            <v>señal vertical</v>
          </cell>
          <cell r="F31" t="str">
            <v>u</v>
          </cell>
          <cell r="G31">
            <v>190000</v>
          </cell>
          <cell r="H31">
            <v>0.16</v>
          </cell>
          <cell r="I31">
            <v>220399.99999999997</v>
          </cell>
        </row>
        <row r="32">
          <cell r="D32" t="str">
            <v>17712</v>
          </cell>
          <cell r="E32" t="str">
            <v>chevron 1</v>
          </cell>
          <cell r="F32" t="str">
            <v>u</v>
          </cell>
          <cell r="G32">
            <v>120000</v>
          </cell>
          <cell r="H32">
            <v>0.16</v>
          </cell>
          <cell r="I32">
            <v>139200</v>
          </cell>
        </row>
        <row r="33">
          <cell r="D33" t="str">
            <v>17713</v>
          </cell>
          <cell r="E33" t="str">
            <v>tacha reflectiva</v>
          </cell>
          <cell r="F33" t="str">
            <v>u</v>
          </cell>
          <cell r="G33">
            <v>5200</v>
          </cell>
          <cell r="H33">
            <v>0.16</v>
          </cell>
          <cell r="I33">
            <v>6032</v>
          </cell>
        </row>
        <row r="34">
          <cell r="D34" t="str">
            <v>17715</v>
          </cell>
          <cell r="E34" t="str">
            <v>señal informativa 142x95 cm</v>
          </cell>
          <cell r="F34" t="str">
            <v>u</v>
          </cell>
          <cell r="G34">
            <v>200000</v>
          </cell>
          <cell r="H34">
            <v>0.16</v>
          </cell>
          <cell r="I34">
            <v>231999.99999999997</v>
          </cell>
        </row>
        <row r="35">
          <cell r="D35" t="str">
            <v>18133</v>
          </cell>
          <cell r="E35" t="str">
            <v>bloque 15x20x40 intermed 2 perforaciones r13 (13.0 kg)</v>
          </cell>
          <cell r="F35" t="str">
            <v>u</v>
          </cell>
          <cell r="G35">
            <v>2303</v>
          </cell>
          <cell r="H35">
            <v>0.16</v>
          </cell>
          <cell r="I35">
            <v>2671.48</v>
          </cell>
        </row>
        <row r="36">
          <cell r="D36" t="str">
            <v>18143</v>
          </cell>
          <cell r="E36" t="str">
            <v>bloque 20x20x40 intermed 2 perforaciones r13 (16.1 kg)</v>
          </cell>
          <cell r="F36" t="str">
            <v>u</v>
          </cell>
          <cell r="G36">
            <v>2998.1</v>
          </cell>
          <cell r="H36">
            <v>0.16</v>
          </cell>
          <cell r="I36">
            <v>3477.7959999999998</v>
          </cell>
        </row>
        <row r="37">
          <cell r="D37" t="str">
            <v>18328</v>
          </cell>
          <cell r="E37" t="str">
            <v>adoquin tactil guia o alerta 20x20x6 amarillo, champaña, salmon, jaspe, beige 5.4 kg ntc 2017</v>
          </cell>
          <cell r="F37" t="str">
            <v>u</v>
          </cell>
          <cell r="G37">
            <v>1752.2</v>
          </cell>
          <cell r="H37">
            <v>0.16</v>
          </cell>
          <cell r="I37">
            <v>2032.5519999999999</v>
          </cell>
        </row>
        <row r="38">
          <cell r="D38" t="str">
            <v>18329</v>
          </cell>
          <cell r="E38" t="str">
            <v>tableta demarcadora 15x100x6</v>
          </cell>
          <cell r="F38" t="str">
            <v>u</v>
          </cell>
          <cell r="G38">
            <v>6570.75</v>
          </cell>
          <cell r="H38">
            <v>0.16</v>
          </cell>
          <cell r="I38">
            <v>7622.07</v>
          </cell>
        </row>
        <row r="39">
          <cell r="D39" t="str">
            <v>18814</v>
          </cell>
          <cell r="E39" t="str">
            <v xml:space="preserve">bordillo rectangular recto prefabricado u50 </v>
          </cell>
          <cell r="F39" t="str">
            <v>u</v>
          </cell>
          <cell r="G39">
            <v>20112</v>
          </cell>
          <cell r="H39">
            <v>0.16</v>
          </cell>
          <cell r="I39">
            <v>23329.919999999998</v>
          </cell>
        </row>
        <row r="40">
          <cell r="D40" t="str">
            <v>18815</v>
          </cell>
          <cell r="E40" t="str">
            <v>bordillo barrera recto prefabricado u10</v>
          </cell>
          <cell r="F40" t="str">
            <v>u</v>
          </cell>
          <cell r="G40">
            <v>18492</v>
          </cell>
          <cell r="H40">
            <v>0.16</v>
          </cell>
          <cell r="I40">
            <v>21450.719999999998</v>
          </cell>
        </row>
        <row r="41">
          <cell r="D41" t="str">
            <v>18816</v>
          </cell>
          <cell r="E41" t="str">
            <v>bordillo cuadrante barrera prefabricado u70</v>
          </cell>
          <cell r="F41" t="str">
            <v>u</v>
          </cell>
          <cell r="G41">
            <v>20341.2</v>
          </cell>
          <cell r="H41">
            <v>0.16</v>
          </cell>
          <cell r="I41">
            <v>23595.791999999998</v>
          </cell>
        </row>
        <row r="42">
          <cell r="D42" t="str">
            <v>18817</v>
          </cell>
          <cell r="E42" t="str">
            <v>bordillo rebaje prefabricado u160</v>
          </cell>
          <cell r="F42" t="str">
            <v>u</v>
          </cell>
          <cell r="G42">
            <v>21265.8</v>
          </cell>
          <cell r="H42">
            <v>0.16</v>
          </cell>
          <cell r="I42">
            <v>24668.327999999998</v>
          </cell>
        </row>
        <row r="43">
          <cell r="D43" t="str">
            <v>18818</v>
          </cell>
          <cell r="E43" t="str">
            <v>bordillo esquinero barrera 90° prefabricado u120</v>
          </cell>
          <cell r="F43" t="str">
            <v>u</v>
          </cell>
          <cell r="G43">
            <v>14793.6</v>
          </cell>
          <cell r="H43">
            <v>0.16</v>
          </cell>
          <cell r="I43">
            <v>17160.576000000001</v>
          </cell>
        </row>
        <row r="44">
          <cell r="D44" t="str">
            <v>18871</v>
          </cell>
          <cell r="E44" t="str">
            <v>alcorque prefabricado esquinero de 40cm</v>
          </cell>
          <cell r="F44" t="str">
            <v>u</v>
          </cell>
          <cell r="G44">
            <v>13800</v>
          </cell>
          <cell r="H44">
            <v>0.16</v>
          </cell>
          <cell r="I44">
            <v>16007.999999999998</v>
          </cell>
        </row>
        <row r="45">
          <cell r="D45" t="str">
            <v>18872</v>
          </cell>
          <cell r="E45" t="str">
            <v>alcorque maint de 20 (interno)</v>
          </cell>
          <cell r="F45" t="str">
            <v>u</v>
          </cell>
          <cell r="G45">
            <v>5970</v>
          </cell>
          <cell r="H45">
            <v>0.16</v>
          </cell>
          <cell r="I45">
            <v>6925.2</v>
          </cell>
        </row>
        <row r="46">
          <cell r="D46" t="str">
            <v>18Z11</v>
          </cell>
          <cell r="E46" t="str">
            <v>telera de 0.90 x 1.35 m en madera comun</v>
          </cell>
          <cell r="F46" t="str">
            <v>u</v>
          </cell>
          <cell r="G46">
            <v>14000</v>
          </cell>
          <cell r="H46">
            <v>0.16</v>
          </cell>
          <cell r="I46">
            <v>16239.999999999998</v>
          </cell>
        </row>
        <row r="47">
          <cell r="D47" t="str">
            <v>18Z13</v>
          </cell>
          <cell r="E47" t="str">
            <v>cuadro madera comun 4"x4" de 3m</v>
          </cell>
          <cell r="F47" t="str">
            <v>u</v>
          </cell>
          <cell r="G47">
            <v>13000</v>
          </cell>
          <cell r="H47">
            <v>0.16</v>
          </cell>
          <cell r="I47">
            <v>15079.999999999998</v>
          </cell>
        </row>
        <row r="48">
          <cell r="D48" t="str">
            <v>18Z14</v>
          </cell>
          <cell r="E48" t="str">
            <v xml:space="preserve">can en madera comun 8"x2" de 3m </v>
          </cell>
          <cell r="F48" t="str">
            <v>u</v>
          </cell>
          <cell r="G48">
            <v>12000</v>
          </cell>
          <cell r="H48">
            <v>0.16</v>
          </cell>
          <cell r="I48">
            <v>13919.999999999998</v>
          </cell>
        </row>
        <row r="49">
          <cell r="D49" t="str">
            <v>18Z15</v>
          </cell>
          <cell r="E49" t="str">
            <v>tabla madera comun 1 x 8" 3m</v>
          </cell>
          <cell r="F49" t="str">
            <v>u</v>
          </cell>
          <cell r="G49">
            <v>8000</v>
          </cell>
          <cell r="H49">
            <v>0.16</v>
          </cell>
          <cell r="I49">
            <v>9280</v>
          </cell>
        </row>
        <row r="50">
          <cell r="D50" t="str">
            <v>18Z16</v>
          </cell>
          <cell r="E50" t="str">
            <v>larguero madera comun 2"x4" de 3m</v>
          </cell>
          <cell r="F50" t="str">
            <v>u</v>
          </cell>
          <cell r="G50">
            <v>6000</v>
          </cell>
          <cell r="H50">
            <v>0.16</v>
          </cell>
          <cell r="I50">
            <v>6959.9999999999991</v>
          </cell>
        </row>
        <row r="51">
          <cell r="D51" t="str">
            <v>18Z18</v>
          </cell>
          <cell r="E51" t="str">
            <v>estacon madera comun 3" de 3m</v>
          </cell>
          <cell r="F51" t="str">
            <v>u</v>
          </cell>
          <cell r="G51">
            <v>17990</v>
          </cell>
          <cell r="H51">
            <v>0.16</v>
          </cell>
          <cell r="I51">
            <v>20868.399999999998</v>
          </cell>
        </row>
        <row r="52">
          <cell r="D52" t="str">
            <v>18Z21</v>
          </cell>
          <cell r="E52" t="str">
            <v>triplex formaleta 1.53x2.44m x 19mm verde (6 usos)</v>
          </cell>
          <cell r="F52" t="str">
            <v>u</v>
          </cell>
          <cell r="G52">
            <v>118900</v>
          </cell>
          <cell r="H52">
            <v>0.16</v>
          </cell>
          <cell r="I52">
            <v>137924</v>
          </cell>
        </row>
        <row r="53">
          <cell r="D53" t="str">
            <v>18Z22</v>
          </cell>
          <cell r="E53" t="str">
            <v>manguera felxible pf 1/2"</v>
          </cell>
          <cell r="F53" t="str">
            <v>m</v>
          </cell>
          <cell r="G53">
            <v>4400</v>
          </cell>
          <cell r="H53">
            <v>0.16</v>
          </cell>
          <cell r="I53">
            <v>5104</v>
          </cell>
        </row>
        <row r="54">
          <cell r="D54" t="str">
            <v>18Z23</v>
          </cell>
          <cell r="E54" t="str">
            <v>nylon</v>
          </cell>
          <cell r="F54" t="str">
            <v>m</v>
          </cell>
          <cell r="G54">
            <v>52</v>
          </cell>
          <cell r="H54">
            <v>0.16</v>
          </cell>
          <cell r="I54">
            <v>60.319999999999993</v>
          </cell>
        </row>
        <row r="55">
          <cell r="D55" t="str">
            <v>1A911</v>
          </cell>
          <cell r="E55" t="str">
            <v>oficinas obra</v>
          </cell>
          <cell r="F55" t="str">
            <v>mes</v>
          </cell>
          <cell r="G55">
            <v>1500000</v>
          </cell>
          <cell r="I55">
            <v>1500000</v>
          </cell>
        </row>
        <row r="56">
          <cell r="D56" t="str">
            <v>1E111</v>
          </cell>
          <cell r="E56" t="str">
            <v>adaptador - pvc - conduit - 2"</v>
          </cell>
          <cell r="F56" t="str">
            <v>u</v>
          </cell>
          <cell r="G56">
            <v>2906</v>
          </cell>
          <cell r="I56">
            <v>2906</v>
          </cell>
        </row>
        <row r="57">
          <cell r="D57" t="str">
            <v>1E113</v>
          </cell>
          <cell r="E57" t="str">
            <v>borna terminal - # 4 awg - de compresion estañada - 3m</v>
          </cell>
          <cell r="F57" t="str">
            <v>u</v>
          </cell>
          <cell r="G57">
            <v>3716</v>
          </cell>
          <cell r="I57">
            <v>3716</v>
          </cell>
        </row>
        <row r="58">
          <cell r="D58" t="str">
            <v>1E114</v>
          </cell>
          <cell r="E58" t="str">
            <v>borna terminal - # 6 awg - de compresion estañada - 3m</v>
          </cell>
          <cell r="F58" t="str">
            <v>u</v>
          </cell>
          <cell r="G58">
            <v>3716</v>
          </cell>
          <cell r="I58">
            <v>3716</v>
          </cell>
        </row>
        <row r="59">
          <cell r="D59" t="str">
            <v>1E116</v>
          </cell>
          <cell r="E59" t="str">
            <v>brazo metalico - 11/2" - 52°/0°</v>
          </cell>
          <cell r="F59" t="str">
            <v>u</v>
          </cell>
          <cell r="G59">
            <v>85000</v>
          </cell>
          <cell r="I59">
            <v>85000</v>
          </cell>
        </row>
        <row r="60">
          <cell r="D60" t="str">
            <v>1E117</v>
          </cell>
          <cell r="E60" t="str">
            <v>breaker - totalizador - tripolar - 50a - schneider - ezc100b</v>
          </cell>
          <cell r="F60" t="str">
            <v>u</v>
          </cell>
          <cell r="G60">
            <v>215300</v>
          </cell>
          <cell r="I60">
            <v>215300</v>
          </cell>
        </row>
        <row r="61">
          <cell r="D61" t="str">
            <v>1E118</v>
          </cell>
          <cell r="E61" t="str">
            <v>brecha - piso blando - 30x50cm</v>
          </cell>
          <cell r="F61" t="str">
            <v>m</v>
          </cell>
          <cell r="G61">
            <v>15000</v>
          </cell>
          <cell r="I61">
            <v>15000</v>
          </cell>
        </row>
        <row r="62">
          <cell r="D62" t="str">
            <v>1E119</v>
          </cell>
          <cell r="E62" t="str">
            <v>brecha - piso duro - 30x50cm</v>
          </cell>
          <cell r="F62" t="str">
            <v>m</v>
          </cell>
          <cell r="G62">
            <v>30000</v>
          </cell>
          <cell r="I62">
            <v>30000</v>
          </cell>
        </row>
        <row r="63">
          <cell r="D63" t="str">
            <v>1E120</v>
          </cell>
          <cell r="E63" t="str">
            <v>cable encauchetado 3 n°12 awg</v>
          </cell>
          <cell r="F63" t="str">
            <v>m</v>
          </cell>
          <cell r="G63">
            <v>7500</v>
          </cell>
          <cell r="I63">
            <v>7500</v>
          </cell>
        </row>
        <row r="64">
          <cell r="D64" t="str">
            <v>1E121</v>
          </cell>
          <cell r="E64" t="str">
            <v>cable de cobre aislado thhn n°4 awg</v>
          </cell>
          <cell r="F64" t="str">
            <v>m</v>
          </cell>
          <cell r="G64">
            <v>10791</v>
          </cell>
          <cell r="I64">
            <v>10791</v>
          </cell>
        </row>
        <row r="65">
          <cell r="D65" t="str">
            <v>1E122</v>
          </cell>
          <cell r="E65" t="str">
            <v>cable de cobre aislado thhn n°6 awg</v>
          </cell>
          <cell r="F65" t="str">
            <v>m</v>
          </cell>
          <cell r="G65">
            <v>6999</v>
          </cell>
          <cell r="I65">
            <v>6999</v>
          </cell>
        </row>
        <row r="66">
          <cell r="D66" t="str">
            <v>1E123</v>
          </cell>
          <cell r="E66" t="str">
            <v>caja - contador - sencilla - metálica o policarbonato - intemperie - porta tacos</v>
          </cell>
          <cell r="F66" t="str">
            <v>u</v>
          </cell>
          <cell r="G66">
            <v>40000</v>
          </cell>
          <cell r="I66">
            <v>40000</v>
          </cell>
        </row>
        <row r="67">
          <cell r="D67" t="str">
            <v>1E124</v>
          </cell>
          <cell r="E67" t="str">
            <v>legalizacion ante epm</v>
          </cell>
          <cell r="F67" t="str">
            <v>u</v>
          </cell>
          <cell r="G67">
            <v>1000000</v>
          </cell>
          <cell r="I67">
            <v>1000000</v>
          </cell>
        </row>
        <row r="68">
          <cell r="D68" t="str">
            <v>1E125</v>
          </cell>
          <cell r="E68" t="str">
            <v>certificacion retie - cidet</v>
          </cell>
          <cell r="F68" t="str">
            <v>u</v>
          </cell>
          <cell r="G68">
            <v>2500000</v>
          </cell>
          <cell r="I68">
            <v>2500000</v>
          </cell>
        </row>
        <row r="69">
          <cell r="D69" t="str">
            <v>1E126</v>
          </cell>
          <cell r="E69" t="str">
            <v>certificacion retilap - cidet</v>
          </cell>
          <cell r="F69" t="str">
            <v>u</v>
          </cell>
          <cell r="G69">
            <v>2500000</v>
          </cell>
          <cell r="I69">
            <v>2500000</v>
          </cell>
        </row>
        <row r="70">
          <cell r="D70" t="str">
            <v>1E127</v>
          </cell>
          <cell r="E70" t="str">
            <v>cinta aislante autofundente scotch 23</v>
          </cell>
          <cell r="F70" t="str">
            <v>u</v>
          </cell>
          <cell r="G70">
            <v>29000</v>
          </cell>
          <cell r="I70">
            <v>29000</v>
          </cell>
        </row>
        <row r="71">
          <cell r="D71" t="str">
            <v>1E128</v>
          </cell>
          <cell r="E71" t="str">
            <v>cinta aislante scotch 33</v>
          </cell>
          <cell r="F71" t="str">
            <v>u</v>
          </cell>
          <cell r="G71">
            <v>8000</v>
          </cell>
          <cell r="I71">
            <v>8000</v>
          </cell>
        </row>
        <row r="72">
          <cell r="D72" t="str">
            <v>1E131</v>
          </cell>
          <cell r="E72" t="str">
            <v>t1 - contador de energía activa - monofásico trifilar - 240/120 v - 10(60) a - 15(60) a - 15(100) a - calibrado</v>
          </cell>
          <cell r="F72" t="str">
            <v>u</v>
          </cell>
          <cell r="G72">
            <v>200000</v>
          </cell>
          <cell r="I72">
            <v>200000</v>
          </cell>
        </row>
        <row r="73">
          <cell r="D73" t="str">
            <v>1E132</v>
          </cell>
          <cell r="E73" t="str">
            <v>varilla cooperweld - cobre macizo - 5/8" - 2.40mt</v>
          </cell>
          <cell r="F73" t="str">
            <v>u</v>
          </cell>
          <cell r="G73">
            <v>85000</v>
          </cell>
          <cell r="I73">
            <v>85000</v>
          </cell>
        </row>
        <row r="74">
          <cell r="D74" t="str">
            <v>1E135</v>
          </cell>
          <cell r="E74" t="str">
            <v>curva 90° - pvc - conduit - 2"</v>
          </cell>
          <cell r="F74" t="str">
            <v>u</v>
          </cell>
          <cell r="G74">
            <v>8400</v>
          </cell>
          <cell r="I74">
            <v>8400</v>
          </cell>
        </row>
        <row r="75">
          <cell r="D75" t="str">
            <v>1E137</v>
          </cell>
          <cell r="E75" t="str">
            <v>fijación - tipo rl 38 - chazo</v>
          </cell>
          <cell r="F75" t="str">
            <v>u</v>
          </cell>
          <cell r="G75">
            <v>1500</v>
          </cell>
          <cell r="I75">
            <v>1500</v>
          </cell>
        </row>
        <row r="76">
          <cell r="D76" t="str">
            <v>1E139</v>
          </cell>
          <cell r="E76" t="str">
            <v>herraje caja en piso - 50x50cm libres</v>
          </cell>
          <cell r="F76" t="str">
            <v>u</v>
          </cell>
          <cell r="G76">
            <v>110000</v>
          </cell>
          <cell r="I76">
            <v>110000</v>
          </cell>
        </row>
        <row r="77">
          <cell r="D77" t="str">
            <v>1E140</v>
          </cell>
          <cell r="E77" t="str">
            <v>luminaria - led - apollo series led street light - 120 v - 4500k - 11250 lm - rl2r1056</v>
          </cell>
          <cell r="F77" t="str">
            <v>u</v>
          </cell>
          <cell r="G77">
            <v>1100000</v>
          </cell>
          <cell r="I77">
            <v>1100000</v>
          </cell>
        </row>
        <row r="78">
          <cell r="D78" t="str">
            <v>1E141</v>
          </cell>
          <cell r="E78" t="str">
            <v>marcacion tablero ml o puerta - acrilico</v>
          </cell>
          <cell r="F78" t="str">
            <v>u</v>
          </cell>
          <cell r="G78">
            <v>15000</v>
          </cell>
          <cell r="I78">
            <v>15000</v>
          </cell>
        </row>
        <row r="79">
          <cell r="D79" t="str">
            <v>1E142</v>
          </cell>
          <cell r="E79" t="str">
            <v>marcacion tablero - contact - cinta dymo plastica</v>
          </cell>
          <cell r="F79" t="str">
            <v>u</v>
          </cell>
          <cell r="G79">
            <v>3000</v>
          </cell>
          <cell r="I79">
            <v>3000</v>
          </cell>
        </row>
        <row r="80">
          <cell r="D80" t="str">
            <v>1E143</v>
          </cell>
          <cell r="E80" t="str">
            <v>tablero ml - 2 fases - 8 circuitos - espacio para totalizador - espacio para equipo de medida - espacio para dps - con puerta</v>
          </cell>
          <cell r="F80" t="str">
            <v>u</v>
          </cell>
          <cell r="G80">
            <v>1500000</v>
          </cell>
          <cell r="I80">
            <v>1500000</v>
          </cell>
        </row>
        <row r="81">
          <cell r="D81" t="str">
            <v>1E144</v>
          </cell>
          <cell r="E81" t="str">
            <v>pintura reflectiva amarillo - tipo intemperie - marcacion poste</v>
          </cell>
          <cell r="F81" t="str">
            <v>m2</v>
          </cell>
          <cell r="G81">
            <v>3500</v>
          </cell>
          <cell r="I81">
            <v>3500</v>
          </cell>
        </row>
        <row r="82">
          <cell r="D82" t="str">
            <v>1E145</v>
          </cell>
          <cell r="E82" t="str">
            <v>pintura reflectiva negra - tipo intemperie - marcacion poste</v>
          </cell>
          <cell r="F82" t="str">
            <v>m2</v>
          </cell>
          <cell r="G82">
            <v>3500</v>
          </cell>
          <cell r="I82">
            <v>3500</v>
          </cell>
        </row>
        <row r="83">
          <cell r="D83" t="str">
            <v>1E146</v>
          </cell>
          <cell r="E83" t="str">
            <v>poste - concreto pretensado - 10mt - 510 kg</v>
          </cell>
          <cell r="F83" t="str">
            <v>u</v>
          </cell>
          <cell r="G83">
            <v>800000</v>
          </cell>
          <cell r="I83">
            <v>800000</v>
          </cell>
        </row>
        <row r="84">
          <cell r="D84" t="str">
            <v>1E148</v>
          </cell>
          <cell r="E84" t="str">
            <v>soldadura exotermica - 150 gr</v>
          </cell>
          <cell r="F84" t="str">
            <v>u</v>
          </cell>
          <cell r="G84">
            <v>25000</v>
          </cell>
          <cell r="I84">
            <v>25000</v>
          </cell>
        </row>
        <row r="85">
          <cell r="D85" t="str">
            <v>1E149</v>
          </cell>
          <cell r="E85" t="str">
            <v>soldadura liquida conduit pvc - 1/8 gl</v>
          </cell>
          <cell r="F85" t="str">
            <v>u</v>
          </cell>
          <cell r="G85">
            <v>33170</v>
          </cell>
          <cell r="H85">
            <v>0.16</v>
          </cell>
          <cell r="I85">
            <v>38477.199999999997</v>
          </cell>
        </row>
        <row r="86">
          <cell r="D86" t="str">
            <v>1E150</v>
          </cell>
          <cell r="E86" t="str">
            <v>transformador - monofasico - aceite - 15 kva - 7.620/ 480 -240 v</v>
          </cell>
          <cell r="F86" t="str">
            <v>u</v>
          </cell>
          <cell r="G86">
            <v>4000000</v>
          </cell>
          <cell r="I86">
            <v>4000000</v>
          </cell>
        </row>
        <row r="87">
          <cell r="D87" t="str">
            <v>1E152</v>
          </cell>
          <cell r="E87" t="str">
            <v>tubo - pvc - conduit - 2"</v>
          </cell>
          <cell r="F87" t="str">
            <v>m</v>
          </cell>
          <cell r="G87">
            <v>7000</v>
          </cell>
          <cell r="I87">
            <v>7000</v>
          </cell>
        </row>
        <row r="88">
          <cell r="D88" t="str">
            <v>1E153</v>
          </cell>
          <cell r="E88" t="str">
            <v>union - pvc - conduit - 2"</v>
          </cell>
          <cell r="F88" t="str">
            <v>u</v>
          </cell>
          <cell r="G88">
            <v>1300</v>
          </cell>
          <cell r="I88">
            <v>1300</v>
          </cell>
        </row>
        <row r="89">
          <cell r="D89" t="str">
            <v>1E511</v>
          </cell>
          <cell r="E89" t="str">
            <v>arandela cuadrada de 5/8x3/16"</v>
          </cell>
          <cell r="F89" t="str">
            <v>u</v>
          </cell>
          <cell r="G89">
            <v>5200</v>
          </cell>
          <cell r="I89">
            <v>5200</v>
          </cell>
        </row>
        <row r="90">
          <cell r="D90" t="str">
            <v>1E512</v>
          </cell>
          <cell r="E90" t="str">
            <v>alambre de cobre desnudo no. 4</v>
          </cell>
          <cell r="F90" t="str">
            <v>m</v>
          </cell>
          <cell r="G90">
            <v>6148</v>
          </cell>
          <cell r="I90">
            <v>6148</v>
          </cell>
        </row>
        <row r="91">
          <cell r="D91" t="str">
            <v>1E513</v>
          </cell>
          <cell r="E91" t="str">
            <v>alambre de cobre no. 6</v>
          </cell>
          <cell r="F91" t="str">
            <v>m</v>
          </cell>
          <cell r="G91">
            <v>4624</v>
          </cell>
          <cell r="I91">
            <v>4624</v>
          </cell>
        </row>
        <row r="92">
          <cell r="D92" t="str">
            <v>1E514</v>
          </cell>
          <cell r="E92" t="str">
            <v>aislador tensor de 41/4"-13.2kv</v>
          </cell>
          <cell r="F92" t="str">
            <v>u</v>
          </cell>
          <cell r="G92">
            <v>7920</v>
          </cell>
          <cell r="I92">
            <v>7920</v>
          </cell>
        </row>
        <row r="93">
          <cell r="D93" t="str">
            <v>1E515</v>
          </cell>
          <cell r="E93" t="str">
            <v>aislador polimerico tipo suspension 13.2kv</v>
          </cell>
          <cell r="F93" t="str">
            <v>u</v>
          </cell>
          <cell r="G93">
            <v>25829</v>
          </cell>
          <cell r="I93">
            <v>25829</v>
          </cell>
        </row>
        <row r="94">
          <cell r="D94" t="str">
            <v>1E516</v>
          </cell>
          <cell r="E94" t="str">
            <v>amarre preformado cable cubierto</v>
          </cell>
          <cell r="F94" t="str">
            <v>u</v>
          </cell>
          <cell r="G94">
            <v>104632</v>
          </cell>
          <cell r="I94">
            <v>104632</v>
          </cell>
        </row>
        <row r="95">
          <cell r="D95" t="str">
            <v>1E518</v>
          </cell>
          <cell r="E95" t="str">
            <v>brazo angular tipo c</v>
          </cell>
          <cell r="F95" t="str">
            <v>u</v>
          </cell>
          <cell r="G95">
            <v>70160</v>
          </cell>
          <cell r="I95">
            <v>70160</v>
          </cell>
        </row>
        <row r="96">
          <cell r="D96" t="str">
            <v>1E519</v>
          </cell>
          <cell r="E96" t="str">
            <v>brazo viento farol primario</v>
          </cell>
          <cell r="F96" t="str">
            <v>u</v>
          </cell>
          <cell r="G96">
            <v>52200</v>
          </cell>
          <cell r="I96">
            <v>52200</v>
          </cell>
        </row>
        <row r="97">
          <cell r="D97" t="str">
            <v>1E521</v>
          </cell>
          <cell r="E97" t="str">
            <v>cable ecologico 266.8 kcm</v>
          </cell>
          <cell r="F97" t="str">
            <v>m</v>
          </cell>
          <cell r="G97">
            <v>15699</v>
          </cell>
          <cell r="I97">
            <v>15699</v>
          </cell>
        </row>
        <row r="98">
          <cell r="D98" t="str">
            <v>1E522</v>
          </cell>
          <cell r="E98" t="str">
            <v>cable cu thw 10</v>
          </cell>
          <cell r="F98" t="str">
            <v>m</v>
          </cell>
          <cell r="G98">
            <v>1589</v>
          </cell>
          <cell r="I98">
            <v>1589</v>
          </cell>
        </row>
        <row r="99">
          <cell r="D99" t="str">
            <v>1E523</v>
          </cell>
          <cell r="E99" t="str">
            <v>cable super gx de 1/4"</v>
          </cell>
          <cell r="F99" t="str">
            <v>m</v>
          </cell>
          <cell r="G99">
            <v>1249</v>
          </cell>
          <cell r="I99">
            <v>1249</v>
          </cell>
        </row>
        <row r="100">
          <cell r="D100" t="str">
            <v>1E526</v>
          </cell>
          <cell r="E100" t="str">
            <v>conector de compr. tipo derivacion</v>
          </cell>
          <cell r="F100" t="str">
            <v>u</v>
          </cell>
          <cell r="G100">
            <v>4454</v>
          </cell>
          <cell r="I100">
            <v>4454</v>
          </cell>
        </row>
        <row r="101">
          <cell r="D101" t="str">
            <v>1E529</v>
          </cell>
          <cell r="E101" t="str">
            <v>conector de compresión universal</v>
          </cell>
          <cell r="F101" t="str">
            <v>u</v>
          </cell>
          <cell r="G101">
            <v>2432</v>
          </cell>
          <cell r="I101">
            <v>2432</v>
          </cell>
        </row>
        <row r="102">
          <cell r="D102" t="str">
            <v>1E532</v>
          </cell>
          <cell r="E102" t="str">
            <v>cruceta metalica de 2400 mm</v>
          </cell>
          <cell r="F102" t="str">
            <v>u</v>
          </cell>
          <cell r="G102">
            <v>96960</v>
          </cell>
          <cell r="I102">
            <v>96960</v>
          </cell>
        </row>
        <row r="103">
          <cell r="D103" t="str">
            <v>1E535</v>
          </cell>
          <cell r="E103" t="str">
            <v>diagonal en "v" de 48"</v>
          </cell>
          <cell r="F103" t="str">
            <v>u</v>
          </cell>
          <cell r="G103">
            <v>25452</v>
          </cell>
          <cell r="I103">
            <v>25452</v>
          </cell>
        </row>
        <row r="104">
          <cell r="D104" t="str">
            <v>1E542</v>
          </cell>
          <cell r="E104" t="str">
            <v>espigo para aislador b=38 mm</v>
          </cell>
          <cell r="F104" t="str">
            <v>u</v>
          </cell>
          <cell r="G104">
            <v>11876</v>
          </cell>
          <cell r="I104">
            <v>11876</v>
          </cell>
        </row>
        <row r="105">
          <cell r="D105" t="str">
            <v>1E543</v>
          </cell>
          <cell r="E105" t="str">
            <v>espaciador para cable tk ecologico</v>
          </cell>
          <cell r="F105" t="str">
            <v>u</v>
          </cell>
          <cell r="G105">
            <v>65000</v>
          </cell>
          <cell r="I105">
            <v>65000</v>
          </cell>
        </row>
        <row r="106">
          <cell r="D106" t="str">
            <v>1E546</v>
          </cell>
          <cell r="E106" t="str">
            <v>fusible tipo "t"</v>
          </cell>
          <cell r="F106" t="str">
            <v>u</v>
          </cell>
          <cell r="G106">
            <v>4300</v>
          </cell>
          <cell r="I106">
            <v>4300</v>
          </cell>
        </row>
        <row r="107">
          <cell r="D107" t="str">
            <v>1E547</v>
          </cell>
          <cell r="E107" t="str">
            <v>guarda cabo</v>
          </cell>
          <cell r="F107" t="str">
            <v>u</v>
          </cell>
          <cell r="G107">
            <v>1530</v>
          </cell>
          <cell r="I107">
            <v>1530</v>
          </cell>
        </row>
        <row r="108">
          <cell r="D108" t="str">
            <v>1E549</v>
          </cell>
          <cell r="E108" t="str">
            <v>grapa para varilla copperweld</v>
          </cell>
          <cell r="F108" t="str">
            <v>u</v>
          </cell>
          <cell r="G108">
            <v>5500</v>
          </cell>
          <cell r="I108">
            <v>5500</v>
          </cell>
        </row>
        <row r="109">
          <cell r="D109" t="str">
            <v>1E551</v>
          </cell>
          <cell r="E109" t="str">
            <v>cable cu thw cal8</v>
          </cell>
          <cell r="F109" t="str">
            <v>m</v>
          </cell>
          <cell r="G109">
            <v>2588</v>
          </cell>
          <cell r="I109">
            <v>2588</v>
          </cell>
        </row>
        <row r="110">
          <cell r="D110" t="str">
            <v>1E552</v>
          </cell>
          <cell r="E110" t="str">
            <v>cable cu thw cal6</v>
          </cell>
          <cell r="F110" t="str">
            <v>m</v>
          </cell>
          <cell r="G110">
            <v>3987</v>
          </cell>
          <cell r="I110">
            <v>3987</v>
          </cell>
        </row>
        <row r="111">
          <cell r="D111" t="str">
            <v>1E553</v>
          </cell>
          <cell r="E111" t="str">
            <v>cable cu thw cal4</v>
          </cell>
          <cell r="F111" t="str">
            <v>m</v>
          </cell>
          <cell r="G111">
            <v>6146</v>
          </cell>
          <cell r="I111">
            <v>6146</v>
          </cell>
        </row>
        <row r="112">
          <cell r="D112" t="str">
            <v>1E556</v>
          </cell>
          <cell r="E112" t="str">
            <v>tubo pvc de 1"</v>
          </cell>
          <cell r="F112" t="str">
            <v>m</v>
          </cell>
          <cell r="G112">
            <v>1627</v>
          </cell>
          <cell r="I112">
            <v>1627</v>
          </cell>
        </row>
        <row r="113">
          <cell r="D113" t="str">
            <v>1E557</v>
          </cell>
          <cell r="E113" t="str">
            <v>tubo pvc de 1-1/2</v>
          </cell>
          <cell r="F113" t="str">
            <v>m</v>
          </cell>
          <cell r="G113">
            <v>3206</v>
          </cell>
          <cell r="I113">
            <v>3206</v>
          </cell>
        </row>
        <row r="114">
          <cell r="D114" t="str">
            <v>1E558</v>
          </cell>
          <cell r="E114" t="str">
            <v>tubo pvc de 3"</v>
          </cell>
          <cell r="F114" t="str">
            <v>m</v>
          </cell>
          <cell r="G114">
            <v>7216</v>
          </cell>
          <cell r="I114">
            <v>7216</v>
          </cell>
        </row>
        <row r="115">
          <cell r="D115" t="str">
            <v>1E559</v>
          </cell>
          <cell r="E115" t="str">
            <v>herraje de 50*50</v>
          </cell>
          <cell r="F115" t="str">
            <v>u</v>
          </cell>
          <cell r="G115">
            <v>58698</v>
          </cell>
          <cell r="I115">
            <v>58698</v>
          </cell>
        </row>
        <row r="116">
          <cell r="D116" t="str">
            <v>1E561</v>
          </cell>
          <cell r="E116" t="str">
            <v>pararrayos 15 kv</v>
          </cell>
          <cell r="F116" t="str">
            <v>u</v>
          </cell>
          <cell r="G116">
            <v>87614</v>
          </cell>
          <cell r="I116">
            <v>87614</v>
          </cell>
        </row>
        <row r="117">
          <cell r="D117" t="str">
            <v>1E562</v>
          </cell>
          <cell r="E117" t="str">
            <v>cortacircuito de 15 kv</v>
          </cell>
          <cell r="F117" t="str">
            <v>u</v>
          </cell>
          <cell r="G117">
            <v>181169</v>
          </cell>
          <cell r="I117">
            <v>181169</v>
          </cell>
        </row>
        <row r="118">
          <cell r="D118" t="str">
            <v>1E564</v>
          </cell>
          <cell r="E118" t="str">
            <v>herraje 60x60</v>
          </cell>
          <cell r="F118" t="str">
            <v>u</v>
          </cell>
          <cell r="G118">
            <v>91746</v>
          </cell>
          <cell r="I118">
            <v>91746</v>
          </cell>
        </row>
        <row r="119">
          <cell r="D119" t="str">
            <v>1E565</v>
          </cell>
          <cell r="E119" t="str">
            <v>manguera de 1/2"</v>
          </cell>
          <cell r="F119" t="str">
            <v>m</v>
          </cell>
          <cell r="G119">
            <v>1673</v>
          </cell>
          <cell r="I119">
            <v>1673</v>
          </cell>
        </row>
        <row r="120">
          <cell r="D120" t="str">
            <v>1E573</v>
          </cell>
          <cell r="E120" t="str">
            <v>poste de concreto de 8 mts</v>
          </cell>
          <cell r="F120" t="str">
            <v>u</v>
          </cell>
          <cell r="G120">
            <v>450000</v>
          </cell>
          <cell r="I120">
            <v>450000</v>
          </cell>
        </row>
        <row r="121">
          <cell r="D121" t="str">
            <v>1E574</v>
          </cell>
          <cell r="E121" t="str">
            <v>poste de concreto de 12 mts</v>
          </cell>
          <cell r="F121" t="str">
            <v>u</v>
          </cell>
          <cell r="G121">
            <v>973100</v>
          </cell>
          <cell r="I121">
            <v>973100</v>
          </cell>
        </row>
        <row r="122">
          <cell r="D122" t="str">
            <v>1E575</v>
          </cell>
          <cell r="E122" t="str">
            <v>mensula de soporte 610 mm</v>
          </cell>
          <cell r="F122" t="str">
            <v>u</v>
          </cell>
          <cell r="G122">
            <v>44360</v>
          </cell>
          <cell r="I122">
            <v>44360</v>
          </cell>
        </row>
        <row r="123">
          <cell r="D123" t="str">
            <v>1E578</v>
          </cell>
          <cell r="E123" t="str">
            <v>tornillo galv. de 5/8" x 12"</v>
          </cell>
          <cell r="F123" t="str">
            <v>u</v>
          </cell>
          <cell r="G123">
            <v>6300</v>
          </cell>
          <cell r="I123">
            <v>6300</v>
          </cell>
        </row>
        <row r="124">
          <cell r="D124" t="str">
            <v>1E579</v>
          </cell>
          <cell r="E124" t="str">
            <v>tornillo de 5/8" x 1-1/2"</v>
          </cell>
          <cell r="F124" t="str">
            <v>u</v>
          </cell>
          <cell r="G124">
            <v>1314</v>
          </cell>
          <cell r="I124">
            <v>1314</v>
          </cell>
        </row>
        <row r="125">
          <cell r="D125" t="str">
            <v>1E580</v>
          </cell>
          <cell r="E125" t="str">
            <v>tornillo de 5/8" x 8"</v>
          </cell>
          <cell r="F125" t="str">
            <v>u</v>
          </cell>
          <cell r="G125">
            <v>4939</v>
          </cell>
          <cell r="I125">
            <v>4939</v>
          </cell>
        </row>
        <row r="126">
          <cell r="D126" t="str">
            <v>1E581</v>
          </cell>
          <cell r="E126" t="str">
            <v>terminal campana de 3"</v>
          </cell>
          <cell r="F126" t="str">
            <v>u</v>
          </cell>
          <cell r="G126">
            <v>2988</v>
          </cell>
          <cell r="I126">
            <v>2988</v>
          </cell>
        </row>
        <row r="127">
          <cell r="D127" t="str">
            <v>1E587</v>
          </cell>
          <cell r="E127" t="str">
            <v>varilla de anclaje de 2.4 mts</v>
          </cell>
          <cell r="F127" t="str">
            <v>u</v>
          </cell>
          <cell r="G127">
            <v>18234</v>
          </cell>
          <cell r="I127">
            <v>18234</v>
          </cell>
        </row>
        <row r="128">
          <cell r="D128" t="str">
            <v>1E588</v>
          </cell>
          <cell r="E128" t="str">
            <v>varilla de puesta a tierra de 2.4</v>
          </cell>
          <cell r="F128" t="str">
            <v>u</v>
          </cell>
          <cell r="G128">
            <v>23328</v>
          </cell>
          <cell r="I128">
            <v>23328</v>
          </cell>
        </row>
        <row r="129">
          <cell r="D129" t="str">
            <v>1E596</v>
          </cell>
          <cell r="E129" t="str">
            <v>herraje para 2 tapas 60x80 - tipo 1</v>
          </cell>
          <cell r="F129" t="str">
            <v>u</v>
          </cell>
          <cell r="G129">
            <v>252640</v>
          </cell>
          <cell r="I129">
            <v>252640</v>
          </cell>
        </row>
        <row r="130">
          <cell r="D130" t="str">
            <v>1E597</v>
          </cell>
          <cell r="E130" t="str">
            <v>herraje para 2 tapas 60x80 - tipo 2</v>
          </cell>
          <cell r="F130" t="str">
            <v>u</v>
          </cell>
          <cell r="G130">
            <v>183400</v>
          </cell>
          <cell r="I130">
            <v>183400</v>
          </cell>
        </row>
        <row r="131">
          <cell r="D131" t="str">
            <v>1E598</v>
          </cell>
          <cell r="E131" t="str">
            <v>suspension red compacta cruceta volada 1500 mm ra2-301/3</v>
          </cell>
          <cell r="F131" t="str">
            <v>u</v>
          </cell>
          <cell r="G131">
            <v>291664</v>
          </cell>
          <cell r="I131">
            <v>291664</v>
          </cell>
        </row>
        <row r="132">
          <cell r="D132" t="str">
            <v>1E599</v>
          </cell>
          <cell r="E132" t="str">
            <v>terminal con mensula en c, cable cubierto red compacta</v>
          </cell>
          <cell r="F132" t="str">
            <v>u</v>
          </cell>
          <cell r="G132">
            <v>534590</v>
          </cell>
          <cell r="I132">
            <v>534590</v>
          </cell>
        </row>
        <row r="133">
          <cell r="D133" t="str">
            <v>1E600</v>
          </cell>
          <cell r="E133" t="str">
            <v>referencia con cruceta de 1500 mm cable cubierto red compacta</v>
          </cell>
          <cell r="F133" t="str">
            <v>u</v>
          </cell>
          <cell r="G133">
            <v>1128710</v>
          </cell>
          <cell r="I133">
            <v>1128710</v>
          </cell>
        </row>
        <row r="134">
          <cell r="D134" t="str">
            <v>1E615</v>
          </cell>
          <cell r="E134" t="str">
            <v>tubo pvc de 2"</v>
          </cell>
          <cell r="F134" t="str">
            <v>m</v>
          </cell>
          <cell r="G134">
            <v>2967</v>
          </cell>
          <cell r="H134">
            <v>0</v>
          </cell>
          <cell r="I134">
            <v>2967</v>
          </cell>
        </row>
        <row r="135">
          <cell r="D135" t="str">
            <v>1E631</v>
          </cell>
          <cell r="E135" t="str">
            <v>tubo pvc de 4"</v>
          </cell>
          <cell r="F135" t="str">
            <v>m</v>
          </cell>
          <cell r="G135">
            <v>10887</v>
          </cell>
          <cell r="I135">
            <v>10887</v>
          </cell>
        </row>
        <row r="136">
          <cell r="D136" t="str">
            <v>1E632</v>
          </cell>
          <cell r="E136" t="str">
            <v>terminal campana de 4"</v>
          </cell>
          <cell r="F136" t="str">
            <v>u</v>
          </cell>
          <cell r="G136">
            <v>4211</v>
          </cell>
          <cell r="I136">
            <v>4211</v>
          </cell>
        </row>
        <row r="137">
          <cell r="D137" t="str">
            <v>1E645</v>
          </cell>
          <cell r="E137" t="str">
            <v>tapa circular norma tel nin-113</v>
          </cell>
          <cell r="F137" t="str">
            <v>u</v>
          </cell>
          <cell r="G137">
            <v>150000</v>
          </cell>
          <cell r="I137">
            <v>150000</v>
          </cell>
        </row>
        <row r="138">
          <cell r="D138" t="str">
            <v>1E647</v>
          </cell>
          <cell r="E138" t="str">
            <v>luminaria apollo series led gl2 compac 2 70w</v>
          </cell>
          <cell r="F138" t="str">
            <v>u</v>
          </cell>
          <cell r="G138">
            <v>1500000</v>
          </cell>
          <cell r="I138">
            <v>1500000</v>
          </cell>
        </row>
        <row r="139">
          <cell r="D139" t="str">
            <v>1H122</v>
          </cell>
          <cell r="E139" t="str">
            <v>reja para sumidero tipo b</v>
          </cell>
          <cell r="F139" t="str">
            <v>u</v>
          </cell>
          <cell r="G139">
            <v>210000</v>
          </cell>
          <cell r="H139">
            <v>0.16</v>
          </cell>
          <cell r="I139">
            <v>243599.99999999997</v>
          </cell>
        </row>
        <row r="140">
          <cell r="D140" t="str">
            <v>1HG12</v>
          </cell>
          <cell r="E140" t="str">
            <v>banda plastica de pvc norma rs6-010</v>
          </cell>
          <cell r="F140" t="str">
            <v>m</v>
          </cell>
          <cell r="G140">
            <v>1895</v>
          </cell>
          <cell r="H140">
            <v>0.16</v>
          </cell>
          <cell r="I140">
            <v>2198.1999999999998</v>
          </cell>
        </row>
        <row r="141">
          <cell r="D141" t="str">
            <v>1HG13</v>
          </cell>
          <cell r="E141" t="str">
            <v>tuberia polietileno 32mm - pavco o equivalente</v>
          </cell>
          <cell r="F141" t="str">
            <v>m</v>
          </cell>
          <cell r="G141">
            <v>4188</v>
          </cell>
          <cell r="H141">
            <v>0.16</v>
          </cell>
          <cell r="I141">
            <v>4858.08</v>
          </cell>
        </row>
        <row r="142">
          <cell r="D142" t="str">
            <v>1HG14</v>
          </cell>
          <cell r="E142" t="str">
            <v>tuberia polietileno 90mm - pavco o equivalente</v>
          </cell>
          <cell r="F142" t="str">
            <v>m</v>
          </cell>
          <cell r="G142">
            <v>19845</v>
          </cell>
          <cell r="H142">
            <v>0.16</v>
          </cell>
          <cell r="I142">
            <v>23020.199999999997</v>
          </cell>
        </row>
        <row r="143">
          <cell r="D143" t="str">
            <v>1HG15</v>
          </cell>
          <cell r="E143" t="str">
            <v>union polietileno 32mm - pavco o equivalente</v>
          </cell>
          <cell r="F143" t="str">
            <v>u</v>
          </cell>
          <cell r="G143">
            <v>14333</v>
          </cell>
          <cell r="H143">
            <v>0.16</v>
          </cell>
          <cell r="I143">
            <v>16626.28</v>
          </cell>
        </row>
        <row r="144">
          <cell r="D144" t="str">
            <v>1HG17</v>
          </cell>
          <cell r="E144" t="str">
            <v>polivalvula de 32mm tipo extrucol o equivalente</v>
          </cell>
          <cell r="F144" t="str">
            <v>u</v>
          </cell>
          <cell r="G144">
            <v>121310</v>
          </cell>
          <cell r="H144">
            <v>0.16</v>
          </cell>
          <cell r="I144">
            <v>140719.59999999998</v>
          </cell>
        </row>
        <row r="145">
          <cell r="D145" t="str">
            <v>1HG18</v>
          </cell>
          <cell r="E145" t="str">
            <v>tapon polietileno 32mm</v>
          </cell>
          <cell r="F145" t="str">
            <v>u</v>
          </cell>
          <cell r="G145">
            <v>10410</v>
          </cell>
          <cell r="H145">
            <v>0.16</v>
          </cell>
          <cell r="I145">
            <v>12075.599999999999</v>
          </cell>
        </row>
        <row r="146">
          <cell r="D146" t="str">
            <v>1HG21</v>
          </cell>
          <cell r="E146" t="str">
            <v>union polietileno reducida 32x25mm - pavco o equivalente</v>
          </cell>
          <cell r="F146" t="str">
            <v>u</v>
          </cell>
          <cell r="G146">
            <v>20810</v>
          </cell>
          <cell r="H146">
            <v>0.16</v>
          </cell>
          <cell r="I146">
            <v>24139.599999999999</v>
          </cell>
        </row>
        <row r="147">
          <cell r="D147" t="str">
            <v>1HG25</v>
          </cell>
          <cell r="E147" t="str">
            <v>tee polietileno 32mm</v>
          </cell>
          <cell r="F147" t="str">
            <v>u</v>
          </cell>
          <cell r="G147">
            <v>25700</v>
          </cell>
          <cell r="H147">
            <v>0.16</v>
          </cell>
          <cell r="I147">
            <v>29811.999999999996</v>
          </cell>
        </row>
        <row r="148">
          <cell r="D148" t="str">
            <v>1HG30</v>
          </cell>
          <cell r="E148" t="str">
            <v>tee polietileno 90mm</v>
          </cell>
          <cell r="F148" t="str">
            <v>u</v>
          </cell>
          <cell r="G148">
            <v>53250</v>
          </cell>
          <cell r="H148">
            <v>0.16</v>
          </cell>
          <cell r="I148">
            <v>61769.999999999993</v>
          </cell>
        </row>
        <row r="149">
          <cell r="D149" t="str">
            <v>1HG31</v>
          </cell>
          <cell r="E149" t="str">
            <v>reduccion polietileno 90x32mm</v>
          </cell>
          <cell r="F149" t="str">
            <v>u</v>
          </cell>
          <cell r="G149">
            <v>40350</v>
          </cell>
          <cell r="H149">
            <v>0.16</v>
          </cell>
          <cell r="I149">
            <v>46806</v>
          </cell>
        </row>
        <row r="150">
          <cell r="D150" t="str">
            <v>1HG33</v>
          </cell>
          <cell r="E150" t="str">
            <v>tapa metálica 20x20cm para caja polivalvula de red de gas en lámina de 6.35mm</v>
          </cell>
          <cell r="F150" t="str">
            <v>u</v>
          </cell>
          <cell r="G150">
            <v>19960</v>
          </cell>
          <cell r="H150">
            <v>0.16</v>
          </cell>
          <cell r="I150">
            <v>23153.599999999999</v>
          </cell>
        </row>
        <row r="151">
          <cell r="D151" t="str">
            <v>1HG35</v>
          </cell>
          <cell r="E151" t="str">
            <v>tee polietileno 32x25mm</v>
          </cell>
          <cell r="F151" t="str">
            <v>u</v>
          </cell>
          <cell r="G151">
            <v>20800</v>
          </cell>
          <cell r="H151">
            <v>0.16</v>
          </cell>
          <cell r="I151">
            <v>24128</v>
          </cell>
        </row>
        <row r="152">
          <cell r="D152" t="str">
            <v>1HG38</v>
          </cell>
          <cell r="E152" t="str">
            <v>polivalvula de 90mm tipo extrucol o equivalente</v>
          </cell>
          <cell r="F152" t="str">
            <v>u</v>
          </cell>
          <cell r="G152">
            <v>525000</v>
          </cell>
          <cell r="H152">
            <v>0.16</v>
          </cell>
          <cell r="I152">
            <v>609000</v>
          </cell>
        </row>
        <row r="153">
          <cell r="D153" t="str">
            <v>1HG39</v>
          </cell>
          <cell r="E153" t="str">
            <v>union polietileno reducida 90x25mm - pavco o equivalente</v>
          </cell>
          <cell r="F153" t="str">
            <v>u</v>
          </cell>
          <cell r="G153">
            <v>112374</v>
          </cell>
          <cell r="H153">
            <v>0.16</v>
          </cell>
          <cell r="I153">
            <v>130353.84</v>
          </cell>
        </row>
        <row r="154">
          <cell r="D154" t="str">
            <v>1HG40</v>
          </cell>
          <cell r="E154" t="str">
            <v>tapon polietileno 90mm</v>
          </cell>
          <cell r="F154" t="str">
            <v>u</v>
          </cell>
          <cell r="G154">
            <v>43917</v>
          </cell>
          <cell r="H154">
            <v>0.16</v>
          </cell>
          <cell r="I154">
            <v>50943.719999999994</v>
          </cell>
        </row>
        <row r="155">
          <cell r="D155" t="str">
            <v>1HG41</v>
          </cell>
          <cell r="E155" t="str">
            <v>reduccion polietileno 90x63mm</v>
          </cell>
          <cell r="F155" t="str">
            <v>u</v>
          </cell>
          <cell r="G155">
            <v>119158</v>
          </cell>
          <cell r="H155">
            <v>0.16</v>
          </cell>
          <cell r="I155">
            <v>138223.28</v>
          </cell>
        </row>
        <row r="156">
          <cell r="D156" t="str">
            <v>1HG42</v>
          </cell>
          <cell r="E156" t="str">
            <v>codo polietileno 90mm</v>
          </cell>
          <cell r="F156" t="str">
            <v>u</v>
          </cell>
          <cell r="G156">
            <v>107242</v>
          </cell>
          <cell r="H156">
            <v>0.16</v>
          </cell>
          <cell r="I156">
            <v>124400.71999999999</v>
          </cell>
        </row>
        <row r="157">
          <cell r="D157" t="str">
            <v>1HS11</v>
          </cell>
          <cell r="E157" t="str">
            <v>tubería unión platino rde 21 200 psi, ø= 6" - pavco o equivalente.</v>
          </cell>
          <cell r="F157" t="str">
            <v>m</v>
          </cell>
          <cell r="G157">
            <v>50153.666666666664</v>
          </cell>
          <cell r="H157">
            <v>0.16</v>
          </cell>
          <cell r="I157">
            <v>58178.253333333327</v>
          </cell>
        </row>
        <row r="158">
          <cell r="D158" t="str">
            <v>1HS12</v>
          </cell>
          <cell r="E158" t="str">
            <v>unión platino ø= 6"</v>
          </cell>
          <cell r="F158" t="str">
            <v>u</v>
          </cell>
          <cell r="G158">
            <v>87692</v>
          </cell>
          <cell r="H158">
            <v>0.16</v>
          </cell>
          <cell r="I158">
            <v>101722.71999999999</v>
          </cell>
        </row>
        <row r="159">
          <cell r="D159" t="str">
            <v>1HS13</v>
          </cell>
          <cell r="E159" t="str">
            <v>unión platino de reparacion ø= 6"</v>
          </cell>
          <cell r="F159" t="str">
            <v>u</v>
          </cell>
          <cell r="G159">
            <v>179874</v>
          </cell>
          <cell r="H159">
            <v>0.16</v>
          </cell>
          <cell r="I159">
            <v>208653.84</v>
          </cell>
        </row>
        <row r="160">
          <cell r="D160" t="str">
            <v>1HS14</v>
          </cell>
          <cell r="E160" t="str">
            <v>lubricante para tubería 500 gr</v>
          </cell>
          <cell r="F160" t="str">
            <v>lb</v>
          </cell>
          <cell r="G160">
            <v>12980</v>
          </cell>
          <cell r="H160">
            <v>0.16</v>
          </cell>
          <cell r="I160">
            <v>15056.8</v>
          </cell>
        </row>
        <row r="161">
          <cell r="D161" t="str">
            <v>1HS16</v>
          </cell>
          <cell r="E161" t="str">
            <v>tubería unión platino rde 21 200 psi, ø= 4" - pavco o equivalente.</v>
          </cell>
          <cell r="F161" t="str">
            <v>m</v>
          </cell>
          <cell r="G161">
            <v>22969.333333333332</v>
          </cell>
          <cell r="H161">
            <v>0.16</v>
          </cell>
          <cell r="I161">
            <v>26644.426666666663</v>
          </cell>
        </row>
        <row r="162">
          <cell r="D162" t="str">
            <v>1HS17</v>
          </cell>
          <cell r="E162" t="str">
            <v>unión platino ø= 4"</v>
          </cell>
          <cell r="F162" t="str">
            <v>u</v>
          </cell>
          <cell r="G162">
            <v>37556</v>
          </cell>
          <cell r="H162">
            <v>0.16</v>
          </cell>
          <cell r="I162">
            <v>43564.959999999999</v>
          </cell>
        </row>
        <row r="163">
          <cell r="D163" t="str">
            <v>1HS18</v>
          </cell>
          <cell r="E163" t="str">
            <v>unión platino de reparacion ø= 4"</v>
          </cell>
          <cell r="F163" t="str">
            <v>u</v>
          </cell>
          <cell r="G163">
            <v>42247</v>
          </cell>
          <cell r="H163">
            <v>0.16</v>
          </cell>
          <cell r="I163">
            <v>49006.52</v>
          </cell>
        </row>
        <row r="164">
          <cell r="D164" t="str">
            <v>1HS26</v>
          </cell>
          <cell r="E164" t="str">
            <v>pintura acondicionador de superficies tipo wash primer, componente a. presentación por 1/4 galón.</v>
          </cell>
          <cell r="F164" t="str">
            <v>u</v>
          </cell>
          <cell r="G164">
            <v>20600</v>
          </cell>
          <cell r="H164">
            <v>0.16</v>
          </cell>
          <cell r="I164">
            <v>23896</v>
          </cell>
        </row>
        <row r="165">
          <cell r="D165" t="str">
            <v>1HS27</v>
          </cell>
          <cell r="E165" t="str">
            <v>pintura anticorrosivo premium</v>
          </cell>
          <cell r="F165" t="str">
            <v>gl</v>
          </cell>
          <cell r="G165">
            <v>36500</v>
          </cell>
          <cell r="H165">
            <v>0.16</v>
          </cell>
          <cell r="I165">
            <v>42340</v>
          </cell>
        </row>
        <row r="166">
          <cell r="D166" t="str">
            <v>1HS32</v>
          </cell>
          <cell r="E166" t="str">
            <v>tee ø= 6"x6" - pavco o equivalente</v>
          </cell>
          <cell r="F166" t="str">
            <v>u</v>
          </cell>
          <cell r="G166">
            <v>372980</v>
          </cell>
          <cell r="H166">
            <v>0.16</v>
          </cell>
          <cell r="I166">
            <v>432656.8</v>
          </cell>
        </row>
        <row r="167">
          <cell r="D167" t="str">
            <v>1HS33</v>
          </cell>
          <cell r="E167" t="str">
            <v>tee ø= 6"x4" - pavco o equivalente</v>
          </cell>
          <cell r="F167" t="str">
            <v>u</v>
          </cell>
          <cell r="G167">
            <v>297892</v>
          </cell>
          <cell r="H167">
            <v>0.16</v>
          </cell>
          <cell r="I167">
            <v>345554.72</v>
          </cell>
        </row>
        <row r="168">
          <cell r="D168" t="str">
            <v>1HS34</v>
          </cell>
          <cell r="E168" t="str">
            <v>tee ø= 6"x3" - pavco o equivalente</v>
          </cell>
          <cell r="F168" t="str">
            <v>u</v>
          </cell>
          <cell r="G168">
            <v>359184</v>
          </cell>
          <cell r="H168">
            <v>0.16</v>
          </cell>
          <cell r="I168">
            <v>416653.43999999994</v>
          </cell>
        </row>
        <row r="169">
          <cell r="D169" t="str">
            <v>1HS37</v>
          </cell>
          <cell r="E169" t="str">
            <v>codo ø= 6"x90° - pavco o equivalente</v>
          </cell>
          <cell r="F169" t="str">
            <v>u</v>
          </cell>
          <cell r="G169">
            <v>236251</v>
          </cell>
          <cell r="H169">
            <v>0.16</v>
          </cell>
          <cell r="I169">
            <v>274051.15999999997</v>
          </cell>
        </row>
        <row r="170">
          <cell r="D170" t="str">
            <v>1HS38</v>
          </cell>
          <cell r="E170" t="str">
            <v>codo ø= 6"x22.5° - pavco o equivalente</v>
          </cell>
          <cell r="F170" t="str">
            <v>u</v>
          </cell>
          <cell r="G170">
            <v>137283</v>
          </cell>
          <cell r="H170">
            <v>0.16</v>
          </cell>
          <cell r="I170">
            <v>159248.28</v>
          </cell>
        </row>
        <row r="171">
          <cell r="D171" t="str">
            <v>1HS39</v>
          </cell>
          <cell r="E171" t="str">
            <v>codo ø= 6"x11.25° - pavco o equivalente</v>
          </cell>
          <cell r="F171" t="str">
            <v>u</v>
          </cell>
          <cell r="G171">
            <v>122755</v>
          </cell>
          <cell r="H171">
            <v>0.16</v>
          </cell>
          <cell r="I171">
            <v>142395.79999999999</v>
          </cell>
        </row>
        <row r="172">
          <cell r="D172" t="str">
            <v>1HS51</v>
          </cell>
          <cell r="E172" t="str">
            <v>valvula de compuerta diametro 150 mm</v>
          </cell>
          <cell r="F172" t="str">
            <v>u</v>
          </cell>
          <cell r="G172">
            <v>1607760</v>
          </cell>
          <cell r="I172">
            <v>1607760</v>
          </cell>
        </row>
        <row r="173">
          <cell r="D173" t="str">
            <v>1HS52</v>
          </cell>
          <cell r="E173" t="str">
            <v>valvula de compuerta diametro 100 mm</v>
          </cell>
          <cell r="F173" t="str">
            <v>u</v>
          </cell>
          <cell r="G173">
            <v>774880</v>
          </cell>
          <cell r="I173">
            <v>774880</v>
          </cell>
        </row>
        <row r="174">
          <cell r="D174" t="str">
            <v>1HS53</v>
          </cell>
          <cell r="E174" t="str">
            <v>valvula de compuerta diametro 75 mm</v>
          </cell>
          <cell r="F174" t="str">
            <v>u</v>
          </cell>
          <cell r="G174">
            <v>584640</v>
          </cell>
          <cell r="I174">
            <v>584640</v>
          </cell>
        </row>
        <row r="175">
          <cell r="D175" t="str">
            <v>1HS55</v>
          </cell>
          <cell r="E175" t="str">
            <v>tubería pvc novafort ø= 250mm</v>
          </cell>
          <cell r="F175" t="str">
            <v>m</v>
          </cell>
          <cell r="G175">
            <v>42255.5</v>
          </cell>
          <cell r="H175">
            <v>0.16</v>
          </cell>
          <cell r="I175">
            <v>49016.38</v>
          </cell>
        </row>
        <row r="176">
          <cell r="D176" t="str">
            <v>1HS57</v>
          </cell>
          <cell r="E176" t="str">
            <v>tubería pvc novafort ø= 450mm</v>
          </cell>
          <cell r="F176" t="str">
            <v>m</v>
          </cell>
          <cell r="G176">
            <v>135602.16666666666</v>
          </cell>
          <cell r="H176">
            <v>0.16</v>
          </cell>
          <cell r="I176">
            <v>157298.51333333331</v>
          </cell>
        </row>
        <row r="177">
          <cell r="D177" t="str">
            <v>1HS59</v>
          </cell>
          <cell r="E177" t="str">
            <v>unión pvc novafort ø= 250mm</v>
          </cell>
          <cell r="F177" t="str">
            <v>u</v>
          </cell>
          <cell r="G177">
            <v>85154</v>
          </cell>
          <cell r="H177">
            <v>0.16</v>
          </cell>
          <cell r="I177">
            <v>98778.64</v>
          </cell>
        </row>
        <row r="178">
          <cell r="D178" t="str">
            <v>1HS61</v>
          </cell>
          <cell r="E178" t="str">
            <v>tubería pvc novafort ø= 200mm</v>
          </cell>
          <cell r="F178" t="str">
            <v>m</v>
          </cell>
          <cell r="G178">
            <v>29979</v>
          </cell>
          <cell r="H178">
            <v>0.16</v>
          </cell>
          <cell r="I178">
            <v>34775.64</v>
          </cell>
        </row>
        <row r="179">
          <cell r="D179" t="str">
            <v>1HS65</v>
          </cell>
          <cell r="E179" t="str">
            <v>codo pvc novafort ø= 250mm</v>
          </cell>
          <cell r="F179" t="str">
            <v>u</v>
          </cell>
          <cell r="G179">
            <v>177124</v>
          </cell>
          <cell r="H179">
            <v>0.16</v>
          </cell>
          <cell r="I179">
            <v>205463.84</v>
          </cell>
        </row>
        <row r="180">
          <cell r="D180" t="str">
            <v>1HS72</v>
          </cell>
          <cell r="E180" t="str">
            <v>hidrosello pvc novafort ø= 200mm</v>
          </cell>
          <cell r="F180" t="str">
            <v>u</v>
          </cell>
          <cell r="G180">
            <v>4493</v>
          </cell>
          <cell r="H180">
            <v>0.16</v>
          </cell>
          <cell r="I180">
            <v>5211.8799999999992</v>
          </cell>
        </row>
        <row r="181">
          <cell r="D181" t="str">
            <v>1HS73</v>
          </cell>
          <cell r="E181" t="str">
            <v>unión pvc novafort ø= 200mm</v>
          </cell>
          <cell r="F181" t="str">
            <v>u</v>
          </cell>
          <cell r="G181">
            <v>29979</v>
          </cell>
          <cell r="H181">
            <v>0.16</v>
          </cell>
          <cell r="I181">
            <v>34775.64</v>
          </cell>
        </row>
        <row r="182">
          <cell r="D182" t="str">
            <v>1HS76</v>
          </cell>
          <cell r="E182" t="str">
            <v>hidrosello pvc novafort ø= 250mm</v>
          </cell>
          <cell r="F182" t="str">
            <v>u</v>
          </cell>
          <cell r="G182">
            <v>7849</v>
          </cell>
          <cell r="H182">
            <v>0.16</v>
          </cell>
          <cell r="I182">
            <v>9104.84</v>
          </cell>
        </row>
        <row r="183">
          <cell r="D183" t="str">
            <v>1HS80</v>
          </cell>
          <cell r="E183" t="str">
            <v>acondicionador de superficie novafort x 250cc</v>
          </cell>
          <cell r="F183" t="str">
            <v>u</v>
          </cell>
          <cell r="G183">
            <v>77959</v>
          </cell>
          <cell r="H183">
            <v>0.16</v>
          </cell>
          <cell r="I183">
            <v>90432.439999999988</v>
          </cell>
        </row>
        <row r="184">
          <cell r="D184" t="str">
            <v>1HS81</v>
          </cell>
          <cell r="E184" t="str">
            <v>adhesivo novafort x 310ml</v>
          </cell>
          <cell r="F184" t="str">
            <v>u</v>
          </cell>
          <cell r="G184">
            <v>39080</v>
          </cell>
          <cell r="H184">
            <v>0.16</v>
          </cell>
          <cell r="I184">
            <v>45332.799999999996</v>
          </cell>
        </row>
        <row r="185">
          <cell r="D185" t="str">
            <v>1HS82</v>
          </cell>
          <cell r="E185" t="str">
            <v>tapa para camara de inspeccion</v>
          </cell>
          <cell r="F185" t="str">
            <v>u</v>
          </cell>
          <cell r="G185">
            <v>107500</v>
          </cell>
          <cell r="H185">
            <v>0.16</v>
          </cell>
          <cell r="I185">
            <v>124699.99999999999</v>
          </cell>
        </row>
        <row r="186">
          <cell r="D186" t="str">
            <v>1HS83</v>
          </cell>
          <cell r="E186" t="str">
            <v>cuello para camara de inspeccion</v>
          </cell>
          <cell r="F186" t="str">
            <v>u</v>
          </cell>
          <cell r="G186">
            <v>158450</v>
          </cell>
          <cell r="H186">
            <v>0.16</v>
          </cell>
          <cell r="I186">
            <v>183802</v>
          </cell>
        </row>
        <row r="187">
          <cell r="D187" t="str">
            <v>1HS84</v>
          </cell>
          <cell r="E187" t="str">
            <v>cono concéntrico Ø 1.20m</v>
          </cell>
          <cell r="F187" t="str">
            <v>u</v>
          </cell>
          <cell r="G187">
            <v>260000</v>
          </cell>
          <cell r="H187">
            <v>0.16</v>
          </cell>
          <cell r="I187">
            <v>301600</v>
          </cell>
        </row>
        <row r="188">
          <cell r="D188" t="str">
            <v>1HS85</v>
          </cell>
          <cell r="E188" t="str">
            <v>cilindro 0.20m x Ø 1.20m</v>
          </cell>
          <cell r="F188" t="str">
            <v>u</v>
          </cell>
          <cell r="G188">
            <v>105000</v>
          </cell>
          <cell r="H188">
            <v>0.16</v>
          </cell>
          <cell r="I188">
            <v>121799.99999999999</v>
          </cell>
        </row>
        <row r="189">
          <cell r="D189" t="str">
            <v>1HS86</v>
          </cell>
          <cell r="E189" t="str">
            <v>cilindro 0.50m x Ø 1.20m</v>
          </cell>
          <cell r="F189" t="str">
            <v>u</v>
          </cell>
          <cell r="G189">
            <v>192375</v>
          </cell>
          <cell r="H189">
            <v>0.16</v>
          </cell>
          <cell r="I189">
            <v>223154.99999999997</v>
          </cell>
        </row>
        <row r="190">
          <cell r="D190" t="str">
            <v>1HS87</v>
          </cell>
          <cell r="E190" t="str">
            <v>cilindro 1.00m x Ø 1.20m</v>
          </cell>
          <cell r="F190" t="str">
            <v>u</v>
          </cell>
          <cell r="G190">
            <v>339750</v>
          </cell>
          <cell r="H190">
            <v>0.16</v>
          </cell>
          <cell r="I190">
            <v>394110</v>
          </cell>
        </row>
        <row r="191">
          <cell r="D191" t="str">
            <v>1HS88</v>
          </cell>
          <cell r="E191" t="str">
            <v>cono concéntrico Ø 1.50m</v>
          </cell>
          <cell r="F191" t="str">
            <v>u</v>
          </cell>
          <cell r="G191">
            <v>504250</v>
          </cell>
          <cell r="H191">
            <v>0.16</v>
          </cell>
          <cell r="I191">
            <v>584930</v>
          </cell>
        </row>
        <row r="192">
          <cell r="D192" t="str">
            <v>1HS89</v>
          </cell>
          <cell r="E192" t="str">
            <v>cilindro 0.20m x Ø 1.50m</v>
          </cell>
          <cell r="F192" t="str">
            <v>u</v>
          </cell>
          <cell r="G192">
            <v>126750</v>
          </cell>
          <cell r="H192">
            <v>0.16</v>
          </cell>
          <cell r="I192">
            <v>147030</v>
          </cell>
        </row>
        <row r="193">
          <cell r="D193" t="str">
            <v>1HS90</v>
          </cell>
          <cell r="E193" t="str">
            <v>cilindro 0.50m x Ø 1.50m</v>
          </cell>
          <cell r="F193" t="str">
            <v>u</v>
          </cell>
          <cell r="G193">
            <v>323750</v>
          </cell>
          <cell r="H193">
            <v>0.16</v>
          </cell>
          <cell r="I193">
            <v>375550</v>
          </cell>
        </row>
        <row r="194">
          <cell r="D194" t="str">
            <v>1HS91</v>
          </cell>
          <cell r="E194" t="str">
            <v>cilindro 1.00m x Ø 1.50m</v>
          </cell>
          <cell r="F194" t="str">
            <v>u</v>
          </cell>
          <cell r="G194">
            <v>653250</v>
          </cell>
          <cell r="H194">
            <v>0.16</v>
          </cell>
          <cell r="I194">
            <v>757770</v>
          </cell>
        </row>
        <row r="195">
          <cell r="D195" t="str">
            <v>1HS92</v>
          </cell>
          <cell r="E195" t="str">
            <v>union empaque caucho Ø 1.20m</v>
          </cell>
          <cell r="F195" t="str">
            <v>u</v>
          </cell>
          <cell r="G195">
            <v>25000</v>
          </cell>
          <cell r="H195">
            <v>0.16</v>
          </cell>
          <cell r="I195">
            <v>28999.999999999996</v>
          </cell>
        </row>
        <row r="196">
          <cell r="D196" t="str">
            <v>1HS93</v>
          </cell>
          <cell r="E196" t="str">
            <v>union empaque caucho Ø 1.50m</v>
          </cell>
          <cell r="F196" t="str">
            <v>u</v>
          </cell>
          <cell r="G196">
            <v>30000</v>
          </cell>
          <cell r="H196">
            <v>0.16</v>
          </cell>
          <cell r="I196">
            <v>34800</v>
          </cell>
        </row>
        <row r="197">
          <cell r="D197" t="str">
            <v>1HS98</v>
          </cell>
          <cell r="E197" t="str">
            <v>hidrante Ø3"</v>
          </cell>
          <cell r="F197" t="str">
            <v>u</v>
          </cell>
          <cell r="G197">
            <v>1626000</v>
          </cell>
          <cell r="H197">
            <v>0.16</v>
          </cell>
          <cell r="I197">
            <v>1886159.9999999998</v>
          </cell>
        </row>
        <row r="198">
          <cell r="D198" t="str">
            <v>1HSA1</v>
          </cell>
          <cell r="E198" t="str">
            <v>válvula bridada de 3"</v>
          </cell>
          <cell r="F198" t="str">
            <v>u</v>
          </cell>
          <cell r="G198">
            <v>475400</v>
          </cell>
          <cell r="H198">
            <v>0.16</v>
          </cell>
          <cell r="I198">
            <v>551464</v>
          </cell>
        </row>
        <row r="199">
          <cell r="D199" t="str">
            <v>1HSA2</v>
          </cell>
          <cell r="E199" t="str">
            <v>codo 90º bridado de hierro ductil de ø= 3"</v>
          </cell>
          <cell r="F199" t="str">
            <v>u</v>
          </cell>
          <cell r="G199">
            <v>169400</v>
          </cell>
          <cell r="H199">
            <v>0.16</v>
          </cell>
          <cell r="I199">
            <v>196504</v>
          </cell>
        </row>
        <row r="200">
          <cell r="D200" t="str">
            <v>1HSA3</v>
          </cell>
          <cell r="E200" t="str">
            <v>tubería de hierro ductil de 3"</v>
          </cell>
          <cell r="F200" t="str">
            <v>m</v>
          </cell>
          <cell r="G200">
            <v>94300</v>
          </cell>
          <cell r="H200">
            <v>0.16</v>
          </cell>
          <cell r="I200">
            <v>109387.99999999999</v>
          </cell>
        </row>
        <row r="201">
          <cell r="D201" t="str">
            <v>1HSA4</v>
          </cell>
          <cell r="E201" t="str">
            <v>unión vitauli 3"</v>
          </cell>
          <cell r="F201" t="str">
            <v>u</v>
          </cell>
          <cell r="G201">
            <v>63200</v>
          </cell>
          <cell r="H201">
            <v>0.16</v>
          </cell>
          <cell r="I201">
            <v>73312</v>
          </cell>
        </row>
        <row r="202">
          <cell r="D202" t="str">
            <v>1HSA5</v>
          </cell>
          <cell r="E202" t="str">
            <v>tapa valvula con caja de concreto</v>
          </cell>
          <cell r="F202" t="str">
            <v>u</v>
          </cell>
          <cell r="G202">
            <v>174600</v>
          </cell>
          <cell r="H202">
            <v>0.16</v>
          </cell>
          <cell r="I202">
            <v>202536</v>
          </cell>
        </row>
        <row r="203">
          <cell r="D203" t="str">
            <v>1HSA6</v>
          </cell>
          <cell r="E203" t="str">
            <v>tubería pvc-s ø= 3"</v>
          </cell>
          <cell r="F203" t="str">
            <v>m</v>
          </cell>
          <cell r="G203">
            <v>11769.666666666666</v>
          </cell>
          <cell r="H203">
            <v>0.16</v>
          </cell>
          <cell r="I203">
            <v>13652.813333333332</v>
          </cell>
        </row>
        <row r="204">
          <cell r="D204" t="str">
            <v>1HSA7</v>
          </cell>
          <cell r="E204" t="str">
            <v>tapón pvc registro 3"</v>
          </cell>
          <cell r="F204" t="str">
            <v>u</v>
          </cell>
          <cell r="G204">
            <v>995</v>
          </cell>
          <cell r="H204">
            <v>0.16</v>
          </cell>
          <cell r="I204">
            <v>1154.1999999999998</v>
          </cell>
        </row>
        <row r="205">
          <cell r="D205" t="str">
            <v>1HSA8</v>
          </cell>
          <cell r="E205" t="str">
            <v>codo ø= 4"x90° - gran radio pavco o equivalente</v>
          </cell>
          <cell r="F205" t="str">
            <v>u</v>
          </cell>
          <cell r="G205">
            <v>76275</v>
          </cell>
          <cell r="H205">
            <v>0.16</v>
          </cell>
          <cell r="I205">
            <v>88479</v>
          </cell>
        </row>
        <row r="206">
          <cell r="D206" t="str">
            <v>1HSB2</v>
          </cell>
          <cell r="E206" t="str">
            <v>codo ø= 4"x11.25° - gran radio pavco o equivalente</v>
          </cell>
          <cell r="F206" t="str">
            <v>u</v>
          </cell>
          <cell r="G206">
            <v>45761</v>
          </cell>
          <cell r="H206">
            <v>0.16</v>
          </cell>
          <cell r="I206">
            <v>53082.759999999995</v>
          </cell>
        </row>
        <row r="207">
          <cell r="D207" t="str">
            <v>1HSC3</v>
          </cell>
          <cell r="E207" t="str">
            <v>tubería pvc presion Ø2" rde 21</v>
          </cell>
          <cell r="F207" t="str">
            <v>u</v>
          </cell>
          <cell r="G207">
            <v>68039</v>
          </cell>
          <cell r="H207">
            <v>0.16</v>
          </cell>
          <cell r="I207">
            <v>78925.239999999991</v>
          </cell>
        </row>
        <row r="208">
          <cell r="D208" t="str">
            <v>1HSC4</v>
          </cell>
          <cell r="E208" t="str">
            <v>codo ø= 6"x45° - gran radio pavco o equivalente</v>
          </cell>
          <cell r="F208" t="str">
            <v>u</v>
          </cell>
          <cell r="G208">
            <v>148192</v>
          </cell>
          <cell r="H208">
            <v>0.16</v>
          </cell>
          <cell r="I208">
            <v>171902.72</v>
          </cell>
        </row>
        <row r="209">
          <cell r="D209" t="str">
            <v>1HSC8</v>
          </cell>
          <cell r="E209" t="str">
            <v>valvula de compuerta diametro 200 mm</v>
          </cell>
          <cell r="F209" t="str">
            <v>u</v>
          </cell>
          <cell r="G209">
            <v>2192400</v>
          </cell>
          <cell r="H209">
            <v>0.16</v>
          </cell>
          <cell r="I209">
            <v>2543184</v>
          </cell>
        </row>
        <row r="210">
          <cell r="D210" t="str">
            <v>1HSD3</v>
          </cell>
          <cell r="E210" t="str">
            <v>codo ø= 8"x45° - pavco o equivalente</v>
          </cell>
          <cell r="F210" t="str">
            <v>u</v>
          </cell>
          <cell r="G210">
            <v>321773</v>
          </cell>
          <cell r="H210">
            <v>0.16</v>
          </cell>
          <cell r="I210">
            <v>373256.68</v>
          </cell>
        </row>
        <row r="211">
          <cell r="D211" t="str">
            <v>1HSD4</v>
          </cell>
          <cell r="E211" t="str">
            <v>reduccion pvc 200 mm x 150 mm</v>
          </cell>
          <cell r="F211" t="str">
            <v>u</v>
          </cell>
          <cell r="G211">
            <v>320000</v>
          </cell>
          <cell r="H211">
            <v>0.16</v>
          </cell>
          <cell r="I211">
            <v>371200</v>
          </cell>
        </row>
        <row r="212">
          <cell r="D212" t="str">
            <v>1HSD5</v>
          </cell>
          <cell r="E212" t="str">
            <v>valvula de ventosa diametro 50 mm</v>
          </cell>
          <cell r="F212" t="str">
            <v>u</v>
          </cell>
          <cell r="G212">
            <v>266800</v>
          </cell>
          <cell r="H212">
            <v>0.16</v>
          </cell>
          <cell r="I212">
            <v>309488</v>
          </cell>
        </row>
        <row r="213">
          <cell r="D213" t="str">
            <v>1HSD6</v>
          </cell>
          <cell r="E213" t="str">
            <v>tuberia pvc novaloc 24"</v>
          </cell>
          <cell r="F213" t="str">
            <v>u</v>
          </cell>
          <cell r="G213">
            <v>229514</v>
          </cell>
          <cell r="H213">
            <v>0.16</v>
          </cell>
          <cell r="I213">
            <v>266236.24</v>
          </cell>
        </row>
        <row r="214">
          <cell r="D214" t="str">
            <v>1HSD7</v>
          </cell>
          <cell r="E214" t="str">
            <v>tuberia pvc novaloc 33"</v>
          </cell>
          <cell r="F214" t="str">
            <v>u</v>
          </cell>
          <cell r="G214">
            <v>417608</v>
          </cell>
          <cell r="H214">
            <v>0.16</v>
          </cell>
          <cell r="I214">
            <v>484425.27999999997</v>
          </cell>
        </row>
        <row r="215">
          <cell r="D215" t="str">
            <v>1HSD8</v>
          </cell>
          <cell r="E215" t="str">
            <v>tuberia pvc novaloc 42"</v>
          </cell>
          <cell r="F215" t="str">
            <v>u</v>
          </cell>
          <cell r="G215">
            <v>932931</v>
          </cell>
          <cell r="H215">
            <v>0.16</v>
          </cell>
          <cell r="I215">
            <v>1082199.96</v>
          </cell>
        </row>
        <row r="216">
          <cell r="D216" t="str">
            <v>1HSD9</v>
          </cell>
          <cell r="E216" t="str">
            <v>bisel novaloc 24"</v>
          </cell>
          <cell r="F216" t="str">
            <v>u</v>
          </cell>
          <cell r="G216">
            <v>11526</v>
          </cell>
          <cell r="H216">
            <v>0.16</v>
          </cell>
          <cell r="I216">
            <v>13370.16</v>
          </cell>
        </row>
        <row r="217">
          <cell r="D217" t="str">
            <v>1HSE1</v>
          </cell>
          <cell r="E217" t="str">
            <v>bisel novaloc 33"</v>
          </cell>
          <cell r="F217" t="str">
            <v>u</v>
          </cell>
          <cell r="G217">
            <v>25961</v>
          </cell>
          <cell r="H217">
            <v>0.16</v>
          </cell>
          <cell r="I217">
            <v>30114.76</v>
          </cell>
        </row>
        <row r="218">
          <cell r="D218" t="str">
            <v>1HSE2</v>
          </cell>
          <cell r="E218" t="str">
            <v>bisel novaloc 42"</v>
          </cell>
          <cell r="F218" t="str">
            <v>u</v>
          </cell>
          <cell r="G218">
            <v>47020</v>
          </cell>
          <cell r="H218">
            <v>0.16</v>
          </cell>
          <cell r="I218">
            <v>54543.199999999997</v>
          </cell>
        </row>
        <row r="219">
          <cell r="D219" t="str">
            <v>1HSE3</v>
          </cell>
          <cell r="E219" t="str">
            <v>hidrosello novaloc 24"</v>
          </cell>
          <cell r="F219" t="str">
            <v>u</v>
          </cell>
          <cell r="G219">
            <v>56577</v>
          </cell>
          <cell r="H219">
            <v>0.16</v>
          </cell>
          <cell r="I219">
            <v>65629.319999999992</v>
          </cell>
        </row>
        <row r="220">
          <cell r="D220" t="str">
            <v>1HSE4</v>
          </cell>
          <cell r="E220" t="str">
            <v>hidrosello novaloc 33"</v>
          </cell>
          <cell r="F220" t="str">
            <v>u</v>
          </cell>
          <cell r="G220">
            <v>72508</v>
          </cell>
          <cell r="H220">
            <v>0.16</v>
          </cell>
          <cell r="I220">
            <v>84109.28</v>
          </cell>
        </row>
        <row r="221">
          <cell r="D221" t="str">
            <v>1HSE5</v>
          </cell>
          <cell r="E221" t="str">
            <v>hidrosello novaloc 42"</v>
          </cell>
          <cell r="F221" t="str">
            <v>u</v>
          </cell>
          <cell r="G221">
            <v>98386</v>
          </cell>
          <cell r="H221">
            <v>0.16</v>
          </cell>
          <cell r="I221">
            <v>114127.76</v>
          </cell>
        </row>
        <row r="222">
          <cell r="D222" t="str">
            <v>1HSE6</v>
          </cell>
          <cell r="E222" t="str">
            <v>union novaloc 24"</v>
          </cell>
          <cell r="F222" t="str">
            <v>u</v>
          </cell>
          <cell r="G222">
            <v>88488</v>
          </cell>
          <cell r="H222">
            <v>0.16</v>
          </cell>
          <cell r="I222">
            <v>102646.07999999999</v>
          </cell>
        </row>
        <row r="223">
          <cell r="D223" t="str">
            <v>1HSE7</v>
          </cell>
          <cell r="E223" t="str">
            <v>union novaloc 33"</v>
          </cell>
          <cell r="F223" t="str">
            <v>u</v>
          </cell>
          <cell r="G223">
            <v>104009</v>
          </cell>
          <cell r="H223">
            <v>0.16</v>
          </cell>
          <cell r="I223">
            <v>120650.43999999999</v>
          </cell>
        </row>
        <row r="224">
          <cell r="D224" t="str">
            <v>1HSE8</v>
          </cell>
          <cell r="E224" t="str">
            <v>union novaloc 42"</v>
          </cell>
          <cell r="F224" t="str">
            <v>u</v>
          </cell>
          <cell r="G224">
            <v>130961</v>
          </cell>
          <cell r="H224">
            <v>0.16</v>
          </cell>
          <cell r="I224">
            <v>151914.75999999998</v>
          </cell>
        </row>
        <row r="225">
          <cell r="D225" t="str">
            <v>1HSE9</v>
          </cell>
          <cell r="E225" t="str">
            <v>soldadura pvc barra</v>
          </cell>
          <cell r="F225" t="str">
            <v>u</v>
          </cell>
          <cell r="G225">
            <v>1796</v>
          </cell>
          <cell r="H225">
            <v>0.16</v>
          </cell>
          <cell r="I225">
            <v>2083.3599999999997</v>
          </cell>
        </row>
        <row r="226">
          <cell r="D226" t="str">
            <v>1NE12</v>
          </cell>
          <cell r="E226" t="str">
            <v>neopreno dureza 50 60x25x1 cm</v>
          </cell>
          <cell r="F226" t="str">
            <v>u</v>
          </cell>
          <cell r="G226">
            <v>28000</v>
          </cell>
          <cell r="H226">
            <v>0.16</v>
          </cell>
          <cell r="I226">
            <v>32479.999999999996</v>
          </cell>
        </row>
        <row r="227">
          <cell r="D227" t="str">
            <v>1NE26</v>
          </cell>
          <cell r="E227" t="str">
            <v>neopreno dureza 60 55x50x10 con 3 platinas de 1/8"</v>
          </cell>
          <cell r="F227" t="str">
            <v>u</v>
          </cell>
          <cell r="G227">
            <v>760000</v>
          </cell>
          <cell r="H227">
            <v>0.16</v>
          </cell>
          <cell r="I227">
            <v>881599.99999999988</v>
          </cell>
        </row>
        <row r="228">
          <cell r="D228" t="str">
            <v>1O123</v>
          </cell>
          <cell r="E228" t="str">
            <v>emulsion asfaltica crl-1</v>
          </cell>
          <cell r="F228" t="str">
            <v>lt</v>
          </cell>
          <cell r="G228">
            <v>1500</v>
          </cell>
          <cell r="H228">
            <v>0.16</v>
          </cell>
          <cell r="I228">
            <v>1739.9999999999998</v>
          </cell>
        </row>
        <row r="229">
          <cell r="D229" t="str">
            <v>1O124</v>
          </cell>
          <cell r="E229" t="str">
            <v>riego de liga con emulsion asfaltica crr-1</v>
          </cell>
          <cell r="F229" t="str">
            <v>lt</v>
          </cell>
          <cell r="G229">
            <v>2000</v>
          </cell>
          <cell r="H229">
            <v>0.16</v>
          </cell>
          <cell r="I229">
            <v>2320</v>
          </cell>
        </row>
        <row r="230">
          <cell r="D230" t="str">
            <v>1O126</v>
          </cell>
          <cell r="E230" t="str">
            <v>mezcla asfaltica tipo msc-1 con asfalto 60-70, norma invias (1800kg/m3)</v>
          </cell>
          <cell r="F230" t="str">
            <v>ton</v>
          </cell>
          <cell r="G230">
            <v>192500</v>
          </cell>
          <cell r="H230">
            <v>0.16</v>
          </cell>
          <cell r="I230">
            <v>223299.99999999997</v>
          </cell>
        </row>
        <row r="231">
          <cell r="D231" t="str">
            <v>1O127</v>
          </cell>
          <cell r="E231" t="str">
            <v>mezcla asfaltica tipo mdc-2 con asfalto 60-70, norma invias (1800kg/m3)</v>
          </cell>
          <cell r="F231" t="str">
            <v>ton</v>
          </cell>
          <cell r="G231">
            <v>199500</v>
          </cell>
          <cell r="H231">
            <v>0.16</v>
          </cell>
          <cell r="I231">
            <v>231419.99999999997</v>
          </cell>
        </row>
        <row r="232">
          <cell r="D232" t="str">
            <v>1PVE2</v>
          </cell>
          <cell r="E232" t="str">
            <v>tuberia perforada para filtros de 4"</v>
          </cell>
          <cell r="F232" t="str">
            <v>m</v>
          </cell>
          <cell r="G232">
            <v>20172</v>
          </cell>
          <cell r="H232">
            <v>0.16</v>
          </cell>
          <cell r="I232">
            <v>23399.519999999997</v>
          </cell>
        </row>
        <row r="233">
          <cell r="D233" t="str">
            <v>1PVE3</v>
          </cell>
          <cell r="E233" t="str">
            <v>union pvc-filtro de Ø= 4" (100 mm)</v>
          </cell>
          <cell r="F233" t="str">
            <v>u</v>
          </cell>
          <cell r="G233">
            <v>8610</v>
          </cell>
          <cell r="H233">
            <v>0.16</v>
          </cell>
          <cell r="I233">
            <v>9987.5999999999985</v>
          </cell>
        </row>
        <row r="234">
          <cell r="D234" t="str">
            <v>1PVE4</v>
          </cell>
          <cell r="E234" t="str">
            <v>tapon pvc-filtro de Ø= 4" (100 mm)</v>
          </cell>
          <cell r="F234" t="str">
            <v>u</v>
          </cell>
          <cell r="G234">
            <v>5080</v>
          </cell>
          <cell r="H234">
            <v>0.16</v>
          </cell>
          <cell r="I234">
            <v>5892.7999999999993</v>
          </cell>
        </row>
        <row r="235">
          <cell r="D235" t="str">
            <v>1PVE5</v>
          </cell>
          <cell r="E235" t="str">
            <v>geotextil tr 4000</v>
          </cell>
          <cell r="F235" t="str">
            <v>m2</v>
          </cell>
          <cell r="G235">
            <v>7760</v>
          </cell>
          <cell r="H235">
            <v>0.16</v>
          </cell>
          <cell r="I235">
            <v>9001.5999999999985</v>
          </cell>
        </row>
        <row r="236">
          <cell r="D236" t="str">
            <v>1PVZ2</v>
          </cell>
          <cell r="E236" t="str">
            <v>limpiador pvc 1/4</v>
          </cell>
          <cell r="F236" t="str">
            <v>u</v>
          </cell>
          <cell r="G236">
            <v>28440</v>
          </cell>
          <cell r="H236">
            <v>0.16</v>
          </cell>
          <cell r="I236">
            <v>32990.399999999994</v>
          </cell>
        </row>
        <row r="237">
          <cell r="D237" t="str">
            <v>1PVZ4</v>
          </cell>
          <cell r="E237" t="str">
            <v>soldadura pvc 1/4</v>
          </cell>
          <cell r="F237" t="str">
            <v>u</v>
          </cell>
          <cell r="G237">
            <v>58980</v>
          </cell>
          <cell r="H237">
            <v>0.16</v>
          </cell>
          <cell r="I237">
            <v>68416.799999999988</v>
          </cell>
        </row>
        <row r="238">
          <cell r="D238" t="str">
            <v>1PVZ6</v>
          </cell>
          <cell r="E238" t="str">
            <v>geodren vial pavco, tb 100 mm 2.0 m. incluye tuberia de Ø4"</v>
          </cell>
          <cell r="F238" t="str">
            <v>m</v>
          </cell>
          <cell r="G238">
            <v>53972</v>
          </cell>
          <cell r="H238">
            <v>0.16</v>
          </cell>
          <cell r="I238">
            <v>62607.519999999997</v>
          </cell>
        </row>
        <row r="239">
          <cell r="D239" t="str">
            <v>1SK51</v>
          </cell>
          <cell r="E239" t="str">
            <v>antisol blanco 20 k</v>
          </cell>
          <cell r="F239" t="str">
            <v>kg</v>
          </cell>
          <cell r="G239">
            <v>3500</v>
          </cell>
          <cell r="H239">
            <v>0.16</v>
          </cell>
          <cell r="I239">
            <v>4059.9999999999995</v>
          </cell>
        </row>
        <row r="240">
          <cell r="D240" t="str">
            <v>1SK57</v>
          </cell>
          <cell r="E240" t="str">
            <v>separol- desformaleteante 25 k</v>
          </cell>
          <cell r="F240" t="str">
            <v>kg</v>
          </cell>
          <cell r="G240">
            <v>12000</v>
          </cell>
          <cell r="H240">
            <v>0.16</v>
          </cell>
          <cell r="I240">
            <v>13919.999999999998</v>
          </cell>
        </row>
        <row r="241">
          <cell r="D241" t="str">
            <v>1SKH9</v>
          </cell>
          <cell r="E241" t="str">
            <v>geotextil pp-2500 sika 100x1.8m</v>
          </cell>
          <cell r="F241" t="str">
            <v>m2</v>
          </cell>
          <cell r="G241">
            <v>6440</v>
          </cell>
          <cell r="H241">
            <v>0.16</v>
          </cell>
          <cell r="I241">
            <v>7470.4</v>
          </cell>
        </row>
        <row r="242">
          <cell r="D242" t="str">
            <v>1SKN4</v>
          </cell>
          <cell r="E242" t="str">
            <v>sika demoledor</v>
          </cell>
          <cell r="F242" t="str">
            <v>kg</v>
          </cell>
          <cell r="G242">
            <v>16500</v>
          </cell>
          <cell r="H242">
            <v>0.16</v>
          </cell>
          <cell r="I242">
            <v>19140</v>
          </cell>
        </row>
        <row r="243">
          <cell r="D243" t="str">
            <v>1SKN5</v>
          </cell>
          <cell r="E243" t="str">
            <v>cinta sika pvc 0-15 de 0.15m</v>
          </cell>
          <cell r="F243" t="str">
            <v>m</v>
          </cell>
          <cell r="G243">
            <v>27000</v>
          </cell>
          <cell r="H243">
            <v>0.16</v>
          </cell>
          <cell r="I243">
            <v>31319.999999999996</v>
          </cell>
        </row>
        <row r="244">
          <cell r="D244" t="str">
            <v>1SKP3</v>
          </cell>
          <cell r="E244" t="str">
            <v>sikamanto 3mm poliester x 10m2</v>
          </cell>
          <cell r="F244" t="str">
            <v>m2</v>
          </cell>
          <cell r="G244">
            <v>13000</v>
          </cell>
          <cell r="H244">
            <v>0.16</v>
          </cell>
          <cell r="I244">
            <v>15079.999999999998</v>
          </cell>
        </row>
        <row r="245">
          <cell r="D245" t="str">
            <v>1T511</v>
          </cell>
          <cell r="E245" t="str">
            <v>basusrero arquimuebles</v>
          </cell>
          <cell r="F245" t="str">
            <v>u</v>
          </cell>
          <cell r="G245">
            <v>569000</v>
          </cell>
          <cell r="H245">
            <v>0.16</v>
          </cell>
          <cell r="I245">
            <v>660040</v>
          </cell>
        </row>
        <row r="246">
          <cell r="D246" t="str">
            <v>1T512</v>
          </cell>
          <cell r="E246" t="str">
            <v>banca arquimuebles - acero inoxidable</v>
          </cell>
          <cell r="F246" t="str">
            <v>u</v>
          </cell>
          <cell r="G246">
            <v>1395000</v>
          </cell>
          <cell r="H246">
            <v>0.16</v>
          </cell>
          <cell r="I246">
            <v>1618200</v>
          </cell>
        </row>
        <row r="247">
          <cell r="D247" t="str">
            <v>1T514</v>
          </cell>
          <cell r="E247" t="str">
            <v>paradero arquimuebles</v>
          </cell>
          <cell r="F247" t="str">
            <v>u</v>
          </cell>
          <cell r="G247">
            <v>13617000</v>
          </cell>
          <cell r="H247">
            <v>0.16</v>
          </cell>
          <cell r="I247">
            <v>15795719.999999998</v>
          </cell>
        </row>
        <row r="248">
          <cell r="D248" t="str">
            <v>1T515</v>
          </cell>
          <cell r="E248" t="str">
            <v>bolardo genesis, estructura recubierta con pintura electrostatica. gorro superior en acero inoxidable. alto 1 m, ancho 11 cm</v>
          </cell>
          <cell r="F248" t="str">
            <v>u</v>
          </cell>
          <cell r="G248">
            <v>293104</v>
          </cell>
          <cell r="H248">
            <v>0.16</v>
          </cell>
          <cell r="I248">
            <v>340000.63999999996</v>
          </cell>
        </row>
        <row r="249">
          <cell r="D249" t="str">
            <v>1T711</v>
          </cell>
          <cell r="E249" t="str">
            <v>arboles</v>
          </cell>
          <cell r="F249" t="str">
            <v>u</v>
          </cell>
          <cell r="G249">
            <v>125000</v>
          </cell>
          <cell r="H249">
            <v>0.16</v>
          </cell>
          <cell r="I249">
            <v>145000</v>
          </cell>
        </row>
        <row r="250">
          <cell r="D250" t="str">
            <v>1T712</v>
          </cell>
          <cell r="E250" t="str">
            <v>tierra abonada negra</v>
          </cell>
          <cell r="F250" t="str">
            <v>m3</v>
          </cell>
          <cell r="G250">
            <v>37900</v>
          </cell>
          <cell r="H250">
            <v>0.16</v>
          </cell>
          <cell r="I250">
            <v>43964</v>
          </cell>
        </row>
        <row r="251">
          <cell r="D251" t="str">
            <v>1T713</v>
          </cell>
          <cell r="E251" t="str">
            <v>abonos, fertilizantes, reguladores de humedad, micorrizas</v>
          </cell>
          <cell r="F251" t="str">
            <v>kg</v>
          </cell>
          <cell r="G251">
            <v>495000</v>
          </cell>
          <cell r="H251">
            <v>0.16</v>
          </cell>
          <cell r="I251">
            <v>574200</v>
          </cell>
        </row>
        <row r="252">
          <cell r="D252" t="str">
            <v>21111</v>
          </cell>
          <cell r="E252" t="str">
            <v>mo ayudante</v>
          </cell>
          <cell r="F252" t="str">
            <v>h</v>
          </cell>
          <cell r="G252">
            <v>2834.6153846153848</v>
          </cell>
          <cell r="H252">
            <v>0.86399999999999999</v>
          </cell>
          <cell r="I252">
            <v>5283.7230769230764</v>
          </cell>
        </row>
        <row r="253">
          <cell r="D253" t="str">
            <v>21116</v>
          </cell>
          <cell r="E253" t="str">
            <v>mo transporte interno cemento</v>
          </cell>
          <cell r="F253" t="str">
            <v>blt</v>
          </cell>
          <cell r="G253">
            <v>242.44</v>
          </cell>
          <cell r="I253">
            <v>242.44</v>
          </cell>
        </row>
        <row r="254">
          <cell r="D254" t="str">
            <v>21117</v>
          </cell>
          <cell r="E254" t="str">
            <v>mo descargue de cemento</v>
          </cell>
          <cell r="F254" t="str">
            <v>blt</v>
          </cell>
          <cell r="G254">
            <v>250</v>
          </cell>
          <cell r="I254">
            <v>250</v>
          </cell>
        </row>
        <row r="255">
          <cell r="D255" t="str">
            <v>21118</v>
          </cell>
          <cell r="E255" t="str">
            <v>mo acarreo interno de material de playa y agregados</v>
          </cell>
          <cell r="F255" t="str">
            <v>m3</v>
          </cell>
          <cell r="G255">
            <v>5275.2227000000003</v>
          </cell>
          <cell r="I255">
            <v>5275.2227000000003</v>
          </cell>
        </row>
        <row r="256">
          <cell r="D256" t="str">
            <v>21119</v>
          </cell>
          <cell r="E256" t="str">
            <v>mo salario minimo</v>
          </cell>
          <cell r="F256" t="str">
            <v>mes</v>
          </cell>
          <cell r="G256">
            <v>616000</v>
          </cell>
          <cell r="I256">
            <v>616000</v>
          </cell>
        </row>
        <row r="257">
          <cell r="D257" t="str">
            <v>21121</v>
          </cell>
          <cell r="E257" t="str">
            <v>mo oficial obra negra</v>
          </cell>
          <cell r="F257" t="str">
            <v>h</v>
          </cell>
          <cell r="G257">
            <v>4445.7274826789835</v>
          </cell>
          <cell r="H257">
            <v>0.86399999999999999</v>
          </cell>
          <cell r="I257">
            <v>8286.8360277136253</v>
          </cell>
        </row>
        <row r="258">
          <cell r="D258" t="str">
            <v>21139</v>
          </cell>
          <cell r="E258" t="str">
            <v>comision de topografia</v>
          </cell>
          <cell r="F258" t="str">
            <v>d</v>
          </cell>
          <cell r="G258">
            <v>485000</v>
          </cell>
          <cell r="H258">
            <v>0.16</v>
          </cell>
          <cell r="I258">
            <v>562600</v>
          </cell>
        </row>
        <row r="259">
          <cell r="D259" t="str">
            <v>22129</v>
          </cell>
          <cell r="E259" t="str">
            <v>mo transporte interno mortero</v>
          </cell>
          <cell r="F259" t="str">
            <v>m3</v>
          </cell>
          <cell r="G259">
            <v>6270</v>
          </cell>
          <cell r="I259">
            <v>6270</v>
          </cell>
        </row>
        <row r="260">
          <cell r="D260" t="str">
            <v>22132</v>
          </cell>
          <cell r="E260" t="str">
            <v>mo preparacion concreto</v>
          </cell>
          <cell r="F260" t="str">
            <v>m3</v>
          </cell>
          <cell r="G260">
            <v>17740</v>
          </cell>
          <cell r="I260">
            <v>17740</v>
          </cell>
        </row>
        <row r="261">
          <cell r="D261" t="str">
            <v>22561</v>
          </cell>
          <cell r="E261" t="str">
            <v>mo curador concreto</v>
          </cell>
          <cell r="F261" t="str">
            <v>m2</v>
          </cell>
          <cell r="G261">
            <v>216</v>
          </cell>
          <cell r="I261">
            <v>216</v>
          </cell>
        </row>
        <row r="262">
          <cell r="D262" t="str">
            <v>22711</v>
          </cell>
          <cell r="E262" t="str">
            <v>mo desmoldante</v>
          </cell>
          <cell r="F262" t="str">
            <v>m2</v>
          </cell>
          <cell r="G262">
            <v>248.45</v>
          </cell>
          <cell r="I262">
            <v>248.45</v>
          </cell>
        </row>
        <row r="263">
          <cell r="D263" t="str">
            <v>24151</v>
          </cell>
          <cell r="E263" t="str">
            <v>mo operario concretadora</v>
          </cell>
          <cell r="F263" t="str">
            <v>m3</v>
          </cell>
          <cell r="G263">
            <v>7000</v>
          </cell>
          <cell r="I263">
            <v>7000</v>
          </cell>
        </row>
        <row r="264">
          <cell r="D264" t="str">
            <v>2512A</v>
          </cell>
          <cell r="E264" t="str">
            <v>mo transporte interno hierro horizontal o vertical</v>
          </cell>
          <cell r="F264" t="str">
            <v>kg</v>
          </cell>
          <cell r="G264">
            <v>37.619999999999997</v>
          </cell>
          <cell r="I264">
            <v>37.619999999999997</v>
          </cell>
        </row>
        <row r="265">
          <cell r="D265" t="str">
            <v>29211</v>
          </cell>
          <cell r="E265" t="str">
            <v>mo prestaciones sociales</v>
          </cell>
          <cell r="F265" t="str">
            <v>%</v>
          </cell>
          <cell r="G265">
            <v>0.86399999999999999</v>
          </cell>
          <cell r="I265">
            <v>0.86399999999999999</v>
          </cell>
        </row>
        <row r="266">
          <cell r="D266" t="str">
            <v>2A411</v>
          </cell>
          <cell r="E266" t="str">
            <v>mo excavacion manual 0-2m</v>
          </cell>
          <cell r="F266" t="str">
            <v>m3</v>
          </cell>
          <cell r="G266">
            <v>11500</v>
          </cell>
          <cell r="I266">
            <v>11500</v>
          </cell>
        </row>
        <row r="267">
          <cell r="D267" t="str">
            <v>2A461</v>
          </cell>
          <cell r="E267" t="str">
            <v>mo transporte interno de material proveniente de las excavaciones</v>
          </cell>
          <cell r="F267" t="str">
            <v>m3</v>
          </cell>
          <cell r="G267">
            <v>6165.5</v>
          </cell>
          <cell r="I267">
            <v>6165.5</v>
          </cell>
        </row>
        <row r="268">
          <cell r="D268" t="str">
            <v>2A851</v>
          </cell>
          <cell r="E268" t="str">
            <v>mo instalacion cerramiento provisional en tela verde</v>
          </cell>
          <cell r="F268" t="str">
            <v>m</v>
          </cell>
          <cell r="G268">
            <v>3400</v>
          </cell>
          <cell r="I268">
            <v>3400</v>
          </cell>
        </row>
        <row r="269">
          <cell r="D269" t="str">
            <v>2B311</v>
          </cell>
          <cell r="E269" t="str">
            <v>excavacion pilas 00-02 m</v>
          </cell>
          <cell r="F269" t="str">
            <v>m3</v>
          </cell>
          <cell r="G269">
            <v>21000</v>
          </cell>
          <cell r="I269">
            <v>21000</v>
          </cell>
        </row>
        <row r="270">
          <cell r="D270" t="str">
            <v>2B312</v>
          </cell>
          <cell r="E270" t="str">
            <v>excavacion pilas 02-04 m</v>
          </cell>
          <cell r="F270" t="str">
            <v>m3</v>
          </cell>
          <cell r="G270">
            <v>29700</v>
          </cell>
          <cell r="I270">
            <v>29700</v>
          </cell>
        </row>
        <row r="271">
          <cell r="D271" t="str">
            <v>2B313</v>
          </cell>
          <cell r="E271" t="str">
            <v>excavacion pilas 04-06 m</v>
          </cell>
          <cell r="F271" t="str">
            <v>m3</v>
          </cell>
          <cell r="G271">
            <v>39000</v>
          </cell>
          <cell r="I271">
            <v>39000</v>
          </cell>
        </row>
        <row r="272">
          <cell r="D272" t="str">
            <v>2B314</v>
          </cell>
          <cell r="E272" t="str">
            <v>excavacion pilas 06-08 m</v>
          </cell>
          <cell r="F272" t="str">
            <v>m3</v>
          </cell>
          <cell r="G272">
            <v>48900</v>
          </cell>
          <cell r="I272">
            <v>48900</v>
          </cell>
        </row>
        <row r="273">
          <cell r="D273" t="str">
            <v>2B315</v>
          </cell>
          <cell r="E273" t="str">
            <v>excavacion pilas 08-10 m</v>
          </cell>
          <cell r="F273" t="str">
            <v>m3</v>
          </cell>
          <cell r="G273">
            <v>59400</v>
          </cell>
          <cell r="I273">
            <v>59400</v>
          </cell>
        </row>
        <row r="274">
          <cell r="D274" t="str">
            <v>2B316</v>
          </cell>
          <cell r="E274" t="str">
            <v>excavacion pilas 10-12 m</v>
          </cell>
          <cell r="F274" t="str">
            <v>m3</v>
          </cell>
          <cell r="G274">
            <v>70500</v>
          </cell>
          <cell r="I274">
            <v>70500</v>
          </cell>
        </row>
        <row r="275">
          <cell r="D275" t="str">
            <v>2B317</v>
          </cell>
          <cell r="E275" t="str">
            <v>excavacion pilas 12-14 m</v>
          </cell>
          <cell r="F275" t="str">
            <v>m3</v>
          </cell>
          <cell r="G275">
            <v>82200</v>
          </cell>
          <cell r="I275">
            <v>82200</v>
          </cell>
        </row>
        <row r="276">
          <cell r="D276" t="str">
            <v>2B318</v>
          </cell>
          <cell r="E276" t="str">
            <v>excavacion pilas 14-16 m</v>
          </cell>
          <cell r="F276" t="str">
            <v>m3</v>
          </cell>
          <cell r="G276">
            <v>94500</v>
          </cell>
          <cell r="I276">
            <v>94500</v>
          </cell>
        </row>
        <row r="277">
          <cell r="D277" t="str">
            <v>2B319</v>
          </cell>
          <cell r="E277" t="str">
            <v>excavacion pilas 16-18 m</v>
          </cell>
          <cell r="F277" t="str">
            <v>m3</v>
          </cell>
          <cell r="G277">
            <v>107400</v>
          </cell>
          <cell r="I277">
            <v>107400</v>
          </cell>
        </row>
        <row r="278">
          <cell r="D278" t="str">
            <v>2B320</v>
          </cell>
          <cell r="E278" t="str">
            <v>excavacion pilas 18-20 m</v>
          </cell>
          <cell r="F278" t="str">
            <v>m3</v>
          </cell>
          <cell r="G278">
            <v>120900</v>
          </cell>
          <cell r="I278">
            <v>120900</v>
          </cell>
        </row>
        <row r="279">
          <cell r="D279" t="str">
            <v>2B321</v>
          </cell>
          <cell r="E279" t="str">
            <v>excavacion pilas 20-22 m</v>
          </cell>
          <cell r="F279" t="str">
            <v>m3</v>
          </cell>
          <cell r="G279">
            <v>135000</v>
          </cell>
          <cell r="I279">
            <v>135000</v>
          </cell>
        </row>
        <row r="280">
          <cell r="D280" t="str">
            <v>2B322</v>
          </cell>
          <cell r="E280" t="str">
            <v>excavacion pilas 22-24 m</v>
          </cell>
          <cell r="F280" t="str">
            <v>m3</v>
          </cell>
          <cell r="G280">
            <v>149700</v>
          </cell>
          <cell r="I280">
            <v>149700</v>
          </cell>
        </row>
        <row r="281">
          <cell r="D281" t="str">
            <v>2B323</v>
          </cell>
          <cell r="E281" t="str">
            <v>excavacion pilas 24-26 m</v>
          </cell>
          <cell r="F281" t="str">
            <v>m3</v>
          </cell>
          <cell r="G281">
            <v>165000</v>
          </cell>
          <cell r="I281">
            <v>165000</v>
          </cell>
        </row>
        <row r="282">
          <cell r="D282" t="str">
            <v>2B372</v>
          </cell>
          <cell r="E282" t="str">
            <v>mo vaciado anillos en pilas</v>
          </cell>
          <cell r="F282" t="str">
            <v>m3</v>
          </cell>
          <cell r="G282">
            <v>70000</v>
          </cell>
          <cell r="I282">
            <v>70000</v>
          </cell>
        </row>
        <row r="283">
          <cell r="D283" t="str">
            <v>2C111</v>
          </cell>
          <cell r="E283" t="str">
            <v>mo cuadrilla (1 of + 1 ay)</v>
          </cell>
          <cell r="F283" t="str">
            <v>d</v>
          </cell>
          <cell r="G283">
            <v>108564.47283709361</v>
          </cell>
          <cell r="I283">
            <v>108564.47283709361</v>
          </cell>
        </row>
        <row r="284">
          <cell r="D284" t="str">
            <v>2C112</v>
          </cell>
          <cell r="E284" t="str">
            <v>mo cuadrilla (1 of + 2 ay)</v>
          </cell>
          <cell r="F284" t="str">
            <v>d</v>
          </cell>
          <cell r="G284">
            <v>150834.25745247822</v>
          </cell>
          <cell r="I284">
            <v>150834.25745247822</v>
          </cell>
        </row>
        <row r="285">
          <cell r="D285" t="str">
            <v>2C113</v>
          </cell>
          <cell r="E285" t="str">
            <v>mo cuadrilla (2 of + 3 ay)</v>
          </cell>
          <cell r="F285" t="str">
            <v>d</v>
          </cell>
          <cell r="G285">
            <v>259398.73028957183</v>
          </cell>
          <cell r="I285">
            <v>259398.73028957183</v>
          </cell>
        </row>
        <row r="286">
          <cell r="D286" t="str">
            <v>2C114</v>
          </cell>
          <cell r="E286" t="str">
            <v>mo cuadrilla (2 of + 4 ay)</v>
          </cell>
          <cell r="F286" t="str">
            <v>d</v>
          </cell>
          <cell r="G286">
            <v>301668.51490495645</v>
          </cell>
          <cell r="I286">
            <v>301668.51490495645</v>
          </cell>
        </row>
        <row r="287">
          <cell r="D287" t="str">
            <v>2C115</v>
          </cell>
          <cell r="E287" t="str">
            <v>mo cuadrilla (3 of + 5 ay)</v>
          </cell>
          <cell r="F287" t="str">
            <v>d</v>
          </cell>
          <cell r="G287">
            <v>410232.98774205009</v>
          </cell>
          <cell r="I287">
            <v>410232.98774205009</v>
          </cell>
        </row>
        <row r="288">
          <cell r="D288" t="str">
            <v>2D92A</v>
          </cell>
          <cell r="E288" t="str">
            <v>mo colocacion acero refuerzo</v>
          </cell>
          <cell r="F288" t="str">
            <v>kg</v>
          </cell>
          <cell r="G288">
            <v>434.71999999999997</v>
          </cell>
          <cell r="I288">
            <v>434.71999999999997</v>
          </cell>
        </row>
        <row r="289">
          <cell r="D289" t="str">
            <v>2E133</v>
          </cell>
          <cell r="E289" t="str">
            <v>cuadrilla electrica acometida n° 6 a 2 awg</v>
          </cell>
          <cell r="F289" t="str">
            <v>m</v>
          </cell>
          <cell r="G289">
            <v>7148.13</v>
          </cell>
          <cell r="I289">
            <v>7148.13</v>
          </cell>
        </row>
        <row r="290">
          <cell r="D290" t="str">
            <v>2E134</v>
          </cell>
          <cell r="E290" t="str">
            <v>cuadrilla electrica dia</v>
          </cell>
          <cell r="F290" t="str">
            <v>dia</v>
          </cell>
          <cell r="G290">
            <v>212586.45</v>
          </cell>
          <cell r="I290">
            <v>212586.45</v>
          </cell>
        </row>
        <row r="291">
          <cell r="D291" t="str">
            <v>2HG16</v>
          </cell>
          <cell r="E291" t="str">
            <v>termofusion de 2 pegas para union de tuberia de gas</v>
          </cell>
          <cell r="F291" t="str">
            <v>u</v>
          </cell>
          <cell r="G291">
            <v>64130</v>
          </cell>
          <cell r="H291">
            <v>0.16</v>
          </cell>
          <cell r="I291">
            <v>74390.799999999988</v>
          </cell>
        </row>
        <row r="292">
          <cell r="D292" t="str">
            <v>2HG19</v>
          </cell>
          <cell r="E292" t="str">
            <v>termofusion de 5 pegas para polivalvula red de gas</v>
          </cell>
          <cell r="F292" t="str">
            <v>u</v>
          </cell>
          <cell r="G292">
            <v>96190</v>
          </cell>
          <cell r="H292">
            <v>0.16</v>
          </cell>
          <cell r="I292">
            <v>111580.4</v>
          </cell>
        </row>
        <row r="293">
          <cell r="D293" t="str">
            <v>2HG23</v>
          </cell>
          <cell r="E293" t="str">
            <v>termofusion de 3 pegas para polivalvula red de gas</v>
          </cell>
          <cell r="F293" t="str">
            <v>u</v>
          </cell>
          <cell r="G293">
            <v>74810</v>
          </cell>
          <cell r="H293">
            <v>0.16</v>
          </cell>
          <cell r="I293">
            <v>86779.599999999991</v>
          </cell>
        </row>
        <row r="294">
          <cell r="D294" t="str">
            <v>2HG28</v>
          </cell>
          <cell r="E294" t="str">
            <v>termofusion de 1 pega para red de gas</v>
          </cell>
          <cell r="F294" t="str">
            <v>u</v>
          </cell>
          <cell r="G294">
            <v>64120</v>
          </cell>
          <cell r="H294">
            <v>0.16</v>
          </cell>
          <cell r="I294">
            <v>74379.199999999997</v>
          </cell>
        </row>
        <row r="295">
          <cell r="D295" t="str">
            <v>2T714</v>
          </cell>
          <cell r="E295" t="str">
            <v>excavacion, siembra y asesoria tecnica</v>
          </cell>
          <cell r="F295" t="str">
            <v>gb</v>
          </cell>
          <cell r="G295">
            <v>10450000</v>
          </cell>
          <cell r="I295">
            <v>10450000</v>
          </cell>
        </row>
        <row r="296">
          <cell r="D296" t="str">
            <v>2Z111</v>
          </cell>
          <cell r="E296" t="str">
            <v>mo transporte interno de material general</v>
          </cell>
          <cell r="F296" t="str">
            <v>m3</v>
          </cell>
          <cell r="G296">
            <v>7276.2860000000001</v>
          </cell>
          <cell r="I296">
            <v>7276.2860000000001</v>
          </cell>
        </row>
        <row r="297">
          <cell r="D297" t="str">
            <v>39112</v>
          </cell>
          <cell r="E297" t="str">
            <v>subcontrato zona verde en grama macana. incluye suministro e instalacion.</v>
          </cell>
          <cell r="F297" t="str">
            <v>m2</v>
          </cell>
          <cell r="G297">
            <v>5300</v>
          </cell>
          <cell r="H297">
            <v>0.16</v>
          </cell>
          <cell r="I297">
            <v>6148</v>
          </cell>
        </row>
        <row r="298">
          <cell r="D298" t="str">
            <v>3A111</v>
          </cell>
          <cell r="E298" t="str">
            <v>ensayo de toma de densidades</v>
          </cell>
          <cell r="F298" t="str">
            <v>u</v>
          </cell>
          <cell r="G298">
            <v>27150</v>
          </cell>
          <cell r="H298">
            <v>0.16</v>
          </cell>
          <cell r="I298">
            <v>31493.999999999996</v>
          </cell>
        </row>
        <row r="299">
          <cell r="D299" t="str">
            <v>3A112</v>
          </cell>
          <cell r="E299" t="str">
            <v>ensayo de resistencia de cilindros a la compresion</v>
          </cell>
          <cell r="F299" t="str">
            <v>u</v>
          </cell>
          <cell r="G299">
            <v>7550</v>
          </cell>
          <cell r="H299">
            <v>0.16</v>
          </cell>
          <cell r="I299">
            <v>8758</v>
          </cell>
        </row>
        <row r="300">
          <cell r="D300" t="str">
            <v>3A242</v>
          </cell>
          <cell r="E300" t="str">
            <v>subcontrato de cargue y botada de materiales varios</v>
          </cell>
          <cell r="F300" t="str">
            <v>m3</v>
          </cell>
          <cell r="G300">
            <v>28000</v>
          </cell>
          <cell r="I300">
            <v>28000</v>
          </cell>
        </row>
        <row r="301">
          <cell r="D301" t="str">
            <v>3SF11</v>
          </cell>
          <cell r="E301" t="str">
            <v>semaforo vehicular a poste</v>
          </cell>
          <cell r="F301" t="str">
            <v>u</v>
          </cell>
          <cell r="G301">
            <v>1451500</v>
          </cell>
          <cell r="H301">
            <v>0.16</v>
          </cell>
          <cell r="I301">
            <v>1683740</v>
          </cell>
        </row>
        <row r="302">
          <cell r="D302" t="str">
            <v>3SF13</v>
          </cell>
          <cell r="E302" t="str">
            <v>semaforo peatonal</v>
          </cell>
          <cell r="F302" t="str">
            <v>u</v>
          </cell>
          <cell r="G302">
            <v>1207000</v>
          </cell>
          <cell r="H302">
            <v>0.16</v>
          </cell>
          <cell r="I302">
            <v>1400120</v>
          </cell>
        </row>
        <row r="303">
          <cell r="D303" t="str">
            <v>3SF15</v>
          </cell>
          <cell r="E303" t="str">
            <v xml:space="preserve">suministro controlador local </v>
          </cell>
          <cell r="F303" t="str">
            <v>u</v>
          </cell>
          <cell r="G303">
            <v>48000000</v>
          </cell>
          <cell r="H303">
            <v>0.16</v>
          </cell>
          <cell r="I303">
            <v>55679999.999999993</v>
          </cell>
        </row>
        <row r="304">
          <cell r="D304" t="str">
            <v>3SF16</v>
          </cell>
          <cell r="E304" t="str">
            <v>canalizaciones en pavimento tubo pvc 2"</v>
          </cell>
          <cell r="F304" t="str">
            <v>m</v>
          </cell>
          <cell r="G304">
            <v>251000</v>
          </cell>
          <cell r="H304">
            <v>0.16</v>
          </cell>
          <cell r="I304">
            <v>291160</v>
          </cell>
        </row>
        <row r="305">
          <cell r="D305" t="str">
            <v>3SF17</v>
          </cell>
          <cell r="E305" t="str">
            <v>caja de inspeccion 50x50</v>
          </cell>
          <cell r="F305" t="str">
            <v>u</v>
          </cell>
          <cell r="G305">
            <v>272000</v>
          </cell>
          <cell r="H305">
            <v>0.16</v>
          </cell>
          <cell r="I305">
            <v>315520</v>
          </cell>
        </row>
        <row r="306">
          <cell r="D306" t="str">
            <v>3SF18</v>
          </cell>
          <cell r="E306" t="str">
            <v>caja de inspeccion 60x80</v>
          </cell>
          <cell r="F306" t="str">
            <v>u</v>
          </cell>
          <cell r="G306">
            <v>350000</v>
          </cell>
          <cell r="H306">
            <v>0.16</v>
          </cell>
          <cell r="I306">
            <v>406000</v>
          </cell>
        </row>
        <row r="307">
          <cell r="D307" t="str">
            <v>3SF19</v>
          </cell>
          <cell r="E307" t="str">
            <v>poste recto vehicular</v>
          </cell>
          <cell r="F307" t="str">
            <v>u</v>
          </cell>
          <cell r="G307">
            <v>766000</v>
          </cell>
          <cell r="H307">
            <v>0.16</v>
          </cell>
          <cell r="I307">
            <v>888559.99999999988</v>
          </cell>
        </row>
        <row r="308">
          <cell r="D308" t="str">
            <v>3SF20</v>
          </cell>
          <cell r="E308" t="str">
            <v>anclaje para poste semaforo</v>
          </cell>
          <cell r="F308" t="str">
            <v>u</v>
          </cell>
          <cell r="G308">
            <v>602000</v>
          </cell>
          <cell r="H308">
            <v>0.16</v>
          </cell>
          <cell r="I308">
            <v>698320</v>
          </cell>
        </row>
        <row r="309">
          <cell r="D309" t="str">
            <v>3SF21</v>
          </cell>
          <cell r="E309" t="str">
            <v>pedestal para controlador</v>
          </cell>
          <cell r="F309" t="str">
            <v>u</v>
          </cell>
          <cell r="G309">
            <v>436500</v>
          </cell>
          <cell r="H309">
            <v>0.16</v>
          </cell>
          <cell r="I309">
            <v>506339.99999999994</v>
          </cell>
        </row>
        <row r="310">
          <cell r="D310" t="str">
            <v>3SF22</v>
          </cell>
          <cell r="E310" t="str">
            <v>sistema de tierra para semaforos</v>
          </cell>
          <cell r="F310" t="str">
            <v>u</v>
          </cell>
          <cell r="G310">
            <v>172000</v>
          </cell>
          <cell r="H310">
            <v>0.16</v>
          </cell>
          <cell r="I310">
            <v>199520</v>
          </cell>
        </row>
        <row r="311">
          <cell r="D311" t="str">
            <v>3SF23</v>
          </cell>
          <cell r="E311" t="str">
            <v>acometida electrica</v>
          </cell>
          <cell r="F311" t="str">
            <v>m</v>
          </cell>
          <cell r="G311">
            <v>300000</v>
          </cell>
          <cell r="H311">
            <v>0.16</v>
          </cell>
          <cell r="I311">
            <v>348000</v>
          </cell>
        </row>
        <row r="312">
          <cell r="D312" t="str">
            <v>3SF24</v>
          </cell>
          <cell r="E312" t="str">
            <v>discos direccionales</v>
          </cell>
          <cell r="F312" t="str">
            <v>u</v>
          </cell>
          <cell r="G312">
            <v>90000</v>
          </cell>
          <cell r="H312">
            <v>0.16</v>
          </cell>
          <cell r="I312">
            <v>104400</v>
          </cell>
        </row>
        <row r="313">
          <cell r="D313" t="str">
            <v>3SF25</v>
          </cell>
          <cell r="E313" t="str">
            <v>sumininstro e instalacion placas de contraste en aluminio para semaforo vehicular de 200 mm</v>
          </cell>
          <cell r="F313" t="str">
            <v>u</v>
          </cell>
          <cell r="G313">
            <v>188500</v>
          </cell>
          <cell r="H313">
            <v>0.16</v>
          </cell>
          <cell r="I313">
            <v>218659.99999999997</v>
          </cell>
        </row>
        <row r="314">
          <cell r="D314" t="str">
            <v>3SF26</v>
          </cell>
          <cell r="E314" t="str">
            <v>canalizaciones en anden tubo pvc 2"</v>
          </cell>
          <cell r="F314" t="str">
            <v>u</v>
          </cell>
          <cell r="G314">
            <v>92000</v>
          </cell>
          <cell r="H314">
            <v>0.16</v>
          </cell>
          <cell r="I314">
            <v>106719.99999999999</v>
          </cell>
        </row>
        <row r="315">
          <cell r="D315" t="str">
            <v>3SF28</v>
          </cell>
          <cell r="E315" t="str">
            <v>suministro e intalacion cable de control 4x16 AWG a 600 voltios</v>
          </cell>
          <cell r="F315" t="str">
            <v>m</v>
          </cell>
          <cell r="G315">
            <v>7295</v>
          </cell>
          <cell r="H315">
            <v>0.16</v>
          </cell>
          <cell r="I315">
            <v>8462.1999999999989</v>
          </cell>
        </row>
        <row r="316">
          <cell r="D316" t="str">
            <v>3SF30</v>
          </cell>
          <cell r="E316" t="str">
            <v>suministro e instalacion de pulsador peatonal o para ciclista</v>
          </cell>
          <cell r="F316" t="str">
            <v>u</v>
          </cell>
          <cell r="G316">
            <v>409800</v>
          </cell>
          <cell r="H316">
            <v>0.16</v>
          </cell>
          <cell r="I316">
            <v>475367.99999999994</v>
          </cell>
        </row>
        <row r="317">
          <cell r="D317" t="str">
            <v>3HG20</v>
          </cell>
          <cell r="E317" t="str">
            <v>suministro y construccion de caja para polivalvula de 40x40x15cm en concreto</v>
          </cell>
          <cell r="F317" t="str">
            <v>u</v>
          </cell>
          <cell r="G317">
            <v>97700</v>
          </cell>
          <cell r="I317">
            <v>97700</v>
          </cell>
        </row>
        <row r="318">
          <cell r="D318" t="str">
            <v>3Z163</v>
          </cell>
          <cell r="E318" t="str">
            <v>subcontrato perforacion roca</v>
          </cell>
          <cell r="F318" t="str">
            <v>pul</v>
          </cell>
          <cell r="G318">
            <v>300</v>
          </cell>
          <cell r="I318">
            <v>300</v>
          </cell>
        </row>
        <row r="319">
          <cell r="D319" t="str">
            <v>3Z164</v>
          </cell>
          <cell r="E319" t="str">
            <v>subcontrato suministro y tensionamiento de toron de 0.6" (5/8)</v>
          </cell>
          <cell r="F319" t="str">
            <v>m</v>
          </cell>
          <cell r="G319">
            <v>13500</v>
          </cell>
          <cell r="H319">
            <v>8.0000000000000002E-3</v>
          </cell>
          <cell r="I319">
            <v>13608</v>
          </cell>
        </row>
        <row r="320">
          <cell r="D320" t="str">
            <v>3Z165</v>
          </cell>
          <cell r="E320" t="str">
            <v>subcontrato perforacion y anclaje con epoxico tipo hit-re500 de hilti o equivalente. - ø 5/8"</v>
          </cell>
          <cell r="F320" t="str">
            <v>cm</v>
          </cell>
          <cell r="G320">
            <v>576</v>
          </cell>
          <cell r="H320">
            <v>0.16</v>
          </cell>
          <cell r="I320">
            <v>668.16</v>
          </cell>
        </row>
        <row r="321">
          <cell r="D321" t="str">
            <v>41222</v>
          </cell>
          <cell r="E321" t="str">
            <v>tornillo nivelador escualizable 600mm</v>
          </cell>
          <cell r="F321" t="str">
            <v>d</v>
          </cell>
          <cell r="G321">
            <v>81</v>
          </cell>
          <cell r="H321">
            <v>0.16</v>
          </cell>
          <cell r="I321">
            <v>93.96</v>
          </cell>
        </row>
        <row r="322">
          <cell r="D322" t="str">
            <v>41223</v>
          </cell>
          <cell r="E322" t="str">
            <v>vertical 1500mm con pin</v>
          </cell>
          <cell r="F322" t="str">
            <v>d</v>
          </cell>
          <cell r="G322">
            <v>115</v>
          </cell>
          <cell r="H322">
            <v>0.16</v>
          </cell>
          <cell r="I322">
            <v>133.39999999999998</v>
          </cell>
        </row>
        <row r="323">
          <cell r="D323" t="str">
            <v>41224</v>
          </cell>
          <cell r="E323" t="str">
            <v>horizontal 1400mm</v>
          </cell>
          <cell r="F323" t="str">
            <v>d</v>
          </cell>
          <cell r="G323">
            <v>109</v>
          </cell>
          <cell r="H323">
            <v>0.16</v>
          </cell>
          <cell r="I323">
            <v>126.44</v>
          </cell>
        </row>
        <row r="324">
          <cell r="D324" t="str">
            <v>41225</v>
          </cell>
          <cell r="E324" t="str">
            <v>diagonal 3000x2000mm</v>
          </cell>
          <cell r="F324" t="str">
            <v>d</v>
          </cell>
          <cell r="G324">
            <v>193</v>
          </cell>
          <cell r="H324">
            <v>0.16</v>
          </cell>
          <cell r="I324">
            <v>223.88</v>
          </cell>
        </row>
        <row r="325">
          <cell r="D325" t="str">
            <v>41226</v>
          </cell>
          <cell r="E325" t="str">
            <v>plataforma 1400mm</v>
          </cell>
          <cell r="F325" t="str">
            <v>d</v>
          </cell>
          <cell r="G325">
            <v>351</v>
          </cell>
          <cell r="H325">
            <v>0.16</v>
          </cell>
          <cell r="I325">
            <v>407.15999999999997</v>
          </cell>
        </row>
        <row r="326">
          <cell r="D326" t="str">
            <v>41227</v>
          </cell>
          <cell r="E326" t="str">
            <v>escalera</v>
          </cell>
          <cell r="F326" t="str">
            <v>d</v>
          </cell>
          <cell r="G326">
            <v>2790</v>
          </cell>
          <cell r="H326">
            <v>0.16</v>
          </cell>
          <cell r="I326">
            <v>3236.3999999999996</v>
          </cell>
        </row>
        <row r="327">
          <cell r="D327" t="str">
            <v>41228</v>
          </cell>
          <cell r="E327" t="str">
            <v>tornillo nivelador con ruedas</v>
          </cell>
          <cell r="F327" t="str">
            <v>d</v>
          </cell>
          <cell r="G327">
            <v>500</v>
          </cell>
          <cell r="H327">
            <v>0.16</v>
          </cell>
          <cell r="I327">
            <v>580</v>
          </cell>
        </row>
        <row r="328">
          <cell r="D328" t="str">
            <v>41229</v>
          </cell>
          <cell r="E328" t="str">
            <v>rodapies 1400mm</v>
          </cell>
          <cell r="F328" t="str">
            <v>d</v>
          </cell>
          <cell r="G328">
            <v>103</v>
          </cell>
          <cell r="H328">
            <v>0.16</v>
          </cell>
          <cell r="I328">
            <v>119.47999999999999</v>
          </cell>
        </row>
        <row r="329">
          <cell r="D329" t="str">
            <v>4122B</v>
          </cell>
          <cell r="E329" t="str">
            <v>base para andamio multidireccional</v>
          </cell>
          <cell r="F329" t="str">
            <v>d</v>
          </cell>
          <cell r="G329">
            <v>22</v>
          </cell>
          <cell r="H329">
            <v>0.16</v>
          </cell>
          <cell r="I329">
            <v>25.52</v>
          </cell>
        </row>
        <row r="330">
          <cell r="D330" t="str">
            <v>4122C</v>
          </cell>
          <cell r="E330" t="str">
            <v>conector mellizo</v>
          </cell>
          <cell r="F330" t="str">
            <v>d</v>
          </cell>
          <cell r="G330">
            <v>40</v>
          </cell>
          <cell r="H330">
            <v>0.16</v>
          </cell>
          <cell r="I330">
            <v>46.4</v>
          </cell>
        </row>
        <row r="331">
          <cell r="D331" t="str">
            <v>4122D</v>
          </cell>
          <cell r="E331" t="str">
            <v>horquilla</v>
          </cell>
          <cell r="F331" t="str">
            <v>d</v>
          </cell>
          <cell r="G331">
            <v>28</v>
          </cell>
          <cell r="H331">
            <v>0.16</v>
          </cell>
          <cell r="I331">
            <v>32.479999999999997</v>
          </cell>
        </row>
        <row r="332">
          <cell r="D332" t="str">
            <v>4122E</v>
          </cell>
          <cell r="E332" t="str">
            <v>pasador seguridad</v>
          </cell>
          <cell r="F332" t="str">
            <v>d</v>
          </cell>
          <cell r="G332">
            <v>5</v>
          </cell>
          <cell r="H332">
            <v>0.16</v>
          </cell>
          <cell r="I332">
            <v>5.8</v>
          </cell>
        </row>
        <row r="333">
          <cell r="D333" t="str">
            <v>4122F</v>
          </cell>
          <cell r="E333" t="str">
            <v>pin acople graduable</v>
          </cell>
          <cell r="F333" t="str">
            <v>d</v>
          </cell>
          <cell r="G333">
            <v>14</v>
          </cell>
          <cell r="H333">
            <v>0.16</v>
          </cell>
          <cell r="I333">
            <v>16.239999999999998</v>
          </cell>
        </row>
        <row r="334">
          <cell r="D334" t="str">
            <v>41321</v>
          </cell>
          <cell r="E334" t="str">
            <v>vibrocompactador (canguro)</v>
          </cell>
          <cell r="F334" t="str">
            <v>d</v>
          </cell>
          <cell r="G334">
            <v>42000</v>
          </cell>
          <cell r="H334">
            <v>0.16</v>
          </cell>
          <cell r="I334">
            <v>48720</v>
          </cell>
        </row>
        <row r="335">
          <cell r="D335" t="str">
            <v>42511</v>
          </cell>
          <cell r="E335" t="str">
            <v>coche de una llanta</v>
          </cell>
          <cell r="F335" t="str">
            <v>d</v>
          </cell>
          <cell r="G335">
            <v>1863</v>
          </cell>
          <cell r="H335">
            <v>0.16</v>
          </cell>
          <cell r="I335">
            <v>2161.08</v>
          </cell>
        </row>
        <row r="336">
          <cell r="D336" t="str">
            <v>43MCH</v>
          </cell>
          <cell r="E336" t="str">
            <v>corbata 600 mm</v>
          </cell>
          <cell r="F336" t="str">
            <v>d</v>
          </cell>
          <cell r="G336">
            <v>57</v>
          </cell>
          <cell r="H336">
            <v>0.16</v>
          </cell>
          <cell r="I336">
            <v>66.11999999999999</v>
          </cell>
        </row>
        <row r="337">
          <cell r="D337" t="str">
            <v>43MCI</v>
          </cell>
          <cell r="E337" t="str">
            <v>chapeta tensora 3/8"</v>
          </cell>
          <cell r="F337" t="str">
            <v>d</v>
          </cell>
          <cell r="G337">
            <v>23</v>
          </cell>
          <cell r="H337">
            <v>0.16</v>
          </cell>
          <cell r="I337">
            <v>26.68</v>
          </cell>
        </row>
        <row r="338">
          <cell r="D338" t="str">
            <v>43MCJ</v>
          </cell>
          <cell r="E338" t="str">
            <v>gato tensor de 3/8"</v>
          </cell>
          <cell r="F338" t="str">
            <v>d</v>
          </cell>
          <cell r="G338">
            <v>600</v>
          </cell>
          <cell r="H338">
            <v>0.16</v>
          </cell>
          <cell r="I338">
            <v>696</v>
          </cell>
        </row>
        <row r="339">
          <cell r="D339" t="str">
            <v>44115</v>
          </cell>
          <cell r="E339" t="str">
            <v xml:space="preserve">andamio con tijera tramo completo 1.50 x 1.50 </v>
          </cell>
          <cell r="F339" t="str">
            <v>d</v>
          </cell>
          <cell r="G339">
            <v>690</v>
          </cell>
          <cell r="H339">
            <v>0.16</v>
          </cell>
          <cell r="I339">
            <v>800.4</v>
          </cell>
        </row>
        <row r="340">
          <cell r="D340" t="str">
            <v>4411F</v>
          </cell>
          <cell r="E340" t="str">
            <v>molinetes con base y freno de mano</v>
          </cell>
          <cell r="F340" t="str">
            <v>d</v>
          </cell>
          <cell r="G340">
            <v>2400</v>
          </cell>
          <cell r="H340">
            <v>0.16</v>
          </cell>
          <cell r="I340">
            <v>2784</v>
          </cell>
        </row>
        <row r="341">
          <cell r="D341" t="str">
            <v>44121</v>
          </cell>
          <cell r="E341" t="str">
            <v>vibrador electrico para concreto</v>
          </cell>
          <cell r="F341" t="str">
            <v>d</v>
          </cell>
          <cell r="G341">
            <v>34000</v>
          </cell>
          <cell r="H341">
            <v>0.16</v>
          </cell>
          <cell r="I341">
            <v>39440</v>
          </cell>
        </row>
        <row r="342">
          <cell r="D342" t="str">
            <v>44153</v>
          </cell>
          <cell r="E342" t="str">
            <v>bascula de 500kg</v>
          </cell>
          <cell r="F342" t="str">
            <v>d</v>
          </cell>
          <cell r="G342">
            <v>12000</v>
          </cell>
          <cell r="H342">
            <v>0.16</v>
          </cell>
          <cell r="I342">
            <v>13919.999999999998</v>
          </cell>
        </row>
        <row r="343">
          <cell r="D343" t="str">
            <v>44159</v>
          </cell>
          <cell r="E343" t="str">
            <v>concretadora 2 sacos</v>
          </cell>
          <cell r="F343" t="str">
            <v>d</v>
          </cell>
          <cell r="G343">
            <v>38166</v>
          </cell>
          <cell r="H343">
            <v>0.16</v>
          </cell>
          <cell r="I343">
            <v>44272.56</v>
          </cell>
        </row>
        <row r="344">
          <cell r="D344" t="str">
            <v>44242</v>
          </cell>
          <cell r="E344" t="str">
            <v>taco metalico corto 2,00 a 3,30 m</v>
          </cell>
          <cell r="F344" t="str">
            <v>d</v>
          </cell>
          <cell r="G344">
            <v>230</v>
          </cell>
          <cell r="H344">
            <v>0.16</v>
          </cell>
          <cell r="I344">
            <v>266.79999999999995</v>
          </cell>
        </row>
        <row r="345">
          <cell r="D345" t="str">
            <v>44243</v>
          </cell>
          <cell r="E345" t="str">
            <v>taco metalico largo de 2,20 a 3,80 m</v>
          </cell>
          <cell r="F345" t="str">
            <v>d</v>
          </cell>
          <cell r="G345">
            <v>380</v>
          </cell>
          <cell r="H345">
            <v>0.16</v>
          </cell>
          <cell r="I345">
            <v>440.79999999999995</v>
          </cell>
        </row>
        <row r="346">
          <cell r="D346" t="str">
            <v>44253</v>
          </cell>
          <cell r="E346" t="str">
            <v>cercha 3,00 m</v>
          </cell>
          <cell r="F346" t="str">
            <v>d</v>
          </cell>
          <cell r="G346">
            <v>120</v>
          </cell>
          <cell r="H346">
            <v>0.16</v>
          </cell>
          <cell r="I346">
            <v>139.19999999999999</v>
          </cell>
        </row>
        <row r="347">
          <cell r="D347" t="str">
            <v>45911</v>
          </cell>
          <cell r="E347" t="str">
            <v>estacion total geodesica con laser</v>
          </cell>
          <cell r="F347" t="str">
            <v>d</v>
          </cell>
          <cell r="G347">
            <v>95000</v>
          </cell>
          <cell r="H347">
            <v>0.16</v>
          </cell>
          <cell r="I347">
            <v>110199.99999999999</v>
          </cell>
        </row>
        <row r="348">
          <cell r="D348" t="str">
            <v>46111</v>
          </cell>
          <cell r="E348" t="str">
            <v>herramienta y equipo menor</v>
          </cell>
          <cell r="F348" t="str">
            <v>%</v>
          </cell>
          <cell r="G348">
            <v>0.05</v>
          </cell>
          <cell r="I348">
            <v>0.05</v>
          </cell>
        </row>
        <row r="349">
          <cell r="D349" t="str">
            <v>47111</v>
          </cell>
          <cell r="E349" t="str">
            <v>elementos de consumo y proteccion</v>
          </cell>
          <cell r="F349" t="str">
            <v>%</v>
          </cell>
          <cell r="G349">
            <v>1.2455000000000001E-2</v>
          </cell>
          <cell r="I349">
            <v>1.2455000000000001E-2</v>
          </cell>
        </row>
        <row r="350">
          <cell r="D350" t="str">
            <v>48Z19</v>
          </cell>
          <cell r="E350" t="str">
            <v>can madera abarco de 2.80-3.00 m</v>
          </cell>
          <cell r="F350" t="str">
            <v>d</v>
          </cell>
          <cell r="G350">
            <v>300</v>
          </cell>
          <cell r="H350">
            <v>0.16</v>
          </cell>
          <cell r="I350">
            <v>348</v>
          </cell>
        </row>
        <row r="351">
          <cell r="D351" t="str">
            <v>4FP03</v>
          </cell>
          <cell r="E351" t="str">
            <v>correas bajo encofrado exterior</v>
          </cell>
          <cell r="F351" t="str">
            <v>d-m2</v>
          </cell>
          <cell r="G351">
            <v>250</v>
          </cell>
          <cell r="H351">
            <v>0.16</v>
          </cell>
          <cell r="I351">
            <v>290</v>
          </cell>
        </row>
        <row r="352">
          <cell r="D352" t="str">
            <v>4FP04</v>
          </cell>
          <cell r="E352" t="str">
            <v>doble fondo para mesas sobre celosias</v>
          </cell>
          <cell r="F352" t="str">
            <v>d-m2</v>
          </cell>
          <cell r="G352">
            <v>1360</v>
          </cell>
          <cell r="H352">
            <v>0.16</v>
          </cell>
          <cell r="I352">
            <v>1577.6</v>
          </cell>
        </row>
        <row r="353">
          <cell r="D353" t="str">
            <v>4FP06</v>
          </cell>
          <cell r="E353" t="str">
            <v>paso mediante perfiles de 12 m</v>
          </cell>
          <cell r="F353" t="str">
            <v>d-m2</v>
          </cell>
          <cell r="G353">
            <v>3250</v>
          </cell>
          <cell r="H353">
            <v>0.16</v>
          </cell>
          <cell r="I353">
            <v>3769.9999999999995</v>
          </cell>
        </row>
        <row r="354">
          <cell r="D354" t="str">
            <v>4FP08</v>
          </cell>
          <cell r="E354" t="str">
            <v>cimbra cuajada tipo amd (andamio de carga)</v>
          </cell>
          <cell r="F354" t="str">
            <v>d-m3</v>
          </cell>
          <cell r="G354">
            <v>300</v>
          </cell>
          <cell r="H354">
            <v>0.16</v>
          </cell>
          <cell r="I354">
            <v>348</v>
          </cell>
        </row>
        <row r="355">
          <cell r="D355" t="str">
            <v>4FP10</v>
          </cell>
          <cell r="E355" t="str">
            <v>transporte de formaleteria</v>
          </cell>
          <cell r="F355" t="str">
            <v>ton</v>
          </cell>
          <cell r="G355">
            <v>30000</v>
          </cell>
          <cell r="H355">
            <v>0.16</v>
          </cell>
          <cell r="I355">
            <v>34800</v>
          </cell>
        </row>
        <row r="356">
          <cell r="D356" t="str">
            <v>4H122</v>
          </cell>
          <cell r="E356" t="str">
            <v>formaleta para sumidero tipo b</v>
          </cell>
          <cell r="F356" t="str">
            <v>u</v>
          </cell>
          <cell r="G356">
            <v>3000</v>
          </cell>
          <cell r="H356">
            <v>0.16</v>
          </cell>
          <cell r="I356">
            <v>3479.9999999999995</v>
          </cell>
        </row>
        <row r="357">
          <cell r="D357" t="str">
            <v>4HS15</v>
          </cell>
          <cell r="E357" t="str">
            <v>bomba hidrostática para presurización de redes de abasto o acueducto.</v>
          </cell>
          <cell r="F357" t="str">
            <v>d</v>
          </cell>
          <cell r="G357">
            <v>26300</v>
          </cell>
          <cell r="H357">
            <v>0.16</v>
          </cell>
          <cell r="I357">
            <v>30507.999999999996</v>
          </cell>
        </row>
        <row r="358">
          <cell r="D358" t="str">
            <v>4V311</v>
          </cell>
          <cell r="E358" t="str">
            <v xml:space="preserve">finisher volvo blaw knox pf 161 </v>
          </cell>
          <cell r="F358" t="str">
            <v>h</v>
          </cell>
          <cell r="G358">
            <v>101000</v>
          </cell>
          <cell r="H358">
            <v>0.16</v>
          </cell>
          <cell r="I358">
            <v>117159.99999999999</v>
          </cell>
        </row>
        <row r="359">
          <cell r="D359" t="str">
            <v>4V511</v>
          </cell>
          <cell r="E359" t="str">
            <v>motoniveladora cat 120g</v>
          </cell>
          <cell r="F359" t="str">
            <v>h</v>
          </cell>
          <cell r="G359">
            <v>142000</v>
          </cell>
          <cell r="H359">
            <v>0.16</v>
          </cell>
          <cell r="I359">
            <v>164720</v>
          </cell>
        </row>
        <row r="360">
          <cell r="D360" t="str">
            <v>4V611</v>
          </cell>
          <cell r="E360" t="str">
            <v>carrotanque para agua</v>
          </cell>
          <cell r="F360" t="str">
            <v>h</v>
          </cell>
          <cell r="G360">
            <v>58400</v>
          </cell>
          <cell r="H360">
            <v>0.16</v>
          </cell>
          <cell r="I360">
            <v>67744</v>
          </cell>
        </row>
        <row r="361">
          <cell r="D361" t="str">
            <v>4V612</v>
          </cell>
          <cell r="E361" t="str">
            <v>carrotanque irrigador de asfalto</v>
          </cell>
          <cell r="F361" t="str">
            <v>h</v>
          </cell>
          <cell r="G361">
            <v>102500</v>
          </cell>
          <cell r="H361">
            <v>0.16</v>
          </cell>
          <cell r="I361">
            <v>118899.99999999999</v>
          </cell>
        </row>
        <row r="362">
          <cell r="D362" t="str">
            <v>4V711</v>
          </cell>
          <cell r="E362" t="str">
            <v>compresor ingersoll rand p185wjd</v>
          </cell>
          <cell r="F362" t="str">
            <v>h</v>
          </cell>
          <cell r="G362">
            <v>55000</v>
          </cell>
          <cell r="H362">
            <v>0.16</v>
          </cell>
          <cell r="I362">
            <v>63799.999999999993</v>
          </cell>
        </row>
        <row r="363">
          <cell r="D363" t="str">
            <v>4V811</v>
          </cell>
          <cell r="E363" t="str">
            <v>compactador vibratorio</v>
          </cell>
          <cell r="F363" t="str">
            <v>h</v>
          </cell>
          <cell r="G363">
            <v>84400</v>
          </cell>
          <cell r="H363">
            <v>0.16</v>
          </cell>
          <cell r="I363">
            <v>97904</v>
          </cell>
        </row>
        <row r="364">
          <cell r="D364" t="str">
            <v>4V812</v>
          </cell>
          <cell r="E364" t="str">
            <v>compactador de llantas</v>
          </cell>
          <cell r="F364" t="str">
            <v>h</v>
          </cell>
          <cell r="G364">
            <v>49700</v>
          </cell>
          <cell r="H364">
            <v>0.16</v>
          </cell>
          <cell r="I364">
            <v>57651.999999999993</v>
          </cell>
        </row>
        <row r="365">
          <cell r="D365" t="str">
            <v>4V912</v>
          </cell>
          <cell r="E365" t="str">
            <v>retroexcavadora cat 416-b</v>
          </cell>
          <cell r="F365" t="str">
            <v>h</v>
          </cell>
          <cell r="G365">
            <v>90000</v>
          </cell>
          <cell r="H365">
            <v>0.16</v>
          </cell>
          <cell r="I365">
            <v>104400</v>
          </cell>
        </row>
        <row r="366">
          <cell r="D366" t="str">
            <v>4V913</v>
          </cell>
          <cell r="E366" t="str">
            <v>grua 20 ton</v>
          </cell>
          <cell r="F366" t="str">
            <v>h</v>
          </cell>
          <cell r="G366">
            <v>130000</v>
          </cell>
          <cell r="H366">
            <v>0.16</v>
          </cell>
          <cell r="I366">
            <v>150800</v>
          </cell>
        </row>
        <row r="367">
          <cell r="D367" t="str">
            <v>4V914</v>
          </cell>
          <cell r="E367" t="str">
            <v>vehiculo delineador</v>
          </cell>
          <cell r="F367" t="str">
            <v>h</v>
          </cell>
          <cell r="G367">
            <v>60000</v>
          </cell>
          <cell r="H367">
            <v>0.16</v>
          </cell>
          <cell r="I367">
            <v>69600</v>
          </cell>
        </row>
        <row r="368">
          <cell r="D368" t="str">
            <v>4V915</v>
          </cell>
          <cell r="E368" t="str">
            <v>camioneta</v>
          </cell>
          <cell r="F368" t="str">
            <v>h</v>
          </cell>
          <cell r="G368">
            <v>40000</v>
          </cell>
          <cell r="H368">
            <v>0.16</v>
          </cell>
          <cell r="I368">
            <v>46400</v>
          </cell>
        </row>
        <row r="369">
          <cell r="D369" t="str">
            <v>61213</v>
          </cell>
          <cell r="E369" t="str">
            <v>transporte a envigado</v>
          </cell>
          <cell r="F369" t="str">
            <v>t</v>
          </cell>
          <cell r="G369">
            <v>7040</v>
          </cell>
          <cell r="H369">
            <v>0.16</v>
          </cell>
          <cell r="I369">
            <v>8166.4</v>
          </cell>
        </row>
        <row r="370">
          <cell r="D370" t="str">
            <v>71111</v>
          </cell>
          <cell r="E370" t="str">
            <v>aux mo ayudante</v>
          </cell>
          <cell r="F370" t="str">
            <v>h</v>
          </cell>
          <cell r="G370">
            <v>5520.31</v>
          </cell>
          <cell r="I370">
            <v>5520.31</v>
          </cell>
        </row>
        <row r="371">
          <cell r="D371" t="str">
            <v>71A13</v>
          </cell>
          <cell r="E371" t="str">
            <v>aux mortero de pega 1:3</v>
          </cell>
          <cell r="F371" t="str">
            <v>m3</v>
          </cell>
          <cell r="G371">
            <v>359986.94999999995</v>
          </cell>
          <cell r="I371">
            <v>359986.94999999995</v>
          </cell>
        </row>
        <row r="372">
          <cell r="D372" t="str">
            <v>71A14</v>
          </cell>
          <cell r="E372" t="str">
            <v>aux mortero de pega 1:4</v>
          </cell>
          <cell r="F372" t="str">
            <v>m3</v>
          </cell>
          <cell r="G372">
            <v>305660.30000000005</v>
          </cell>
          <cell r="I372">
            <v>305660.30000000005</v>
          </cell>
        </row>
        <row r="373">
          <cell r="D373" t="str">
            <v>72132</v>
          </cell>
          <cell r="E373" t="str">
            <v>aux concreto 3000 psi (21.1 MPa) -obra- 3/4"</v>
          </cell>
          <cell r="F373" t="str">
            <v>m3</v>
          </cell>
          <cell r="G373">
            <v>397371.06000000006</v>
          </cell>
          <cell r="I373">
            <v>397371.06000000006</v>
          </cell>
        </row>
        <row r="374">
          <cell r="D374" t="str">
            <v>72134</v>
          </cell>
          <cell r="E374" t="str">
            <v>aux concreto 3500 psi (24.1 MPa) -obra- 3/4"</v>
          </cell>
          <cell r="F374" t="str">
            <v>m3</v>
          </cell>
          <cell r="G374">
            <v>436323.68</v>
          </cell>
          <cell r="I374">
            <v>436323.68</v>
          </cell>
        </row>
        <row r="375">
          <cell r="D375" t="str">
            <v>72138</v>
          </cell>
          <cell r="E375" t="str">
            <v>aux concreto 2000 psi (14.0 MPa) -obra- 3/4"</v>
          </cell>
          <cell r="F375" t="str">
            <v>m3</v>
          </cell>
          <cell r="G375">
            <v>344710.23</v>
          </cell>
          <cell r="I375">
            <v>344710.23</v>
          </cell>
        </row>
        <row r="376">
          <cell r="D376" t="str">
            <v>72139</v>
          </cell>
          <cell r="E376" t="str">
            <v>aux concreto 2500 psi (17.5 MPa) -obra- 3/4"</v>
          </cell>
          <cell r="F376" t="str">
            <v>m3</v>
          </cell>
          <cell r="G376">
            <v>368333.38</v>
          </cell>
          <cell r="I376">
            <v>368333.38</v>
          </cell>
        </row>
        <row r="377">
          <cell r="D377" t="str">
            <v>7213B</v>
          </cell>
          <cell r="E377" t="str">
            <v>aux concreto 3000 psi (21.1 MPa) -obra- 3/8"</v>
          </cell>
          <cell r="F377" t="str">
            <v>m3</v>
          </cell>
          <cell r="G377">
            <v>449919.07000000007</v>
          </cell>
          <cell r="I377">
            <v>449919.07000000007</v>
          </cell>
        </row>
        <row r="378">
          <cell r="D378" t="str">
            <v>72561</v>
          </cell>
          <cell r="E378" t="str">
            <v>aux curado concreto</v>
          </cell>
          <cell r="F378" t="str">
            <v>m2</v>
          </cell>
          <cell r="G378">
            <v>1109.2</v>
          </cell>
          <cell r="I378">
            <v>1109.2</v>
          </cell>
        </row>
        <row r="379">
          <cell r="D379" t="str">
            <v>72711</v>
          </cell>
          <cell r="E379" t="str">
            <v>aux desmoldante -separol-</v>
          </cell>
          <cell r="F379" t="str">
            <v>m2</v>
          </cell>
          <cell r="G379">
            <v>1182.68</v>
          </cell>
          <cell r="I379">
            <v>1182.68</v>
          </cell>
        </row>
        <row r="380">
          <cell r="D380" t="str">
            <v>74F11</v>
          </cell>
          <cell r="E380" t="str">
            <v>aux formaleta losa tradicional hasta h=3 m</v>
          </cell>
          <cell r="F380" t="str">
            <v>m2</v>
          </cell>
          <cell r="G380">
            <v>4324.55</v>
          </cell>
          <cell r="I380">
            <v>4324.55</v>
          </cell>
        </row>
        <row r="381">
          <cell r="D381" t="str">
            <v>74F24</v>
          </cell>
          <cell r="E381" t="str">
            <v>aux formaleta lateral para anillos pilas</v>
          </cell>
          <cell r="F381" t="str">
            <v>m2</v>
          </cell>
          <cell r="G381">
            <v>13738.460000000001</v>
          </cell>
          <cell r="I381">
            <v>13738.460000000001</v>
          </cell>
        </row>
        <row r="382">
          <cell r="D382" t="str">
            <v>74O33</v>
          </cell>
          <cell r="E382" t="str">
            <v>aux andamios de carga - tramo h=1.50m</v>
          </cell>
          <cell r="F382" t="str">
            <v>d</v>
          </cell>
          <cell r="G382">
            <v>11458.270000000002</v>
          </cell>
          <cell r="I382">
            <v>11458.270000000002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RESUMEN"/>
      <sheetName val="PRESUPUESTO"/>
      <sheetName val="Apu"/>
      <sheetName val="Aux"/>
      <sheetName val="Insumos"/>
      <sheetName val="CO_TRANS_ESMERALDAL"/>
      <sheetName val="CO_Acero"/>
      <sheetName val="CO_Pilas"/>
      <sheetName val="can1"/>
      <sheetName val="can11"/>
      <sheetName val="can12"/>
      <sheetName val="can13"/>
      <sheetName val="can14"/>
      <sheetName val="can15"/>
      <sheetName val="can16"/>
      <sheetName val="cant17"/>
      <sheetName val="mat1"/>
      <sheetName val="mat11"/>
      <sheetName val="mat12"/>
      <sheetName val="mat13"/>
      <sheetName val="mat14"/>
      <sheetName val="mat15"/>
      <sheetName val="mat16"/>
      <sheetName val="mat17"/>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2">
          <cell r="D2">
            <v>0</v>
          </cell>
        </row>
        <row r="3">
          <cell r="E3" t="str">
            <v>CONSORCIO</v>
          </cell>
          <cell r="H3" t="str">
            <v>ESTUDIOS Y DISEÑOS DEFINITIVOS PARA LA CONSTRUCCIÓN DEL INTERCAMBIO VIAL LOMA EL ESMERALDAL CON TRANSVERSAL INTERMEDIA DEL MUNICIPIO DE ENVIGADO</v>
          </cell>
        </row>
        <row r="4">
          <cell r="J4" t="str">
            <v>TRANS_ESMERALDAL</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row>
        <row r="6">
          <cell r="D6" t="str">
            <v>01</v>
          </cell>
          <cell r="G6" t="str">
            <v>PRELIMINARES</v>
          </cell>
          <cell r="H6">
            <v>0</v>
          </cell>
          <cell r="I6">
            <v>0</v>
          </cell>
          <cell r="J6">
            <v>0</v>
          </cell>
          <cell r="K6">
            <v>52061256.395936862</v>
          </cell>
          <cell r="L6">
            <v>0</v>
          </cell>
        </row>
        <row r="7">
          <cell r="D7" t="str">
            <v>01-01</v>
          </cell>
          <cell r="G7" t="str">
            <v>INSTALACIONES PROVISIONALES</v>
          </cell>
          <cell r="H7">
            <v>0</v>
          </cell>
          <cell r="I7">
            <v>0</v>
          </cell>
          <cell r="J7">
            <v>0</v>
          </cell>
          <cell r="K7">
            <v>28186377.356936865</v>
          </cell>
          <cell r="L7">
            <v>0</v>
          </cell>
        </row>
        <row r="8">
          <cell r="D8" t="str">
            <v>01-01-010</v>
          </cell>
          <cell r="E8" t="str">
            <v>P-001</v>
          </cell>
          <cell r="G8" t="str">
            <v>CERRAMIENTO PROVISIONAL EN TELA DE CERRAMIENTO VERDE H: 2.10 M. INCLUYE ESTRUCTURA DE MADERA COMUN, ANCLAJES DE PARALES AL PISO Y TELA VERDE</v>
          </cell>
          <cell r="H8" t="str">
            <v>M</v>
          </cell>
          <cell r="I8">
            <v>14482.555166798631</v>
          </cell>
          <cell r="J8">
            <v>979.06600000000003</v>
          </cell>
          <cell r="K8">
            <v>14179377.356936868</v>
          </cell>
          <cell r="L8">
            <v>979.06600000000003</v>
          </cell>
        </row>
        <row r="9">
          <cell r="D9" t="str">
            <v>01-01-020</v>
          </cell>
          <cell r="E9" t="str">
            <v>E-101</v>
          </cell>
          <cell r="G9" t="str">
            <v>CAMPAMENTOS, ALMACENES Y OFICINAS. INCLUYE TODO LO NECESARIO PARA SU CORRECTO FUNCIONAMIENTO</v>
          </cell>
          <cell r="H9" t="str">
            <v>MES</v>
          </cell>
          <cell r="I9">
            <v>1739999.9999999998</v>
          </cell>
          <cell r="J9">
            <v>8.0499999999999989</v>
          </cell>
          <cell r="K9">
            <v>14006999.999999996</v>
          </cell>
          <cell r="L9">
            <v>8.0499999999999989</v>
          </cell>
        </row>
        <row r="10">
          <cell r="D10" t="str">
            <v>01-02</v>
          </cell>
          <cell r="G10" t="str">
            <v>LOCALIZACION Y REPLANTEO</v>
          </cell>
          <cell r="H10">
            <v>0</v>
          </cell>
          <cell r="I10">
            <v>0</v>
          </cell>
          <cell r="J10">
            <v>0</v>
          </cell>
          <cell r="K10">
            <v>23874879.038999997</v>
          </cell>
          <cell r="L10">
            <v>0</v>
          </cell>
        </row>
        <row r="11">
          <cell r="D11" t="str">
            <v>01-02-010</v>
          </cell>
          <cell r="E11" t="str">
            <v>E-104</v>
          </cell>
          <cell r="G11" t="str">
            <v>LOCALIZACION, TRAZADO Y REPLANTEO. INCLUYE HILADEROS Y SEÑALIZACION NECESARIA</v>
          </cell>
          <cell r="H11" t="str">
            <v>DIA</v>
          </cell>
          <cell r="I11">
            <v>723481.18299999996</v>
          </cell>
          <cell r="J11">
            <v>33</v>
          </cell>
          <cell r="K11">
            <v>23874879.038999997</v>
          </cell>
          <cell r="L11">
            <v>33</v>
          </cell>
        </row>
        <row r="12">
          <cell r="D12" t="str">
            <v>02</v>
          </cell>
          <cell r="G12" t="str">
            <v>RETIROS Y DEMOLICIONES</v>
          </cell>
          <cell r="H12">
            <v>0</v>
          </cell>
          <cell r="I12">
            <v>0</v>
          </cell>
          <cell r="J12">
            <v>0</v>
          </cell>
          <cell r="K12">
            <v>58656154.818632647</v>
          </cell>
          <cell r="L12">
            <v>0</v>
          </cell>
        </row>
        <row r="13">
          <cell r="D13" t="str">
            <v>02-01</v>
          </cell>
          <cell r="G13" t="str">
            <v>RETIROS Y TRASLADOS</v>
          </cell>
          <cell r="H13">
            <v>0</v>
          </cell>
          <cell r="I13">
            <v>0</v>
          </cell>
          <cell r="J13">
            <v>0</v>
          </cell>
          <cell r="K13">
            <v>2998936.7207997637</v>
          </cell>
          <cell r="L13">
            <v>0</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2998936.7207997637</v>
          </cell>
          <cell r="J14">
            <v>1</v>
          </cell>
          <cell r="K14">
            <v>2998936.7207997637</v>
          </cell>
          <cell r="L14">
            <v>1</v>
          </cell>
        </row>
        <row r="15">
          <cell r="D15" t="str">
            <v>02-02</v>
          </cell>
          <cell r="G15" t="str">
            <v>DEMOLICIONES</v>
          </cell>
          <cell r="H15">
            <v>0</v>
          </cell>
          <cell r="I15">
            <v>0</v>
          </cell>
          <cell r="J15">
            <v>0</v>
          </cell>
          <cell r="K15">
            <v>55657218.097832888</v>
          </cell>
          <cell r="L15">
            <v>0</v>
          </cell>
        </row>
        <row r="16">
          <cell r="D16" t="str">
            <v>02-02-010</v>
          </cell>
          <cell r="E16" t="str">
            <v>E-105.1</v>
          </cell>
          <cell r="G16" t="str">
            <v>DEMOLICION DE BORDILLOS Y CORDONES. INCLUYE TRANSPORTE INTERNO, CARGUE Y DISPOSICION FINAL DE MATERIAL SOBRANTE EN BOTADERO OFICIAL.</v>
          </cell>
          <cell r="H16" t="str">
            <v>M</v>
          </cell>
          <cell r="I16">
            <v>8071.8805701633582</v>
          </cell>
          <cell r="J16">
            <v>34.423199999999994</v>
          </cell>
          <cell r="K16">
            <v>277859.95924284728</v>
          </cell>
          <cell r="L16">
            <v>34.423199999999994</v>
          </cell>
        </row>
        <row r="17">
          <cell r="D17" t="str">
            <v>02-02-040</v>
          </cell>
          <cell r="E17" t="str">
            <v>E-201</v>
          </cell>
          <cell r="G17" t="str">
            <v>DEMOLICION DE MUROS EN CONCRETO REFORZADO EXISTENTES MEDIDO EN SITIO. INCLUYE TRANSPORTE INTERNO, CARGUE, TRANSPORTE Y BOTADA DE MATERIAL SOBRANTE EN BOTADEROS OFICIALES</v>
          </cell>
          <cell r="H17" t="str">
            <v>M3</v>
          </cell>
          <cell r="I17">
            <v>133875.41303672388</v>
          </cell>
          <cell r="J17">
            <v>196.18199999999999</v>
          </cell>
          <cell r="K17">
            <v>26263946.280370563</v>
          </cell>
          <cell r="L17">
            <v>196.18199999999999</v>
          </cell>
        </row>
        <row r="18">
          <cell r="D18" t="str">
            <v>02-02-045</v>
          </cell>
          <cell r="E18" t="str">
            <v>E-105.5</v>
          </cell>
          <cell r="G18" t="str">
            <v>DEMOLICION DE MUROS EN GAVIONES MEDIDO EN SITIO. INCLUYE TRANSPORTE INTERNO, CARGUE, TRANSPORTE Y BOTADA DE MATERIAL SOBRANTE EN BOTADEROS OFICIALES</v>
          </cell>
          <cell r="H18" t="str">
            <v>M3</v>
          </cell>
          <cell r="I18">
            <v>137191.62978375741</v>
          </cell>
          <cell r="J18">
            <v>21.588000000000001</v>
          </cell>
          <cell r="K18">
            <v>2961692.9037717553</v>
          </cell>
          <cell r="L18">
            <v>21.588000000000001</v>
          </cell>
        </row>
        <row r="19">
          <cell r="D19" t="str">
            <v>02-02-060</v>
          </cell>
          <cell r="E19" t="str">
            <v>E-105.2</v>
          </cell>
          <cell r="G19" t="str">
            <v>DEMOLICION ANDENES EXISTENTES MEDIDO EN SITIO. INCLUYE TRANSPORTE INTERNO, CARGUE Y DISPOSICION FINAL DE MATERIAL SOBRANTE EN BOTADERO OFICIAL</v>
          </cell>
          <cell r="H19" t="str">
            <v>M</v>
          </cell>
          <cell r="I19">
            <v>25273.454638761516</v>
          </cell>
          <cell r="J19">
            <v>1034.8296</v>
          </cell>
          <cell r="K19">
            <v>26153718.954447724</v>
          </cell>
          <cell r="L19">
            <v>1034.8296</v>
          </cell>
        </row>
        <row r="20">
          <cell r="D20" t="str">
            <v>03</v>
          </cell>
          <cell r="G20" t="str">
            <v>MOVIMIENTOS DE TIERRA</v>
          </cell>
          <cell r="H20">
            <v>0</v>
          </cell>
          <cell r="I20">
            <v>0</v>
          </cell>
          <cell r="J20">
            <v>0</v>
          </cell>
          <cell r="K20">
            <v>2143622196.0062134</v>
          </cell>
          <cell r="L20">
            <v>0</v>
          </cell>
        </row>
        <row r="21">
          <cell r="D21" t="str">
            <v>03-01</v>
          </cell>
          <cell r="G21" t="str">
            <v>CORTES</v>
          </cell>
          <cell r="H21">
            <v>0</v>
          </cell>
          <cell r="I21">
            <v>0</v>
          </cell>
          <cell r="J21">
            <v>0</v>
          </cell>
          <cell r="K21">
            <v>1877284470.6888926</v>
          </cell>
          <cell r="L21">
            <v>0</v>
          </cell>
        </row>
        <row r="22">
          <cell r="D22" t="str">
            <v>03-01-210</v>
          </cell>
          <cell r="E22" t="str">
            <v>E-201</v>
          </cell>
          <cell r="G22" t="str">
            <v>EXCAVACION MANUAL O MECANICA EN TIERRA BAJO CUALQUIER GRADO DE HUMEDAD. INCLUYE ACARREO INTERNO, CARGUE, TRANSPORTE Y DISPOSICION FINAL DEL MATERIAL SOBRANTE EN BOTADEROS OFICIALES. MEDIDO EN SITIO</v>
          </cell>
          <cell r="H22" t="str">
            <v>M3</v>
          </cell>
          <cell r="I22">
            <v>52735.840872224362</v>
          </cell>
          <cell r="J22">
            <v>23684.526960000003</v>
          </cell>
          <cell r="K22">
            <v>1249023444.8964679</v>
          </cell>
          <cell r="L22">
            <v>23684.526960000003</v>
          </cell>
        </row>
        <row r="23">
          <cell r="D23" t="str">
            <v>03-01-300</v>
          </cell>
          <cell r="E23" t="str">
            <v>I-621.1</v>
          </cell>
          <cell r="G23" t="str">
            <v>EXCAVACION MANUAL DE PILAS. INCLUYE VACIADO DE ANILLOS DE ENTIBADO, CARGUE, TRANSPORTE Y DISPOSICION FINAL DEL MATERIAL SOBRANTE EN BOTADEROS OFICIALES.</v>
          </cell>
          <cell r="H23" t="str">
            <v>M3</v>
          </cell>
          <cell r="I23">
            <v>278581.12435606506</v>
          </cell>
          <cell r="J23">
            <v>619.60061110424692</v>
          </cell>
          <cell r="K23">
            <v>172609034.89312613</v>
          </cell>
          <cell r="L23">
            <v>619.60061110424692</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242816.15490914744</v>
          </cell>
          <cell r="J24">
            <v>1876.5307896000004</v>
          </cell>
          <cell r="K24">
            <v>455651990.89929849</v>
          </cell>
          <cell r="L24">
            <v>1876.5307896000004</v>
          </cell>
        </row>
        <row r="25">
          <cell r="D25" t="str">
            <v>03-02</v>
          </cell>
          <cell r="G25" t="str">
            <v>LLENOS</v>
          </cell>
          <cell r="H25">
            <v>0</v>
          </cell>
          <cell r="I25">
            <v>0</v>
          </cell>
          <cell r="J25">
            <v>0</v>
          </cell>
          <cell r="K25">
            <v>152158600.69785023</v>
          </cell>
          <cell r="L25">
            <v>0</v>
          </cell>
        </row>
        <row r="26">
          <cell r="D26" t="str">
            <v>03-02-010</v>
          </cell>
          <cell r="E26" t="str">
            <v>E-204</v>
          </cell>
          <cell r="G26" t="str">
            <v>LLENOS COMPACTADOS EN ARENILLA ALREDEDOR DE ESTRUCTURAS. INCLUYE SUMINISTRO, TRANSPORTE INTERNO Y COMPACTACION.</v>
          </cell>
          <cell r="H26" t="str">
            <v>M3</v>
          </cell>
          <cell r="I26">
            <v>72634.719710043719</v>
          </cell>
          <cell r="J26">
            <v>561.42600000000004</v>
          </cell>
          <cell r="K26">
            <v>40779020.14793101</v>
          </cell>
          <cell r="L26">
            <v>561.42600000000004</v>
          </cell>
        </row>
        <row r="27">
          <cell r="D27" t="str">
            <v>03-02-015</v>
          </cell>
          <cell r="E27" t="str">
            <v>E-204</v>
          </cell>
          <cell r="G27" t="str">
            <v>LLENOS COMPACTADOS CON MATERIAL SELECCIONADO. INCLUYE SUMINISTRO, TRANSPORTE INTERNO Y COMPACTACION AL 95% DEL PROCTOR MODIFICADO.</v>
          </cell>
          <cell r="H27" t="str">
            <v>M3</v>
          </cell>
          <cell r="I27">
            <v>29032.407710043728</v>
          </cell>
          <cell r="J27">
            <v>3836.3879999999999</v>
          </cell>
          <cell r="K27">
            <v>111379580.54991923</v>
          </cell>
          <cell r="L27">
            <v>3836.3879999999999</v>
          </cell>
        </row>
        <row r="28">
          <cell r="D28" t="str">
            <v>03-04</v>
          </cell>
          <cell r="G28" t="str">
            <v>FILTROS Y DRENAJES</v>
          </cell>
          <cell r="H28">
            <v>0</v>
          </cell>
          <cell r="I28">
            <v>0</v>
          </cell>
          <cell r="J28">
            <v>0</v>
          </cell>
          <cell r="K28">
            <v>114179124.61947072</v>
          </cell>
          <cell r="L28">
            <v>0</v>
          </cell>
        </row>
        <row r="29">
          <cell r="D29" t="str">
            <v>03-04-045</v>
          </cell>
          <cell r="E29" t="str">
            <v>E-405</v>
          </cell>
          <cell r="G29" t="str">
            <v>TUBERIA PVC Ø2" PERFORADA PARA LLORADEROS</v>
          </cell>
          <cell r="H29" t="str">
            <v>M</v>
          </cell>
          <cell r="I29">
            <v>88681.164390052538</v>
          </cell>
          <cell r="J29">
            <v>103.125</v>
          </cell>
          <cell r="K29">
            <v>9145245.0777241681</v>
          </cell>
          <cell r="L29">
            <v>103.125</v>
          </cell>
        </row>
        <row r="30">
          <cell r="D30" t="str">
            <v>03-04-055</v>
          </cell>
          <cell r="E30" t="str">
            <v>E-401</v>
          </cell>
          <cell r="G30" t="str">
            <v>CUNETA EN "V" VACIADA EN CONCRETO A: 1.10 M E: 0.10 M</v>
          </cell>
          <cell r="H30" t="str">
            <v>M</v>
          </cell>
          <cell r="I30">
            <v>79720.05098750873</v>
          </cell>
          <cell r="J30">
            <v>1203.2570000000003</v>
          </cell>
          <cell r="K30">
            <v>95923709.391076818</v>
          </cell>
          <cell r="L30">
            <v>1203.2570000000003</v>
          </cell>
        </row>
        <row r="31">
          <cell r="D31" t="str">
            <v>03-04-065</v>
          </cell>
          <cell r="E31" t="str">
            <v>E-405</v>
          </cell>
          <cell r="G31" t="str">
            <v>GEODREN VIAL PAVCO, TB 100 MM 1.0 M O EQUIVALENTE</v>
          </cell>
          <cell r="H31" t="str">
            <v>M</v>
          </cell>
          <cell r="I31">
            <v>40813.287404822011</v>
          </cell>
          <cell r="J31">
            <v>46.2</v>
          </cell>
          <cell r="K31">
            <v>1885573.8781027771</v>
          </cell>
          <cell r="L31">
            <v>46.2</v>
          </cell>
        </row>
        <row r="32">
          <cell r="D32" t="str">
            <v>03-04-070</v>
          </cell>
          <cell r="E32" t="str">
            <v>E-405</v>
          </cell>
          <cell r="G32" t="str">
            <v>GEODREN PLANAR PAVCO 1.0 M O EQUIVALENTE</v>
          </cell>
          <cell r="H32" t="str">
            <v>M2</v>
          </cell>
          <cell r="I32">
            <v>27867.190837351678</v>
          </cell>
          <cell r="J32">
            <v>259.25097060316102</v>
          </cell>
          <cell r="K32">
            <v>7224596.2725669378</v>
          </cell>
          <cell r="L32">
            <v>259.25097060316102</v>
          </cell>
        </row>
        <row r="33">
          <cell r="D33" t="str">
            <v>04</v>
          </cell>
          <cell r="G33" t="str">
            <v>CONCRETOS ESTRUCTURALES</v>
          </cell>
          <cell r="H33">
            <v>0</v>
          </cell>
          <cell r="I33">
            <v>0</v>
          </cell>
          <cell r="J33">
            <v>0</v>
          </cell>
          <cell r="K33">
            <v>327160071.42465669</v>
          </cell>
          <cell r="L33">
            <v>0</v>
          </cell>
        </row>
        <row r="34">
          <cell r="D34" t="str">
            <v>04-01</v>
          </cell>
          <cell r="G34" t="str">
            <v>PILAS Y PILOTES</v>
          </cell>
          <cell r="H34">
            <v>0</v>
          </cell>
          <cell r="I34">
            <v>0</v>
          </cell>
          <cell r="J34">
            <v>0</v>
          </cell>
          <cell r="K34">
            <v>176890422.57049111</v>
          </cell>
          <cell r="L34">
            <v>0</v>
          </cell>
        </row>
        <row r="35">
          <cell r="D35" t="str">
            <v>04-01-010</v>
          </cell>
          <cell r="E35" t="str">
            <v>I-621.1</v>
          </cell>
          <cell r="G35" t="str">
            <v>VACIADO DE PILAS EN CONCRETO F'C 21 MPA</v>
          </cell>
          <cell r="H35" t="str">
            <v>M3</v>
          </cell>
          <cell r="I35">
            <v>406247.98178510572</v>
          </cell>
          <cell r="J35">
            <v>435.42474178754537</v>
          </cell>
          <cell r="K35">
            <v>176890422.57049111</v>
          </cell>
          <cell r="L35">
            <v>435.42474178754537</v>
          </cell>
        </row>
        <row r="36">
          <cell r="D36" t="str">
            <v>04-02</v>
          </cell>
          <cell r="G36" t="str">
            <v>MUROS DE CONTENCION</v>
          </cell>
          <cell r="H36">
            <v>0</v>
          </cell>
          <cell r="I36">
            <v>0</v>
          </cell>
          <cell r="J36">
            <v>0</v>
          </cell>
          <cell r="K36">
            <v>147960461.88500109</v>
          </cell>
          <cell r="L36">
            <v>0</v>
          </cell>
        </row>
        <row r="37">
          <cell r="D37" t="str">
            <v>04-02-010</v>
          </cell>
          <cell r="E37" t="str">
            <v>E-503</v>
          </cell>
          <cell r="G37" t="str">
            <v>CONCRETO F'C 21 MPa PARA MUROS DE CONTENCION</v>
          </cell>
          <cell r="H37" t="str">
            <v>M3</v>
          </cell>
          <cell r="I37">
            <v>620845.84059027629</v>
          </cell>
          <cell r="J37">
            <v>238.32077499999997</v>
          </cell>
          <cell r="K37">
            <v>147960461.88500109</v>
          </cell>
          <cell r="L37">
            <v>238.32077499999997</v>
          </cell>
        </row>
        <row r="38">
          <cell r="D38" t="str">
            <v>04-10</v>
          </cell>
          <cell r="G38" t="str">
            <v>ACCESORIOS</v>
          </cell>
          <cell r="H38">
            <v>0</v>
          </cell>
          <cell r="I38">
            <v>0</v>
          </cell>
          <cell r="J38">
            <v>0</v>
          </cell>
          <cell r="K38">
            <v>2309186.9691644995</v>
          </cell>
          <cell r="L38">
            <v>0</v>
          </cell>
        </row>
        <row r="39">
          <cell r="D39" t="str">
            <v>04-10-010</v>
          </cell>
          <cell r="E39" t="str">
            <v>E-507</v>
          </cell>
          <cell r="G39" t="str">
            <v>CINTA SIKA PVC O-15 O EQUIVALENTE PARA JUNTAS DE EXPANSION</v>
          </cell>
          <cell r="H39" t="str">
            <v>M</v>
          </cell>
          <cell r="I39">
            <v>33701.410837351672</v>
          </cell>
          <cell r="J39">
            <v>68.519000000000005</v>
          </cell>
          <cell r="K39">
            <v>2309186.9691644995</v>
          </cell>
          <cell r="L39">
            <v>68.519000000000005</v>
          </cell>
        </row>
        <row r="40">
          <cell r="D40" t="str">
            <v>05</v>
          </cell>
          <cell r="G40" t="str">
            <v>ACERO DE REFUERZO</v>
          </cell>
          <cell r="H40">
            <v>0</v>
          </cell>
          <cell r="I40">
            <v>0</v>
          </cell>
          <cell r="J40">
            <v>0</v>
          </cell>
          <cell r="K40">
            <v>195936828.32790217</v>
          </cell>
          <cell r="L40">
            <v>0</v>
          </cell>
        </row>
        <row r="41">
          <cell r="D41" t="str">
            <v>05-01</v>
          </cell>
          <cell r="G41" t="str">
            <v>ACERO DE REFUERZO PARA ESTRUCTURAS</v>
          </cell>
          <cell r="H41">
            <v>0</v>
          </cell>
          <cell r="I41">
            <v>0</v>
          </cell>
          <cell r="J41">
            <v>0</v>
          </cell>
          <cell r="K41">
            <v>195936828.32790217</v>
          </cell>
          <cell r="L41">
            <v>0</v>
          </cell>
        </row>
        <row r="42">
          <cell r="D42" t="str">
            <v>05-01-010</v>
          </cell>
          <cell r="E42" t="str">
            <v>I-640.1</v>
          </cell>
          <cell r="G42" t="str">
            <v>ACERO CORRUGADO FY 4200 MPA</v>
          </cell>
          <cell r="H42" t="str">
            <v>KG</v>
          </cell>
          <cell r="I42">
            <v>2641.3439947000002</v>
          </cell>
          <cell r="J42">
            <v>70756.552374362975</v>
          </cell>
          <cell r="K42">
            <v>186892394.69969967</v>
          </cell>
          <cell r="L42">
            <v>70756.552374362975</v>
          </cell>
        </row>
        <row r="43">
          <cell r="D43" t="str">
            <v>05-01-040</v>
          </cell>
          <cell r="E43" t="str">
            <v>E-600</v>
          </cell>
          <cell r="G43" t="str">
            <v>PELDAÑOS PARA CAMARAS DE INSPECCION</v>
          </cell>
          <cell r="H43" t="str">
            <v>U</v>
          </cell>
          <cell r="I43">
            <v>32888.849557099995</v>
          </cell>
          <cell r="J43">
            <v>275</v>
          </cell>
          <cell r="K43">
            <v>9044433.628202498</v>
          </cell>
          <cell r="L43">
            <v>275</v>
          </cell>
        </row>
        <row r="44">
          <cell r="D44" t="str">
            <v>11</v>
          </cell>
          <cell r="G44" t="str">
            <v>CARPINTERIA METALICA</v>
          </cell>
          <cell r="H44">
            <v>0</v>
          </cell>
          <cell r="I44">
            <v>0</v>
          </cell>
          <cell r="J44">
            <v>0</v>
          </cell>
          <cell r="K44">
            <v>217465.19999999998</v>
          </cell>
          <cell r="L44">
            <v>0</v>
          </cell>
        </row>
        <row r="45">
          <cell r="D45" t="str">
            <v>11-03</v>
          </cell>
          <cell r="G45" t="str">
            <v>BARANDAS Y DEFENSAS</v>
          </cell>
          <cell r="H45">
            <v>0</v>
          </cell>
          <cell r="I45">
            <v>0</v>
          </cell>
          <cell r="J45">
            <v>0</v>
          </cell>
          <cell r="K45">
            <v>217465.19999999998</v>
          </cell>
          <cell r="L45">
            <v>0</v>
          </cell>
        </row>
        <row r="46">
          <cell r="D46" t="str">
            <v>11-03-030</v>
          </cell>
          <cell r="E46" t="str">
            <v>E-2301</v>
          </cell>
          <cell r="G46" t="str">
            <v>BARANDA METALICA PEATONAL</v>
          </cell>
          <cell r="H46" t="str">
            <v>M</v>
          </cell>
          <cell r="I46">
            <v>217465.19999999998</v>
          </cell>
          <cell r="J46">
            <v>1</v>
          </cell>
          <cell r="K46">
            <v>217465.19999999998</v>
          </cell>
          <cell r="L46">
            <v>1</v>
          </cell>
        </row>
        <row r="47">
          <cell r="D47" t="str">
            <v>14</v>
          </cell>
          <cell r="G47" t="str">
            <v>INSTALACIONES HIDROSANITARIAS Y DE GAS</v>
          </cell>
          <cell r="H47">
            <v>0</v>
          </cell>
          <cell r="I47">
            <v>0</v>
          </cell>
          <cell r="J47">
            <v>0</v>
          </cell>
          <cell r="K47">
            <v>397472677.08745348</v>
          </cell>
          <cell r="L47">
            <v>0</v>
          </cell>
        </row>
        <row r="48">
          <cell r="D48" t="str">
            <v>14-01</v>
          </cell>
          <cell r="G48" t="str">
            <v>OBRAS PRELIMINARES</v>
          </cell>
          <cell r="H48">
            <v>0</v>
          </cell>
          <cell r="I48">
            <v>0</v>
          </cell>
          <cell r="J48">
            <v>0</v>
          </cell>
          <cell r="K48">
            <v>2387487.9039000003</v>
          </cell>
          <cell r="L48">
            <v>0</v>
          </cell>
        </row>
        <row r="49">
          <cell r="D49" t="str">
            <v>14-01-010</v>
          </cell>
          <cell r="E49" t="str">
            <v>E-104</v>
          </cell>
          <cell r="G49" t="str">
            <v>LOCALIZACION, TRAZADO Y REPLANTEO.</v>
          </cell>
          <cell r="H49" t="str">
            <v>DIA</v>
          </cell>
          <cell r="I49">
            <v>723481.18299999996</v>
          </cell>
          <cell r="J49">
            <v>3.3000000000000003</v>
          </cell>
          <cell r="K49">
            <v>2387487.9039000003</v>
          </cell>
          <cell r="L49">
            <v>3.3000000000000003</v>
          </cell>
        </row>
        <row r="50">
          <cell r="D50" t="str">
            <v>14-02</v>
          </cell>
          <cell r="G50" t="str">
            <v>MOVIMIENTO DE TIERRA Y EXCAVACIONES</v>
          </cell>
          <cell r="H50">
            <v>0</v>
          </cell>
          <cell r="I50">
            <v>0</v>
          </cell>
          <cell r="J50">
            <v>0</v>
          </cell>
          <cell r="K50">
            <v>89227699.321746558</v>
          </cell>
          <cell r="L50">
            <v>0</v>
          </cell>
        </row>
        <row r="51">
          <cell r="D51" t="str">
            <v>14-02-010</v>
          </cell>
          <cell r="E51" t="str">
            <v>E-201</v>
          </cell>
          <cell r="G51" t="str">
            <v>EXCAVACION MANUAL O MECANICA DE 0 A 2 M EN TIERRA BAJO CUALQUIER GRADO DE HUMEDAD. INCLUYE ACARREO INTERNO, CARGUE, TRANSPORTE Y DISPOSICION FINAL DEL MATERIAL SOBRANTE EN BOTADEROS OFICIALES. MEDIDO EN SITIO</v>
          </cell>
          <cell r="H51" t="str">
            <v>M3</v>
          </cell>
          <cell r="I51">
            <v>20733.968693250001</v>
          </cell>
          <cell r="J51">
            <v>1382.3348000000001</v>
          </cell>
          <cell r="K51">
            <v>28661286.466790002</v>
          </cell>
          <cell r="L51">
            <v>1382.3348000000001</v>
          </cell>
        </row>
        <row r="52">
          <cell r="D52" t="str">
            <v>14-02-015</v>
          </cell>
          <cell r="E52" t="str">
            <v>E-201</v>
          </cell>
          <cell r="G52" t="str">
            <v>EXCAVACION MANUAL O MECANICA DE 2 A 4 M EN TIERRA BAJO CUALQUIER GRADO DE HUMEDAD. INCLUYE ACARREO INTERNO, CARGUE, TRANSPORTE Y DISPOSICION FINAL DEL MATERIAL SOBRANTE EN BOTADEROS OFICIALES. MEDIDO EN SITIO</v>
          </cell>
          <cell r="H52" t="str">
            <v>M3</v>
          </cell>
          <cell r="I52">
            <v>52735.840872224362</v>
          </cell>
          <cell r="J52">
            <v>53.328000000000003</v>
          </cell>
          <cell r="K52">
            <v>2812296.922033981</v>
          </cell>
          <cell r="L52">
            <v>53.328000000000003</v>
          </cell>
        </row>
        <row r="53">
          <cell r="D53" t="str">
            <v>14-02-020</v>
          </cell>
          <cell r="E53" t="str">
            <v>E-205</v>
          </cell>
          <cell r="G53" t="str">
            <v>BOTADA DE MATERIAL SOBRANTE</v>
          </cell>
          <cell r="H53" t="str">
            <v>M3</v>
          </cell>
          <cell r="I53">
            <v>36400</v>
          </cell>
          <cell r="J53">
            <v>1107.5988</v>
          </cell>
          <cell r="K53">
            <v>40316596.32</v>
          </cell>
          <cell r="L53">
            <v>1107.5988</v>
          </cell>
        </row>
        <row r="54">
          <cell r="D54" t="str">
            <v>14-02-030</v>
          </cell>
          <cell r="E54" t="str">
            <v>E-202</v>
          </cell>
          <cell r="G54" t="str">
            <v>CONSTRUCCION ENTIBADO TEMPORAL</v>
          </cell>
          <cell r="H54" t="str">
            <v>M2</v>
          </cell>
          <cell r="I54">
            <v>18579.806091423274</v>
          </cell>
          <cell r="J54">
            <v>938.5200000000001</v>
          </cell>
          <cell r="K54">
            <v>17437519.612922572</v>
          </cell>
          <cell r="L54">
            <v>938.5200000000001</v>
          </cell>
        </row>
        <row r="55">
          <cell r="D55" t="str">
            <v>14-03</v>
          </cell>
          <cell r="G55" t="str">
            <v>LLENOS Y REEMPLAZOS</v>
          </cell>
          <cell r="H55">
            <v>0</v>
          </cell>
          <cell r="I55">
            <v>0</v>
          </cell>
          <cell r="J55">
            <v>0</v>
          </cell>
          <cell r="K55">
            <v>111027883.9430224</v>
          </cell>
          <cell r="L55">
            <v>0</v>
          </cell>
        </row>
        <row r="56">
          <cell r="D56" t="str">
            <v>14-03-010</v>
          </cell>
          <cell r="E56" t="str">
            <v>E-204</v>
          </cell>
          <cell r="G56" t="str">
            <v>LLENOS EN BASE GRANULAR</v>
          </cell>
          <cell r="H56" t="str">
            <v>M3</v>
          </cell>
          <cell r="I56">
            <v>100681.87138793721</v>
          </cell>
          <cell r="J56">
            <v>216.05099999999999</v>
          </cell>
          <cell r="K56">
            <v>21752418.99523522</v>
          </cell>
          <cell r="L56">
            <v>216.05099999999999</v>
          </cell>
        </row>
        <row r="57">
          <cell r="D57" t="str">
            <v>14-03-020</v>
          </cell>
          <cell r="E57" t="str">
            <v>E-204</v>
          </cell>
          <cell r="G57" t="str">
            <v>LLENOS EN SUB-BASE GRANULAR</v>
          </cell>
          <cell r="H57" t="str">
            <v>M3</v>
          </cell>
          <cell r="I57">
            <v>88719.371387937208</v>
          </cell>
          <cell r="J57">
            <v>302.48679999999996</v>
          </cell>
          <cell r="K57">
            <v>26836438.749148682</v>
          </cell>
          <cell r="L57">
            <v>302.48679999999996</v>
          </cell>
        </row>
        <row r="58">
          <cell r="D58" t="str">
            <v>14-03-030</v>
          </cell>
          <cell r="E58" t="str">
            <v>E-204</v>
          </cell>
          <cell r="G58" t="str">
            <v>LLENOS EN ARENILLA</v>
          </cell>
          <cell r="H58" t="str">
            <v>M3</v>
          </cell>
          <cell r="I58">
            <v>72634.719710043733</v>
          </cell>
          <cell r="J58">
            <v>396.09679999999992</v>
          </cell>
          <cell r="K58">
            <v>28770380.046045244</v>
          </cell>
          <cell r="L58">
            <v>396.09679999999992</v>
          </cell>
        </row>
        <row r="59">
          <cell r="D59" t="str">
            <v>14-03-040</v>
          </cell>
          <cell r="E59" t="str">
            <v>E-204</v>
          </cell>
          <cell r="G59" t="str">
            <v>LLENOS EN MATERIAL SOBRANTE, PROVENIENTE DE LAS EXCAVACIONES</v>
          </cell>
          <cell r="H59" t="str">
            <v>M3</v>
          </cell>
          <cell r="I59">
            <v>29006.040910043728</v>
          </cell>
          <cell r="J59">
            <v>328.06400000000008</v>
          </cell>
          <cell r="K59">
            <v>9515837.8051125873</v>
          </cell>
          <cell r="L59">
            <v>328.06400000000008</v>
          </cell>
        </row>
        <row r="60">
          <cell r="D60" t="str">
            <v>14-03-050</v>
          </cell>
          <cell r="E60" t="str">
            <v>E-204</v>
          </cell>
          <cell r="G60" t="str">
            <v>TRITURADO 3/4" PARA CIMENTACION</v>
          </cell>
          <cell r="H60" t="str">
            <v>M3</v>
          </cell>
          <cell r="I60">
            <v>125167.30226373942</v>
          </cell>
          <cell r="J60">
            <v>192.96420000000001</v>
          </cell>
          <cell r="K60">
            <v>24152808.347480666</v>
          </cell>
          <cell r="L60">
            <v>192.96420000000001</v>
          </cell>
        </row>
        <row r="61">
          <cell r="D61" t="str">
            <v>14-04</v>
          </cell>
          <cell r="G61" t="str">
            <v>ACUEDUCTO - TUBERIA</v>
          </cell>
          <cell r="H61">
            <v>0</v>
          </cell>
          <cell r="I61">
            <v>0</v>
          </cell>
          <cell r="J61">
            <v>0</v>
          </cell>
          <cell r="K61">
            <v>27394047.494271085</v>
          </cell>
          <cell r="L61">
            <v>0</v>
          </cell>
        </row>
        <row r="62">
          <cell r="D62" t="str">
            <v>14-04-005</v>
          </cell>
          <cell r="E62" t="str">
            <v>E-701.3</v>
          </cell>
          <cell r="G62" t="str">
            <v>TUBERIA PVC Ø75 MM RDE 21</v>
          </cell>
          <cell r="H62" t="str">
            <v>M</v>
          </cell>
          <cell r="I62">
            <v>37180.769692813439</v>
          </cell>
          <cell r="J62">
            <v>736.78</v>
          </cell>
          <cell r="K62">
            <v>27394047.494271085</v>
          </cell>
          <cell r="L62">
            <v>736.78</v>
          </cell>
        </row>
        <row r="63">
          <cell r="D63" t="str">
            <v>14-05</v>
          </cell>
          <cell r="G63" t="str">
            <v>ACUEDUCTO - ACCESORIOS</v>
          </cell>
          <cell r="H63">
            <v>0</v>
          </cell>
          <cell r="I63">
            <v>0</v>
          </cell>
          <cell r="J63">
            <v>0</v>
          </cell>
          <cell r="K63">
            <v>11503238.89214471</v>
          </cell>
          <cell r="L63">
            <v>0</v>
          </cell>
        </row>
        <row r="64">
          <cell r="D64" t="str">
            <v>14-05-003</v>
          </cell>
          <cell r="E64" t="str">
            <v>E-701.3</v>
          </cell>
          <cell r="G64" t="str">
            <v>TEE PVC Ø75 MM X 75 MM</v>
          </cell>
          <cell r="H64" t="str">
            <v>U</v>
          </cell>
          <cell r="I64">
            <v>29487.395359050744</v>
          </cell>
          <cell r="J64">
            <v>4</v>
          </cell>
          <cell r="K64">
            <v>117949.58143620298</v>
          </cell>
          <cell r="L64">
            <v>4</v>
          </cell>
        </row>
        <row r="65">
          <cell r="D65" t="str">
            <v>14-05-067</v>
          </cell>
          <cell r="E65" t="str">
            <v>E-701.3</v>
          </cell>
          <cell r="G65" t="str">
            <v>CODO 45° PVC Ø75 MM</v>
          </cell>
          <cell r="H65" t="str">
            <v>U</v>
          </cell>
          <cell r="I65">
            <v>53091.312698813432</v>
          </cell>
          <cell r="J65">
            <v>4</v>
          </cell>
          <cell r="K65">
            <v>212365.25079525373</v>
          </cell>
          <cell r="L65">
            <v>4</v>
          </cell>
        </row>
        <row r="66">
          <cell r="D66" t="str">
            <v>14-05-100</v>
          </cell>
          <cell r="E66" t="str">
            <v>E-703</v>
          </cell>
          <cell r="G66" t="str">
            <v>HIDRANTE Ø75 MM</v>
          </cell>
          <cell r="H66" t="str">
            <v>U</v>
          </cell>
          <cell r="I66">
            <v>4101981.8539076494</v>
          </cell>
          <cell r="J66">
            <v>2</v>
          </cell>
          <cell r="K66">
            <v>8203963.7078152988</v>
          </cell>
          <cell r="L66">
            <v>2</v>
          </cell>
        </row>
        <row r="67">
          <cell r="D67" t="str">
            <v>14-05-150</v>
          </cell>
          <cell r="E67" t="str">
            <v>E-701.3</v>
          </cell>
          <cell r="G67" t="str">
            <v>CODO 90° PVC Ø75 MM</v>
          </cell>
          <cell r="H67" t="str">
            <v>U</v>
          </cell>
          <cell r="I67">
            <v>79200.039397626882</v>
          </cell>
          <cell r="J67">
            <v>5</v>
          </cell>
          <cell r="K67">
            <v>396000.19698813441</v>
          </cell>
          <cell r="L67">
            <v>5</v>
          </cell>
        </row>
        <row r="68">
          <cell r="D68" t="str">
            <v>14-05-160</v>
          </cell>
          <cell r="E68" t="str">
            <v>E-701.3</v>
          </cell>
          <cell r="G68" t="str">
            <v>CODO 22.5° PVC Ø75 MM</v>
          </cell>
          <cell r="H68" t="str">
            <v>U</v>
          </cell>
          <cell r="I68">
            <v>62813.067397626859</v>
          </cell>
          <cell r="J68">
            <v>9</v>
          </cell>
          <cell r="K68">
            <v>565317.60657864169</v>
          </cell>
          <cell r="L68">
            <v>9</v>
          </cell>
        </row>
        <row r="69">
          <cell r="D69" t="str">
            <v>14-05-170</v>
          </cell>
          <cell r="E69" t="str">
            <v>E-701.3</v>
          </cell>
          <cell r="G69" t="str">
            <v>CODO 11.25° PVC Ø75 MM</v>
          </cell>
          <cell r="H69" t="str">
            <v>U</v>
          </cell>
          <cell r="I69">
            <v>59978.781397626852</v>
          </cell>
          <cell r="J69">
            <v>27</v>
          </cell>
          <cell r="K69">
            <v>1619427.0977359251</v>
          </cell>
          <cell r="L69">
            <v>27</v>
          </cell>
        </row>
        <row r="70">
          <cell r="D70" t="str">
            <v>14-05-330</v>
          </cell>
          <cell r="E70" t="str">
            <v>E-701.2</v>
          </cell>
          <cell r="G70" t="str">
            <v>TAPON PVC Ø75 MM</v>
          </cell>
          <cell r="H70" t="str">
            <v>U</v>
          </cell>
          <cell r="I70">
            <v>97053.86269881342</v>
          </cell>
          <cell r="J70">
            <v>4</v>
          </cell>
          <cell r="K70">
            <v>388215.45079525368</v>
          </cell>
          <cell r="L70">
            <v>4</v>
          </cell>
        </row>
        <row r="71">
          <cell r="D71" t="str">
            <v>14-06</v>
          </cell>
          <cell r="G71" t="str">
            <v>ACUEDUCTO - VALVULAS</v>
          </cell>
          <cell r="H71">
            <v>0</v>
          </cell>
          <cell r="I71">
            <v>0</v>
          </cell>
          <cell r="J71">
            <v>0</v>
          </cell>
          <cell r="K71">
            <v>700380.65024110069</v>
          </cell>
          <cell r="L71">
            <v>0</v>
          </cell>
        </row>
        <row r="72">
          <cell r="D72" t="str">
            <v>14-06-050</v>
          </cell>
          <cell r="E72" t="str">
            <v>E-702.1</v>
          </cell>
          <cell r="G72" t="str">
            <v>VALVULA DE COMPUERTA Ø75 MM</v>
          </cell>
          <cell r="H72" t="str">
            <v>U</v>
          </cell>
          <cell r="I72">
            <v>700380.65024110069</v>
          </cell>
          <cell r="J72">
            <v>1</v>
          </cell>
          <cell r="K72">
            <v>700380.65024110069</v>
          </cell>
          <cell r="L72">
            <v>1</v>
          </cell>
        </row>
        <row r="73">
          <cell r="D73" t="str">
            <v>14-07</v>
          </cell>
          <cell r="G73" t="str">
            <v>ANCLAJES</v>
          </cell>
          <cell r="H73">
            <v>0</v>
          </cell>
          <cell r="I73">
            <v>0</v>
          </cell>
          <cell r="J73">
            <v>0</v>
          </cell>
          <cell r="K73">
            <v>2916041.1351433937</v>
          </cell>
          <cell r="L73">
            <v>0</v>
          </cell>
        </row>
        <row r="74">
          <cell r="D74" t="str">
            <v>14-07-010</v>
          </cell>
          <cell r="E74" t="str">
            <v>E-503</v>
          </cell>
          <cell r="G74" t="str">
            <v>ANCLAJE Y DADOS EN CONCRETO</v>
          </cell>
          <cell r="H74" t="str">
            <v>M3</v>
          </cell>
          <cell r="I74">
            <v>660425.13365570363</v>
          </cell>
          <cell r="J74">
            <v>4.4154</v>
          </cell>
          <cell r="K74">
            <v>2916041.1351433937</v>
          </cell>
          <cell r="L74">
            <v>4.4154</v>
          </cell>
        </row>
        <row r="75">
          <cell r="D75" t="str">
            <v>14-11</v>
          </cell>
          <cell r="G75" t="str">
            <v>TUBERIAS PVC NOVAFORT O EQUIVALENTE</v>
          </cell>
          <cell r="H75">
            <v>0</v>
          </cell>
          <cell r="I75">
            <v>0</v>
          </cell>
          <cell r="J75">
            <v>0</v>
          </cell>
          <cell r="K75">
            <v>58509686.09279988</v>
          </cell>
          <cell r="L75">
            <v>0</v>
          </cell>
        </row>
        <row r="76">
          <cell r="D76" t="str">
            <v>14-11-005</v>
          </cell>
          <cell r="E76" t="str">
            <v>E-701.3</v>
          </cell>
          <cell r="G76" t="str">
            <v>TUBERIA PVC NOVAFORT O EQUIVALENTE DE Ø200 MM</v>
          </cell>
          <cell r="H76" t="str">
            <v>M</v>
          </cell>
          <cell r="I76">
            <v>56942.490056000104</v>
          </cell>
          <cell r="J76">
            <v>233.13400000000001</v>
          </cell>
          <cell r="K76">
            <v>13275230.476715529</v>
          </cell>
          <cell r="L76">
            <v>233.13400000000001</v>
          </cell>
        </row>
        <row r="77">
          <cell r="D77" t="str">
            <v>14-11-010</v>
          </cell>
          <cell r="E77" t="str">
            <v>E-701.3</v>
          </cell>
          <cell r="G77" t="str">
            <v>TUBERIA PVC NOVAFORT O EQUIVALENTE DE Ø250 MM</v>
          </cell>
          <cell r="H77" t="str">
            <v>M</v>
          </cell>
          <cell r="I77">
            <v>82784.038189333427</v>
          </cell>
          <cell r="J77">
            <v>119.82300000000002</v>
          </cell>
          <cell r="K77">
            <v>9919431.8079605009</v>
          </cell>
          <cell r="L77">
            <v>119.82300000000002</v>
          </cell>
        </row>
        <row r="78">
          <cell r="D78" t="str">
            <v>14-11-017</v>
          </cell>
          <cell r="E78" t="str">
            <v>E-701.3</v>
          </cell>
          <cell r="G78" t="str">
            <v>TUBERIA PVC NOVAFORT O EQUIVALENTE DE Ø315 MM</v>
          </cell>
          <cell r="H78" t="str">
            <v>M</v>
          </cell>
          <cell r="I78">
            <v>122963.49653070346</v>
          </cell>
          <cell r="J78">
            <v>184.99800000000002</v>
          </cell>
          <cell r="K78">
            <v>22748000.931187082</v>
          </cell>
          <cell r="L78">
            <v>184.99800000000002</v>
          </cell>
        </row>
        <row r="79">
          <cell r="D79" t="str">
            <v>14-11-020</v>
          </cell>
          <cell r="E79" t="str">
            <v>E-701.3</v>
          </cell>
          <cell r="G79" t="str">
            <v>TUBERIA PVC NOVAFORT O EQUIVALENTE DE Ø350 MM</v>
          </cell>
          <cell r="H79" t="str">
            <v>M</v>
          </cell>
          <cell r="I79">
            <v>145907.61496501532</v>
          </cell>
          <cell r="J79">
            <v>71.313000000000002</v>
          </cell>
          <cell r="K79">
            <v>10405109.746000139</v>
          </cell>
          <cell r="L79">
            <v>71.313000000000002</v>
          </cell>
        </row>
        <row r="80">
          <cell r="D80" t="str">
            <v>14-11-025</v>
          </cell>
          <cell r="E80" t="str">
            <v>E-701.3</v>
          </cell>
          <cell r="G80" t="str">
            <v>TUBERIA PVC NOVAFORT O EQUIVALENTE DE Ø400 MM</v>
          </cell>
          <cell r="H80" t="str">
            <v>M</v>
          </cell>
          <cell r="I80">
            <v>145907.61496501532</v>
          </cell>
          <cell r="J80">
            <v>14.817000000000002</v>
          </cell>
          <cell r="K80">
            <v>2161913.1309366324</v>
          </cell>
          <cell r="L80">
            <v>14.817000000000002</v>
          </cell>
        </row>
        <row r="81">
          <cell r="D81" t="str">
            <v>14-12</v>
          </cell>
          <cell r="G81" t="str">
            <v>OBRAS CIVILES</v>
          </cell>
          <cell r="H81">
            <v>0</v>
          </cell>
          <cell r="I81">
            <v>0</v>
          </cell>
          <cell r="J81">
            <v>0</v>
          </cell>
          <cell r="K81">
            <v>78347580.428692758</v>
          </cell>
          <cell r="L81">
            <v>0</v>
          </cell>
        </row>
        <row r="82">
          <cell r="D82" t="str">
            <v>14-12-010</v>
          </cell>
          <cell r="E82" t="str">
            <v>E-808</v>
          </cell>
          <cell r="G82" t="str">
            <v>CONSTRUCCION DE BASE Y CAÑUELA PARA CAMARA DE INSPECCION DE Ø1.20M EN CONCRETO DE 28 MPa. INCLUYE TODOS LOS ELEMENTOS NECESARIOS PARA SU CORRECTA INSTALACION Y FUNCIONAMIENTO.</v>
          </cell>
          <cell r="H82" t="str">
            <v>U</v>
          </cell>
          <cell r="I82">
            <v>337377.46519732097</v>
          </cell>
          <cell r="J82">
            <v>30</v>
          </cell>
          <cell r="K82">
            <v>10121323.955919629</v>
          </cell>
          <cell r="L82">
            <v>30</v>
          </cell>
        </row>
        <row r="83">
          <cell r="D83" t="str">
            <v>14-12-012</v>
          </cell>
          <cell r="E83" t="str">
            <v>E-808</v>
          </cell>
          <cell r="G83" t="str">
            <v>CONSTRUCCION DE CONO PREFABRICADO PARA CAMARA DE INSPECCION DE Ø1.20M EN CONCRETO DE 28 MPa. INCLUYE TODOS LOS ELEMENTOS NECESARIOS PARA SU CORRECTA INSTALACION Y FUNCIONAMIENTO.</v>
          </cell>
          <cell r="H83" t="str">
            <v>U</v>
          </cell>
          <cell r="I83">
            <v>485096.48532580654</v>
          </cell>
          <cell r="J83">
            <v>30</v>
          </cell>
          <cell r="K83">
            <v>14552894.559774196</v>
          </cell>
          <cell r="L83">
            <v>30</v>
          </cell>
        </row>
        <row r="84">
          <cell r="D84" t="str">
            <v>14-12-014</v>
          </cell>
          <cell r="E84" t="str">
            <v>E-808</v>
          </cell>
          <cell r="G84" t="str">
            <v>CONSTRUCCION DE CUELLO Y TAPA PREFABRICADOS PARA CAMARA DE INSPECCION DE Ø1.20M EN CONCRETO DE 28 MPa. INCLUYE TODOS LOS ELEMENTOS NECESARIOS PARA SU CORRECTA INSTALACION Y FUNCIONAMIENTO.</v>
          </cell>
          <cell r="H84" t="str">
            <v>U</v>
          </cell>
          <cell r="I84">
            <v>341418.04094890517</v>
          </cell>
          <cell r="J84">
            <v>30</v>
          </cell>
          <cell r="K84">
            <v>10242541.228467155</v>
          </cell>
          <cell r="L84">
            <v>30</v>
          </cell>
        </row>
        <row r="85">
          <cell r="D85" t="str">
            <v>14-12-020</v>
          </cell>
          <cell r="E85" t="str">
            <v>E-808</v>
          </cell>
          <cell r="G85" t="str">
            <v>CONSTRUCCION DE CILINDRO PREFABRICADO PARA CAMARA DE INSPECCION DE Ø1.20M EN CONCRETO DE 28 MPa. INCLUYE TODOS LOS ELEMENTOS NECESARIOS PARA SU CORRECTA INSTALACION Y FUNCIONAMIENTO. LOS GANCHOS SE PAGARAN EN SU RESPECTIVO ITEM.</v>
          </cell>
          <cell r="H85" t="str">
            <v>M</v>
          </cell>
          <cell r="I85">
            <v>845080.54601139121</v>
          </cell>
          <cell r="J85">
            <v>22.946000000000002</v>
          </cell>
          <cell r="K85">
            <v>19391218.208777383</v>
          </cell>
          <cell r="L85">
            <v>22.946000000000002</v>
          </cell>
        </row>
        <row r="86">
          <cell r="D86" t="str">
            <v>14-12-030</v>
          </cell>
          <cell r="E86" t="str">
            <v>E-818</v>
          </cell>
          <cell r="G86" t="str">
            <v>CONSTRUCCION DE SUMIDERO TIPO B</v>
          </cell>
          <cell r="H86" t="str">
            <v>U</v>
          </cell>
          <cell r="I86">
            <v>601219.86713087792</v>
          </cell>
          <cell r="J86">
            <v>9</v>
          </cell>
          <cell r="K86">
            <v>5410978.8041779008</v>
          </cell>
          <cell r="L86">
            <v>9</v>
          </cell>
        </row>
        <row r="87">
          <cell r="D87" t="str">
            <v>14-12-050</v>
          </cell>
          <cell r="E87" t="str">
            <v>E-808</v>
          </cell>
          <cell r="G87" t="str">
            <v>RECUBRIMIENTO PARA PROTECCION DE CAÑUELAS CON EL FIN DE PREVENIR DESGASTES DEBIDO A ALTAS VELOCIDADES</v>
          </cell>
          <cell r="H87" t="str">
            <v>U</v>
          </cell>
          <cell r="I87">
            <v>58132.157948813423</v>
          </cell>
          <cell r="J87">
            <v>12</v>
          </cell>
          <cell r="K87">
            <v>697585.89538576105</v>
          </cell>
          <cell r="L87">
            <v>12</v>
          </cell>
        </row>
        <row r="88">
          <cell r="D88" t="str">
            <v>14-12-060</v>
          </cell>
          <cell r="E88" t="str">
            <v>E-811</v>
          </cell>
          <cell r="G88" t="str">
            <v>ADECUACION DE CAMARAS EXISTENTES PARA EMPALMES CON LA RED PROYECTADA, YA SEA REALZAR O PROFUNDIZAR LA CAMARA.</v>
          </cell>
          <cell r="H88" t="str">
            <v>U</v>
          </cell>
          <cell r="I88">
            <v>745190.05336923769</v>
          </cell>
          <cell r="J88">
            <v>23</v>
          </cell>
          <cell r="K88">
            <v>17139371.227492467</v>
          </cell>
          <cell r="L88">
            <v>23</v>
          </cell>
        </row>
        <row r="89">
          <cell r="D89" t="str">
            <v>14-12-070</v>
          </cell>
          <cell r="E89" t="str">
            <v>E-813</v>
          </cell>
          <cell r="G89" t="str">
            <v>CONSTRUCCION DE CAMARA DE CAIDA</v>
          </cell>
          <cell r="H89" t="str">
            <v>U</v>
          </cell>
          <cell r="I89">
            <v>791666.54869825672</v>
          </cell>
          <cell r="J89">
            <v>1</v>
          </cell>
          <cell r="K89">
            <v>791666.54869825672</v>
          </cell>
          <cell r="L89">
            <v>1</v>
          </cell>
        </row>
        <row r="90">
          <cell r="D90" t="str">
            <v>14-20</v>
          </cell>
          <cell r="G90" t="str">
            <v>REDES DE GAS</v>
          </cell>
          <cell r="H90">
            <v>0</v>
          </cell>
          <cell r="I90">
            <v>0</v>
          </cell>
          <cell r="J90">
            <v>0</v>
          </cell>
          <cell r="K90">
            <v>15458631.225491753</v>
          </cell>
          <cell r="L90">
            <v>0</v>
          </cell>
        </row>
        <row r="91">
          <cell r="D91" t="str">
            <v>14-20-020</v>
          </cell>
          <cell r="E91" t="str">
            <v>E-1101</v>
          </cell>
          <cell r="G91"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91" t="str">
            <v>M</v>
          </cell>
          <cell r="I91">
            <v>23747.430698813427</v>
          </cell>
          <cell r="J91">
            <v>418.99</v>
          </cell>
          <cell r="K91">
            <v>9949935.9884958379</v>
          </cell>
          <cell r="L91">
            <v>418.99</v>
          </cell>
        </row>
        <row r="92">
          <cell r="D92" t="str">
            <v>14-20-030</v>
          </cell>
          <cell r="E92" t="str">
            <v>E-1101</v>
          </cell>
          <cell r="G92"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92" t="str">
            <v>M</v>
          </cell>
          <cell r="I92">
            <v>45738.774038576114</v>
          </cell>
          <cell r="J92">
            <v>67.760000000000005</v>
          </cell>
          <cell r="K92">
            <v>3099259.3288539178</v>
          </cell>
          <cell r="L92">
            <v>67.760000000000005</v>
          </cell>
        </row>
        <row r="93">
          <cell r="D93" t="str">
            <v>14-20-040</v>
          </cell>
          <cell r="E93" t="str">
            <v>E-1102</v>
          </cell>
          <cell r="G93" t="str">
            <v>SUMINISTRO, TRANSPORTE E INSTALACION DE UNION DE 32 MM EN POLIETILENO. INCLUYE SUMINISTRO Y TRANSPORTE DE LOS MATERIALES, TERMOFUSION DEL ACCESORIO Y TODOS LOS ELEMENTOS NECESARIOS PARA SU CORRECTA INSTALACION Y FUNCIONAMIENTO.</v>
          </cell>
          <cell r="H93" t="str">
            <v>U</v>
          </cell>
          <cell r="I93">
            <v>95663.157413999987</v>
          </cell>
          <cell r="J93">
            <v>3</v>
          </cell>
          <cell r="K93">
            <v>286989.47224199993</v>
          </cell>
          <cell r="L93">
            <v>3</v>
          </cell>
        </row>
        <row r="94">
          <cell r="D94" t="str">
            <v>14-20-050</v>
          </cell>
          <cell r="E94" t="str">
            <v>E-1103</v>
          </cell>
          <cell r="G94" t="str">
            <v>SUMINISTRO, TRANSPORTE E INSTALACION DE POLIVALVULA DE 32 MM EN POLIETILENO. INCLUYE SUMINISTRO Y TRANSPORTE DE LOS MATERIALES, TERMOFUSION DEL ACCESORIO Y TODOS LOS ELEMENTOS NECESARIOS PARA SU CORRECTA INSTALACION Y FUNCIONAMIENTO.</v>
          </cell>
          <cell r="H94" t="str">
            <v>U</v>
          </cell>
          <cell r="I94">
            <v>393183.95388199994</v>
          </cell>
          <cell r="J94">
            <v>2</v>
          </cell>
          <cell r="K94">
            <v>786367.90776399989</v>
          </cell>
          <cell r="L94">
            <v>2</v>
          </cell>
        </row>
        <row r="95">
          <cell r="D95" t="str">
            <v>14-20-075</v>
          </cell>
          <cell r="E95" t="str">
            <v>E-1102</v>
          </cell>
          <cell r="G95" t="str">
            <v>SUMINISTRO, TRANSPORTE E INSTALACION DE TEE DE 32X25MM EN POLIETILENO. INCLUYE SUMINISTRO Y TRANSPORTE DE LOS MATERIALES, TERMOFUSION DEL ACCESORIO Y TODOS LOS ELEMENTOS NECESARIOS PARA SU CORRECTA INSTALACION Y FUNCIONAMIENTO.</v>
          </cell>
          <cell r="H95" t="str">
            <v>U</v>
          </cell>
          <cell r="I95">
            <v>116327.41991799999</v>
          </cell>
          <cell r="J95">
            <v>2</v>
          </cell>
          <cell r="K95">
            <v>232654.83983599997</v>
          </cell>
          <cell r="L95">
            <v>2</v>
          </cell>
        </row>
        <row r="96">
          <cell r="D96" t="str">
            <v>14-20-080</v>
          </cell>
          <cell r="E96" t="str">
            <v>E-1102</v>
          </cell>
          <cell r="G96" t="str">
            <v>SUMINISTRO, TRANSPORTE E INSTALACION DE TEE DE 32 MM EN POLIETILENO. INCLUYE SUMINISTRO Y TRANSPORTE DE LOS MATERIALES, TERMOFUSION DEL ACCESORIO Y TODOS LOS ELEMENTOS NECESARIOS PARA SU CORRECTA INSTALACION Y FUNCIONAMIENTO.</v>
          </cell>
          <cell r="H96" t="str">
            <v>U</v>
          </cell>
          <cell r="I96">
            <v>122011.41991799999</v>
          </cell>
          <cell r="J96">
            <v>2</v>
          </cell>
          <cell r="K96">
            <v>244022.83983599997</v>
          </cell>
          <cell r="L96">
            <v>2</v>
          </cell>
        </row>
        <row r="97">
          <cell r="D97" t="str">
            <v>14-20-110</v>
          </cell>
          <cell r="E97" t="str">
            <v>E-1102</v>
          </cell>
          <cell r="G97" t="str">
            <v>SUMINISTRO, TRANSPORTE E INSTALACION DE TAPON DE 32MM EN POLIETILENO. INCLUYE SUMINISTRO Y TRANSPORTE DE LOS MATERIALES, TERMOFUSION DEL ACCESORIO Y TODOS LOS ELEMENTOS NECESARIOS PARA SU CORRECTA INSTALACION Y FUNCIONAMIENTO.</v>
          </cell>
          <cell r="H97" t="str">
            <v>U</v>
          </cell>
          <cell r="I97">
            <v>91100.152935999999</v>
          </cell>
          <cell r="J97">
            <v>3</v>
          </cell>
          <cell r="K97">
            <v>273300.45880799997</v>
          </cell>
          <cell r="L97">
            <v>3</v>
          </cell>
        </row>
        <row r="98">
          <cell r="D98" t="str">
            <v>14-20-120</v>
          </cell>
          <cell r="E98" t="str">
            <v>E-1102</v>
          </cell>
          <cell r="G98" t="str">
            <v>SUMINISTRO, TRANSPORTE E INSTALACION DE UNION DE 90 MM EN POLIETILENO. INCLUYE SUMINISTRO Y TRANSPORTE DE LOS MATERIALES, TERMOFUSION DEL ACCESORIO Y TODOS LOS ELEMENTOS NECESARIOS PARA SU CORRECTA INSTALACION Y FUNCIONAMIENTO.</v>
          </cell>
          <cell r="H98" t="str">
            <v>U</v>
          </cell>
          <cell r="I98">
            <v>152243.31741399999</v>
          </cell>
          <cell r="J98">
            <v>2</v>
          </cell>
          <cell r="K98">
            <v>304486.63482799998</v>
          </cell>
          <cell r="L98">
            <v>2</v>
          </cell>
        </row>
        <row r="99">
          <cell r="D99" t="str">
            <v>14-20-130</v>
          </cell>
          <cell r="E99" t="str">
            <v>E-1102</v>
          </cell>
          <cell r="G99" t="str">
            <v>SUMINISTRO, TRANSPORTE E INSTALACION DE TEE DE 90 MM EN POLIETILENO. INCLUYE SUMINISTRO Y TRANSPORTE DE LOS MATERIALES, TERMOFUSION DEL ACCESORIO Y TODOS LOS ELEMENTOS NECESARIOS PARA SU CORRECTA INSTALACION Y FUNCIONAMIENTO.</v>
          </cell>
          <cell r="H99" t="str">
            <v>U</v>
          </cell>
          <cell r="I99">
            <v>140806.87741399999</v>
          </cell>
          <cell r="J99">
            <v>2</v>
          </cell>
          <cell r="K99">
            <v>281613.75482799998</v>
          </cell>
          <cell r="L99">
            <v>2</v>
          </cell>
        </row>
        <row r="100">
          <cell r="D100" t="str">
            <v>15</v>
          </cell>
          <cell r="G100" t="str">
            <v>INSTALACIONES ELECTRICAS</v>
          </cell>
          <cell r="H100">
            <v>0</v>
          </cell>
          <cell r="I100">
            <v>0</v>
          </cell>
          <cell r="J100">
            <v>0</v>
          </cell>
          <cell r="K100">
            <v>382961701.30338186</v>
          </cell>
          <cell r="L100">
            <v>0</v>
          </cell>
        </row>
        <row r="101">
          <cell r="D101" t="str">
            <v>15-01</v>
          </cell>
          <cell r="G101" t="str">
            <v>INSTALACIONES ELECTRICAS</v>
          </cell>
          <cell r="H101">
            <v>0</v>
          </cell>
          <cell r="I101">
            <v>0</v>
          </cell>
          <cell r="J101">
            <v>0</v>
          </cell>
          <cell r="K101">
            <v>99433683.090386659</v>
          </cell>
          <cell r="L101">
            <v>0</v>
          </cell>
        </row>
        <row r="102">
          <cell r="D102" t="str">
            <v>15-01-010</v>
          </cell>
          <cell r="E102" t="str">
            <v>E-GRUPO 0 A 7</v>
          </cell>
          <cell r="G102" t="str">
            <v>SUMINISTRO, MONTAJE Y PUESTA EN OPERACION DE: POSTE DE CONCRETO DE 12M, 1050KG.</v>
          </cell>
          <cell r="H102" t="str">
            <v>U</v>
          </cell>
          <cell r="I102">
            <v>2246445.5451471992</v>
          </cell>
          <cell r="J102">
            <v>6</v>
          </cell>
          <cell r="K102">
            <v>13478673.270883195</v>
          </cell>
          <cell r="L102">
            <v>6</v>
          </cell>
        </row>
        <row r="103">
          <cell r="D103" t="str">
            <v>15-01-028</v>
          </cell>
          <cell r="E103" t="str">
            <v>E-RA3-026</v>
          </cell>
          <cell r="G103" t="str">
            <v>SUMINISTRO, MONTAJE Y PUESTA EN OPERACION DE: TRASLADO DE TRANSFORMADOR MONOFASICO EXISTENTE SEGUN NORMA RA3-026.</v>
          </cell>
          <cell r="H103" t="str">
            <v>U</v>
          </cell>
          <cell r="I103">
            <v>316648.63166625006</v>
          </cell>
          <cell r="J103">
            <v>1</v>
          </cell>
          <cell r="K103">
            <v>316648.63166625006</v>
          </cell>
          <cell r="L103">
            <v>1</v>
          </cell>
        </row>
        <row r="104">
          <cell r="D104" t="str">
            <v>15-01-040</v>
          </cell>
          <cell r="E104" t="str">
            <v>E-RA6-002</v>
          </cell>
          <cell r="G104" t="str">
            <v>SUMINISTRO, MONTAJE Y PUESTA EN OPERACION DE: GRUPO DE NORMA RA6-002.</v>
          </cell>
          <cell r="H104" t="str">
            <v>U</v>
          </cell>
          <cell r="I104">
            <v>446044.49975573999</v>
          </cell>
          <cell r="J104">
            <v>10</v>
          </cell>
          <cell r="K104">
            <v>4460444.9975573998</v>
          </cell>
          <cell r="L104">
            <v>10</v>
          </cell>
        </row>
        <row r="105">
          <cell r="D105" t="str">
            <v>15-01-050</v>
          </cell>
          <cell r="E105" t="str">
            <v>E-RA6-003</v>
          </cell>
          <cell r="G105" t="str">
            <v>SUMINISTRO, MONTAJE Y PUESTA EN OPERACION DE: GRUPO DE NORMA RA6-003.</v>
          </cell>
          <cell r="H105" t="str">
            <v>U</v>
          </cell>
          <cell r="I105">
            <v>1571350.1514872287</v>
          </cell>
          <cell r="J105">
            <v>1</v>
          </cell>
          <cell r="K105">
            <v>1571350.1514872287</v>
          </cell>
          <cell r="L105">
            <v>1</v>
          </cell>
        </row>
        <row r="106">
          <cell r="D106" t="str">
            <v>15-01-062</v>
          </cell>
          <cell r="E106" t="str">
            <v>E-RA2-007</v>
          </cell>
          <cell r="G106" t="str">
            <v>SUMINISTRO, MONTAJE Y PUESTA EN OPERACION DE: GRUPO DE NORMA RA2-007.</v>
          </cell>
          <cell r="H106" t="str">
            <v>U</v>
          </cell>
          <cell r="I106">
            <v>1539124.9051037515</v>
          </cell>
          <cell r="J106">
            <v>2</v>
          </cell>
          <cell r="K106">
            <v>3078249.8102075029</v>
          </cell>
          <cell r="L106">
            <v>2</v>
          </cell>
        </row>
        <row r="107">
          <cell r="D107" t="str">
            <v>15-01-068</v>
          </cell>
          <cell r="E107" t="str">
            <v>E-RA2-026</v>
          </cell>
          <cell r="G107" t="str">
            <v>SUMINISTRO, MONTAJE Y PUESTA EN OPERACION DE: GRUPO DE NORMA RA2-026.</v>
          </cell>
          <cell r="H107" t="str">
            <v>U</v>
          </cell>
          <cell r="I107">
            <v>3635888.2761261384</v>
          </cell>
          <cell r="J107">
            <v>1</v>
          </cell>
          <cell r="K107">
            <v>3635888.2761261384</v>
          </cell>
          <cell r="L107">
            <v>1</v>
          </cell>
        </row>
        <row r="108">
          <cell r="D108" t="str">
            <v>15-01-120</v>
          </cell>
          <cell r="E108" t="str">
            <v>E-RA2-302</v>
          </cell>
          <cell r="G108" t="str">
            <v>SUMINISTRO, MONTAJE Y PUESTA EN OPERACION DE: GRUPO DE NORMA RA2-302.</v>
          </cell>
          <cell r="H108" t="str">
            <v>U</v>
          </cell>
          <cell r="I108">
            <v>862567.00394501269</v>
          </cell>
          <cell r="J108">
            <v>1</v>
          </cell>
          <cell r="K108">
            <v>862567.00394501269</v>
          </cell>
          <cell r="L108">
            <v>1</v>
          </cell>
        </row>
        <row r="109">
          <cell r="D109" t="str">
            <v>15-01-122</v>
          </cell>
          <cell r="E109" t="str">
            <v>E-RA2-302/2</v>
          </cell>
          <cell r="G109" t="str">
            <v>SUMINISTRO, MONTAJE Y PUESTA EN OPERACION DE: GRUPO DE NORMA RA2-302/2.</v>
          </cell>
          <cell r="H109" t="str">
            <v>U</v>
          </cell>
          <cell r="I109">
            <v>663029.9414818089</v>
          </cell>
          <cell r="J109">
            <v>3</v>
          </cell>
          <cell r="K109">
            <v>1989089.8244454267</v>
          </cell>
          <cell r="L109">
            <v>3</v>
          </cell>
        </row>
        <row r="110">
          <cell r="D110" t="str">
            <v>15-01-125</v>
          </cell>
          <cell r="E110" t="str">
            <v>E-RA2-303</v>
          </cell>
          <cell r="G110" t="str">
            <v>SUMINISTRO, MONTAJE Y PUESTA EN OPERACION DE: GRUPO DE NORMA RA2-303.</v>
          </cell>
          <cell r="H110" t="str">
            <v>U</v>
          </cell>
          <cell r="I110">
            <v>1112627.5039450126</v>
          </cell>
          <cell r="J110">
            <v>2</v>
          </cell>
          <cell r="K110">
            <v>2225255.0078900252</v>
          </cell>
          <cell r="L110">
            <v>2</v>
          </cell>
        </row>
        <row r="111">
          <cell r="D111" t="str">
            <v>15-01-137</v>
          </cell>
          <cell r="E111" t="str">
            <v>E-RA2-304/1</v>
          </cell>
          <cell r="G111" t="str">
            <v>SUMINISTRO, MONTAJE Y PUESTA EN OPERACION DE: GRUPO DE NORMA RA2-304/1.</v>
          </cell>
          <cell r="H111" t="str">
            <v>U</v>
          </cell>
          <cell r="I111">
            <v>1695146.9690753885</v>
          </cell>
          <cell r="J111">
            <v>2</v>
          </cell>
          <cell r="K111">
            <v>3390293.938150777</v>
          </cell>
          <cell r="L111">
            <v>2</v>
          </cell>
        </row>
        <row r="112">
          <cell r="D112" t="str">
            <v>15-01-139</v>
          </cell>
          <cell r="E112" t="str">
            <v>E-RA2-323</v>
          </cell>
          <cell r="G112" t="str">
            <v>SUMINISTRO, MONTAJE Y PUESTA EN OPERACION DE: GRUPO DE NORMA RA2-323.</v>
          </cell>
          <cell r="H112" t="str">
            <v>U</v>
          </cell>
          <cell r="I112">
            <v>1438225.7510912288</v>
          </cell>
          <cell r="J112">
            <v>3</v>
          </cell>
          <cell r="K112">
            <v>4314677.2532736864</v>
          </cell>
          <cell r="L112">
            <v>3</v>
          </cell>
        </row>
        <row r="113">
          <cell r="D113" t="str">
            <v>15-01-140</v>
          </cell>
          <cell r="E113" t="str">
            <v>E-RA6-010</v>
          </cell>
          <cell r="G113" t="str">
            <v>SUMINISTRO, MONTAJE Y PUESTA EN OPERACION DE: GRUPO DE NORMA RA6-010.</v>
          </cell>
          <cell r="H113" t="str">
            <v>U</v>
          </cell>
          <cell r="I113">
            <v>300663.25394501252</v>
          </cell>
          <cell r="J113">
            <v>6</v>
          </cell>
          <cell r="K113">
            <v>1803979.523670075</v>
          </cell>
          <cell r="L113">
            <v>6</v>
          </cell>
        </row>
        <row r="114">
          <cell r="D114" t="str">
            <v>15-01-170</v>
          </cell>
          <cell r="E114" t="str">
            <v>E-GRUPO 0 A 7</v>
          </cell>
          <cell r="G114" t="str">
            <v>SUMINISTRO, MONTAJE Y PUESTA EN OPERACION DE: LINEA 4X266.8 ACSR CUBIERTO.</v>
          </cell>
          <cell r="H114" t="str">
            <v>M</v>
          </cell>
          <cell r="I114">
            <v>128205.15909649877</v>
          </cell>
          <cell r="J114">
            <v>418.00000000000006</v>
          </cell>
          <cell r="K114">
            <v>53589756.502336495</v>
          </cell>
          <cell r="L114">
            <v>418.00000000000006</v>
          </cell>
        </row>
        <row r="115">
          <cell r="D115" t="str">
            <v>15-01-190</v>
          </cell>
          <cell r="E115" t="str">
            <v>E-RS3-002</v>
          </cell>
          <cell r="G115" t="str">
            <v>SUMINISTRO, MONTAJE Y PUESTA EN OPERACION DE: CAJAS DE PISO SEGUN NORMA RS3-002 COMPLETAS.</v>
          </cell>
          <cell r="H115" t="str">
            <v>U</v>
          </cell>
          <cell r="I115">
            <v>381159.61084921338</v>
          </cell>
          <cell r="J115">
            <v>1</v>
          </cell>
          <cell r="K115">
            <v>381159.61084921338</v>
          </cell>
          <cell r="L115">
            <v>1</v>
          </cell>
        </row>
        <row r="116">
          <cell r="D116" t="str">
            <v>15-01-270</v>
          </cell>
          <cell r="E116" t="str">
            <v>E-GRUPO 0 A 7</v>
          </cell>
          <cell r="G116" t="str">
            <v>RETIRO Y REINTEGRO A EMPRESAS PUBLICAS DE MEDELLIN DE POSTERIA DE CONCRETO DE 12 M. INCLUYE LAS RESPECTIVAS VESTIDAS Y VIENTOS.</v>
          </cell>
          <cell r="H116" t="str">
            <v>U</v>
          </cell>
          <cell r="I116">
            <v>236992.34818487254</v>
          </cell>
          <cell r="J116">
            <v>5</v>
          </cell>
          <cell r="K116">
            <v>1184961.7409243626</v>
          </cell>
          <cell r="L116">
            <v>5</v>
          </cell>
        </row>
        <row r="117">
          <cell r="D117" t="str">
            <v>15-01-280</v>
          </cell>
          <cell r="E117" t="str">
            <v>E-GRUPO 0 A 7</v>
          </cell>
          <cell r="G117" t="str">
            <v>RETIRO Y REINTEGRO A EMPRESAS PUBLICAS DE MEDELLIN DE POSTERIA DE CONCRETO DE 8 M. INCLUYE LAS RESPECTIVAS VESTIDAS Y VIENTOS.</v>
          </cell>
          <cell r="H117" t="str">
            <v>U</v>
          </cell>
          <cell r="I117">
            <v>169492.06221167251</v>
          </cell>
          <cell r="J117">
            <v>1</v>
          </cell>
          <cell r="K117">
            <v>169492.06221167251</v>
          </cell>
          <cell r="L117">
            <v>1</v>
          </cell>
        </row>
        <row r="118">
          <cell r="D118" t="str">
            <v>15-01-285</v>
          </cell>
          <cell r="E118" t="str">
            <v>E-GRUPO 0 A 7</v>
          </cell>
          <cell r="G118" t="str">
            <v>RETIRO Y REINTEGRO DE RED PRIMARIA EXISTENTE INCLUYE VESTIDAS.</v>
          </cell>
          <cell r="H118" t="str">
            <v>M</v>
          </cell>
          <cell r="I118">
            <v>6074.9910273599999</v>
          </cell>
          <cell r="J118">
            <v>380</v>
          </cell>
          <cell r="K118">
            <v>2308496.5903968001</v>
          </cell>
          <cell r="L118">
            <v>380</v>
          </cell>
        </row>
        <row r="119">
          <cell r="D119" t="str">
            <v>15-01-300</v>
          </cell>
          <cell r="E119" t="str">
            <v>E-GRUPO 0 A 7</v>
          </cell>
          <cell r="G119" t="str">
            <v>RETIRO Y REINTEGRO A EMPRESAS PUBLICAS DE MEDELLIN DE LINEA SECUNDARIA EN CABLE TRENZADO.</v>
          </cell>
          <cell r="H119" t="str">
            <v>M</v>
          </cell>
          <cell r="I119">
            <v>6074.9910273599999</v>
          </cell>
          <cell r="J119">
            <v>66</v>
          </cell>
          <cell r="K119">
            <v>400949.40780575998</v>
          </cell>
          <cell r="L119">
            <v>66</v>
          </cell>
        </row>
        <row r="120">
          <cell r="D120" t="str">
            <v>15-01-310</v>
          </cell>
          <cell r="E120" t="str">
            <v>E-GRUPO 0 A 7</v>
          </cell>
          <cell r="G120" t="str">
            <v>RETIRO Y REINTEGRO A EMPRESAS PUBLICAS DE MEDELLIN DE LAMPARAS DE ALUMBRADO PUBLICO.</v>
          </cell>
          <cell r="H120" t="str">
            <v>U</v>
          </cell>
          <cell r="I120">
            <v>45291.581093272507</v>
          </cell>
          <cell r="J120">
            <v>6</v>
          </cell>
          <cell r="K120">
            <v>271749.48655963503</v>
          </cell>
          <cell r="L120">
            <v>6</v>
          </cell>
        </row>
        <row r="121">
          <cell r="D121" t="str">
            <v>15-02</v>
          </cell>
          <cell r="G121" t="str">
            <v>ILUMINACION</v>
          </cell>
          <cell r="H121">
            <v>0</v>
          </cell>
          <cell r="I121">
            <v>0</v>
          </cell>
          <cell r="J121">
            <v>0</v>
          </cell>
          <cell r="K121">
            <v>194055012.69439963</v>
          </cell>
          <cell r="L121">
            <v>0</v>
          </cell>
        </row>
        <row r="122">
          <cell r="D122" t="str">
            <v>15-02-010</v>
          </cell>
          <cell r="E122" t="str">
            <v>E-GRUPO 0 A 7</v>
          </cell>
          <cell r="G122"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22" t="str">
            <v>U</v>
          </cell>
          <cell r="I122">
            <v>1435715.7725</v>
          </cell>
          <cell r="J122">
            <v>35</v>
          </cell>
          <cell r="K122">
            <v>50250052.037500001</v>
          </cell>
          <cell r="L122">
            <v>35</v>
          </cell>
        </row>
        <row r="123">
          <cell r="D123" t="str">
            <v>15-02-020</v>
          </cell>
          <cell r="E123" t="str">
            <v>E-GRUPO 0 A 7</v>
          </cell>
          <cell r="G123" t="str">
            <v>SUMINISTRO E INSTALACION DE BRAZO METALICO PARA ALUMBRADO PUBLICO DE 11/2" - 52°/0°, INCLUYE BRAZO, INSTALACION, TRANSPORTE, ELEMENTOS DE ANCLAJE Y FIJACION, Y TODOS LOS ELEMENTOS NECESARIOS PARA SU CORRECTA INSTALACION.</v>
          </cell>
          <cell r="H123" t="str">
            <v>U</v>
          </cell>
          <cell r="I123">
            <v>129643.1545</v>
          </cell>
          <cell r="J123">
            <v>35</v>
          </cell>
          <cell r="K123">
            <v>4537510.4074999997</v>
          </cell>
          <cell r="L123">
            <v>35</v>
          </cell>
        </row>
        <row r="124">
          <cell r="D124" t="str">
            <v>15-02-030</v>
          </cell>
          <cell r="E124" t="str">
            <v>E-GRUPO 0 A 7</v>
          </cell>
          <cell r="G12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24" t="str">
            <v>U</v>
          </cell>
          <cell r="I124">
            <v>1620031.5449999999</v>
          </cell>
          <cell r="J124">
            <v>28</v>
          </cell>
          <cell r="K124">
            <v>45360883.259999998</v>
          </cell>
          <cell r="L124">
            <v>28</v>
          </cell>
        </row>
        <row r="125">
          <cell r="D125" t="str">
            <v>15-02-050</v>
          </cell>
          <cell r="E125" t="str">
            <v>E-GRUPO 0 A 7</v>
          </cell>
          <cell r="G125" t="str">
            <v>SUMINISTRO E INSTALACION DE TUBERIA CONDUIT, PVC Ø 2". INCLUYE TODO TIPO DE OBRA CIVIL ASOCIADA Y TODOS LOS ELEMENTOS NECESARIOS PARA SU CORRECTO FUNCIONAMIENTO.</v>
          </cell>
          <cell r="H125" t="str">
            <v>M</v>
          </cell>
          <cell r="I125">
            <v>31932.760312500002</v>
          </cell>
          <cell r="J125">
            <v>660</v>
          </cell>
          <cell r="K125">
            <v>21075621.806250002</v>
          </cell>
          <cell r="L125">
            <v>660</v>
          </cell>
        </row>
        <row r="126">
          <cell r="D126" t="str">
            <v>15-02-060</v>
          </cell>
          <cell r="E126" t="str">
            <v>E-GRUPO 0 A 7</v>
          </cell>
          <cell r="G126" t="str">
            <v>SUMINISTRO E INSTALACION DE TUBERIA CONDUIT, PVC 2 Ø 2". INCLUYE TODO TIPO DE OBRA CIVIL ASOCIADA Y TODOS LOS ELEMENTOS NECESARIOS PARA SU CORRECTO FUNCIONAMIENTO.</v>
          </cell>
          <cell r="H126" t="str">
            <v>M</v>
          </cell>
          <cell r="I126">
            <v>53932.760312500002</v>
          </cell>
          <cell r="J126">
            <v>55.000000000000007</v>
          </cell>
          <cell r="K126">
            <v>2966301.8171875007</v>
          </cell>
          <cell r="L126">
            <v>55.000000000000007</v>
          </cell>
        </row>
        <row r="127">
          <cell r="D127" t="str">
            <v>15-02-070</v>
          </cell>
          <cell r="E127" t="str">
            <v>E-GRUPO 0 A 7</v>
          </cell>
          <cell r="G12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27" t="str">
            <v>M</v>
          </cell>
          <cell r="I127">
            <v>46793.536499999995</v>
          </cell>
          <cell r="J127">
            <v>715.00000000000011</v>
          </cell>
          <cell r="K127">
            <v>33457378.5975</v>
          </cell>
          <cell r="L127">
            <v>715.00000000000011</v>
          </cell>
        </row>
        <row r="128">
          <cell r="D128" t="str">
            <v>15-02-080</v>
          </cell>
          <cell r="E128" t="str">
            <v>E-GRUPO 0 A 7</v>
          </cell>
          <cell r="G128" t="str">
            <v>SUMINISTRO E INSTALACION DE TRANSFORMADOR MONOFASICO - ACEITE - 15 KVA - 480/240V. INCLUYE TODOS LOS ELEMENTOS NECESARIOS PARA SU CORRECTO FUNCIONAMIENTO.</v>
          </cell>
          <cell r="H128" t="str">
            <v>U</v>
          </cell>
          <cell r="I128">
            <v>4446431.5449999999</v>
          </cell>
          <cell r="J128">
            <v>1</v>
          </cell>
          <cell r="K128">
            <v>4446431.5449999999</v>
          </cell>
          <cell r="L128">
            <v>1</v>
          </cell>
        </row>
        <row r="129">
          <cell r="D129" t="str">
            <v>15-02-090</v>
          </cell>
          <cell r="E129" t="str">
            <v>E-GRUPO 0 A 7</v>
          </cell>
          <cell r="G129" t="str">
            <v>SUMINISTRO Y CONSTRUCCION DE CAJA DE PASO 50X50, ANTIFRAUDE, INCLUYE EXCAVACION, BOTADA DE ESCOMBROS, MARCACION CON PLAQUETA ACRILICA ESPECIFICANDO LA RED QUE CRUZA, EL NUMERO DEL TRANSFORMADOR Y VOLTAJE DE LA MISMA.</v>
          </cell>
          <cell r="H129" t="str">
            <v>U</v>
          </cell>
          <cell r="I129">
            <v>411445.19333793421</v>
          </cell>
          <cell r="J129">
            <v>28</v>
          </cell>
          <cell r="K129">
            <v>11520465.413462158</v>
          </cell>
          <cell r="L129">
            <v>28</v>
          </cell>
        </row>
        <row r="130">
          <cell r="D130" t="str">
            <v>15-02-100</v>
          </cell>
          <cell r="E130" t="str">
            <v>E-GRUPO 0 A 7</v>
          </cell>
          <cell r="G13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30" t="str">
            <v>U</v>
          </cell>
          <cell r="I130">
            <v>221607.88624999998</v>
          </cell>
          <cell r="J130">
            <v>11</v>
          </cell>
          <cell r="K130">
            <v>2437686.7487499998</v>
          </cell>
          <cell r="L130">
            <v>11</v>
          </cell>
        </row>
        <row r="131">
          <cell r="D131" t="str">
            <v>15-02-110</v>
          </cell>
          <cell r="E131" t="str">
            <v>E-GRUPO 0 A 7</v>
          </cell>
          <cell r="G131" t="str">
            <v>DESMONTE DE INSTALACIONES ELECTRICAS EXISTENTES</v>
          </cell>
          <cell r="H131" t="str">
            <v>U</v>
          </cell>
          <cell r="I131">
            <v>223215.77250000002</v>
          </cell>
          <cell r="J131">
            <v>28</v>
          </cell>
          <cell r="K131">
            <v>6250041.6300000008</v>
          </cell>
          <cell r="L131">
            <v>28</v>
          </cell>
        </row>
        <row r="132">
          <cell r="D132" t="str">
            <v>15-02-120</v>
          </cell>
          <cell r="E132" t="str">
            <v>E-GRUPO 0 A 7</v>
          </cell>
          <cell r="G132" t="str">
            <v>CERTIFICACION RETIE</v>
          </cell>
          <cell r="H132" t="str">
            <v>U</v>
          </cell>
          <cell r="I132">
            <v>3000000</v>
          </cell>
          <cell r="J132">
            <v>1</v>
          </cell>
          <cell r="K132">
            <v>3000000</v>
          </cell>
          <cell r="L132">
            <v>1</v>
          </cell>
        </row>
        <row r="133">
          <cell r="D133" t="str">
            <v>15-02-130</v>
          </cell>
          <cell r="E133" t="str">
            <v>E-GRUPO 0 A 7</v>
          </cell>
          <cell r="G133" t="str">
            <v>CERTIFICACION RETILAP</v>
          </cell>
          <cell r="H133" t="str">
            <v>U</v>
          </cell>
          <cell r="I133">
            <v>4500000</v>
          </cell>
          <cell r="J133">
            <v>1</v>
          </cell>
          <cell r="K133">
            <v>4500000</v>
          </cell>
          <cell r="L133">
            <v>1</v>
          </cell>
        </row>
        <row r="134">
          <cell r="D134" t="str">
            <v>15-02-140</v>
          </cell>
          <cell r="E134" t="str">
            <v>E-GRUPO 0 A 7</v>
          </cell>
          <cell r="G134" t="str">
            <v>LEGALIZACION ANTE EL O.R</v>
          </cell>
          <cell r="H134" t="str">
            <v>U</v>
          </cell>
          <cell r="I134">
            <v>1500000</v>
          </cell>
          <cell r="J134">
            <v>1</v>
          </cell>
          <cell r="K134">
            <v>1500000</v>
          </cell>
          <cell r="L134">
            <v>1</v>
          </cell>
        </row>
        <row r="135">
          <cell r="D135" t="str">
            <v>15-02-150</v>
          </cell>
          <cell r="E135" t="str">
            <v>E-GRUPO 0 A 7</v>
          </cell>
          <cell r="G13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35" t="str">
            <v>U</v>
          </cell>
          <cell r="I135">
            <v>2401031.5449999999</v>
          </cell>
          <cell r="J135">
            <v>1</v>
          </cell>
          <cell r="K135">
            <v>2401031.5449999999</v>
          </cell>
          <cell r="L135">
            <v>1</v>
          </cell>
        </row>
        <row r="136">
          <cell r="D136" t="str">
            <v>15-02-160</v>
          </cell>
          <cell r="E136" t="str">
            <v>E-GRUPO 0 A 7</v>
          </cell>
          <cell r="G136" t="str">
            <v>SUMINISTRO E INSTALACION DE CONTADOR DE ENERGIA ACTIVA, MONOFASICO, BIFILAR, 240/120 V, 10/60A, CICLOMETRICO (DE INDUCCION). INCLUYE, CONTADOR, CAJA Y TODOS LOS ELEMENTOS NECESARIOS PARA SU CORRECTO FUNCIONAMIENTO.</v>
          </cell>
          <cell r="H136" t="str">
            <v>U</v>
          </cell>
          <cell r="I136">
            <v>351607.88624999998</v>
          </cell>
          <cell r="J136">
            <v>1</v>
          </cell>
          <cell r="K136">
            <v>351607.88624999998</v>
          </cell>
          <cell r="L136">
            <v>1</v>
          </cell>
        </row>
        <row r="137">
          <cell r="D137" t="str">
            <v>15-03</v>
          </cell>
          <cell r="G137" t="str">
            <v>TELECOMUNICACIONES</v>
          </cell>
          <cell r="H137">
            <v>0</v>
          </cell>
          <cell r="I137">
            <v>0</v>
          </cell>
          <cell r="J137">
            <v>0</v>
          </cell>
          <cell r="K137">
            <v>89473005.518595725</v>
          </cell>
          <cell r="L137">
            <v>0</v>
          </cell>
        </row>
        <row r="138">
          <cell r="D138" t="str">
            <v>15-03-010</v>
          </cell>
          <cell r="E138" t="str">
            <v>E-GRUPO 0 A 7</v>
          </cell>
          <cell r="G138" t="str">
            <v>SUMINISTRO, MONTAJE Y PUESTA EN OPERACION DE: CAJA PARA DOS TAPAS 60X80 COMPLETA (TEL NIN-115).</v>
          </cell>
          <cell r="H138" t="str">
            <v>U</v>
          </cell>
          <cell r="I138">
            <v>880135.65900467522</v>
          </cell>
          <cell r="J138">
            <v>7</v>
          </cell>
          <cell r="K138">
            <v>6160949.6130327266</v>
          </cell>
          <cell r="L138">
            <v>7</v>
          </cell>
        </row>
        <row r="139">
          <cell r="D139" t="str">
            <v>15-03-012</v>
          </cell>
          <cell r="E139" t="str">
            <v>E-GRUPO 0 A 7</v>
          </cell>
          <cell r="G139" t="str">
            <v>SUMINISTRO, MONTAJE Y PUESTA EN OPERACION DE: CAMARA PARA SALIDA DE CENTRAL COMPLETA (TEL NIN-110).</v>
          </cell>
          <cell r="H139" t="str">
            <v>U</v>
          </cell>
          <cell r="I139">
            <v>7990722.0612652637</v>
          </cell>
          <cell r="J139">
            <v>1</v>
          </cell>
          <cell r="K139">
            <v>7990722.0612652637</v>
          </cell>
          <cell r="L139">
            <v>1</v>
          </cell>
        </row>
        <row r="140">
          <cell r="D140" t="str">
            <v>15-03-020</v>
          </cell>
          <cell r="E140" t="str">
            <v>E-TEL-NIN-114</v>
          </cell>
          <cell r="G140" t="str">
            <v>SUMINISTRO, MONTAJE Y PUESTA EN OPERACION DE: CAJA PARA UNA TAPA 60X80 COMPLETA (TEL NIN-114).</v>
          </cell>
          <cell r="H140" t="str">
            <v>U</v>
          </cell>
          <cell r="I140">
            <v>615644.04782529525</v>
          </cell>
          <cell r="J140">
            <v>7</v>
          </cell>
          <cell r="K140">
            <v>4309508.3347770665</v>
          </cell>
          <cell r="L140">
            <v>7</v>
          </cell>
        </row>
        <row r="141">
          <cell r="D141" t="str">
            <v>15-03-040</v>
          </cell>
          <cell r="E141" t="str">
            <v>E-GRUPO 0 A 7</v>
          </cell>
          <cell r="G141" t="str">
            <v>SUMINISTRO, MONTAJE Y PUESTA EN OPERACION DE: CRUCE DE VIA CON CANALIZACION EN PVC TIPO DB DE 3Ø 3". INCLUYE EXCAVACION, BOTADA DE MATERIAL, LLENOS EN ARENILLA Y TODO LO NECESARIO PARA SU CORRECTA EJECUCION.</v>
          </cell>
          <cell r="H141" t="str">
            <v>M</v>
          </cell>
          <cell r="I141">
            <v>333474.77032096504</v>
          </cell>
          <cell r="J141">
            <v>116.60000000000001</v>
          </cell>
          <cell r="K141">
            <v>38883158.219424523</v>
          </cell>
          <cell r="L141">
            <v>116.60000000000001</v>
          </cell>
        </row>
        <row r="142">
          <cell r="D142" t="str">
            <v>15-03-050</v>
          </cell>
          <cell r="E142" t="str">
            <v>E-GRUPO 0 A 7</v>
          </cell>
          <cell r="G142" t="str">
            <v>SUMINISTRO, MONTAJE Y PUESTA EN OPERACION DE: CANALIZACION EN PVC TIPO DB DE 3Ø 3". INCLUYE: EXCAVACION, BOTADA DE MATERIAL, LLENOS EN ARENILLA Y TODO LO NECESARIO PARA SU CORRECTA EJECUCION.</v>
          </cell>
          <cell r="H142" t="str">
            <v>M</v>
          </cell>
          <cell r="I142">
            <v>79087.860578205014</v>
          </cell>
          <cell r="J142">
            <v>231.00000000000003</v>
          </cell>
          <cell r="K142">
            <v>18269295.793565359</v>
          </cell>
          <cell r="L142">
            <v>231.00000000000003</v>
          </cell>
        </row>
        <row r="143">
          <cell r="D143" t="str">
            <v>15-03-060</v>
          </cell>
          <cell r="E143" t="str">
            <v>E-GRUPO 0 A 7</v>
          </cell>
          <cell r="G143" t="str">
            <v>SUMINISTRO, MONTAJE Y PUESTA EN OPERACION DE: CANALIZACION EN PVC TIPO DB DE 1Ø 2". INCLUYE, EXCAVACION, BOTADA DE MATERIAL, LLENOS EN ARENILLA Y TODO LO NECESARIO PARA SU CORRECTA EJECUCION.</v>
          </cell>
          <cell r="H143" t="str">
            <v>M</v>
          </cell>
          <cell r="I143">
            <v>43302.840335066248</v>
          </cell>
          <cell r="J143">
            <v>5.5</v>
          </cell>
          <cell r="K143">
            <v>238165.62184286438</v>
          </cell>
          <cell r="L143">
            <v>5.5</v>
          </cell>
        </row>
        <row r="144">
          <cell r="D144" t="str">
            <v>15-03-070</v>
          </cell>
          <cell r="E144" t="str">
            <v>E-GRUPO 0 A 7</v>
          </cell>
          <cell r="G144" t="str">
            <v>SUMINISTRO, MONTAJE Y PUESTA EN OPERACION DE: CANALIZACION EN PVC TIPO DB DE 1Ø 3". INCLUYE, EXCAVACION, BOTADA DE MATERIAL, LLENOS EN ARENILLA Y TODO LO NECESARIO PARA SU CORRECTA EJECUCION.</v>
          </cell>
          <cell r="H144" t="str">
            <v>M</v>
          </cell>
          <cell r="I144">
            <v>69064.803832263773</v>
          </cell>
          <cell r="J144">
            <v>24.200000000000003</v>
          </cell>
          <cell r="K144">
            <v>1671368.2527407836</v>
          </cell>
          <cell r="L144">
            <v>24.200000000000003</v>
          </cell>
        </row>
        <row r="145">
          <cell r="D145" t="str">
            <v>15-03-090</v>
          </cell>
          <cell r="E145" t="str">
            <v>E-GRUPO 0 A 7</v>
          </cell>
          <cell r="G145" t="str">
            <v>SUMINISTRO, MONTAJE Y PUESTA EN OPERACION DE: BAJANTE A MURO EN TUBERIA METALICA GALVANIZADA DE 2". INCLUYE TODO LO NECESARIO PARA SU CORRECTA EJECUCION.</v>
          </cell>
          <cell r="H145" t="str">
            <v>M</v>
          </cell>
          <cell r="I145">
            <v>164397.06569099246</v>
          </cell>
          <cell r="J145">
            <v>2.2000000000000002</v>
          </cell>
          <cell r="K145">
            <v>361673.54452018347</v>
          </cell>
          <cell r="L145">
            <v>2.2000000000000002</v>
          </cell>
        </row>
        <row r="146">
          <cell r="D146" t="str">
            <v>15-03-100</v>
          </cell>
          <cell r="E146" t="str">
            <v>E-GRUPO 0 A 7</v>
          </cell>
          <cell r="G146" t="str">
            <v>SUMINISTRO, MONTAJE Y PUESTA EN OPERACION DE: BAJANTE EN POSTE EN TUBERIA METALICA GALVANIZADA DE 3". INCLUYE TODO LO NECESARIO PARA SU CORRECTA EJECUCION.</v>
          </cell>
          <cell r="H146" t="str">
            <v>M</v>
          </cell>
          <cell r="I146">
            <v>585260.81199125992</v>
          </cell>
          <cell r="J146">
            <v>19.8</v>
          </cell>
          <cell r="K146">
            <v>11588164.077426948</v>
          </cell>
          <cell r="L146">
            <v>19.8</v>
          </cell>
        </row>
        <row r="147">
          <cell r="D147" t="str">
            <v>18</v>
          </cell>
          <cell r="G147" t="str">
            <v>URBANISMO</v>
          </cell>
          <cell r="H147">
            <v>0</v>
          </cell>
          <cell r="I147">
            <v>0</v>
          </cell>
          <cell r="J147">
            <v>0</v>
          </cell>
          <cell r="K147">
            <v>724925872.81699252</v>
          </cell>
          <cell r="L147">
            <v>0</v>
          </cell>
        </row>
        <row r="148">
          <cell r="D148" t="str">
            <v>18-01</v>
          </cell>
          <cell r="G148" t="str">
            <v>ANDENES, BORDILLOS Y CUNETAS</v>
          </cell>
          <cell r="H148">
            <v>0</v>
          </cell>
          <cell r="I148">
            <v>0</v>
          </cell>
          <cell r="J148">
            <v>0</v>
          </cell>
          <cell r="K148">
            <v>437368070.51882917</v>
          </cell>
          <cell r="L148">
            <v>0</v>
          </cell>
        </row>
        <row r="149">
          <cell r="D149" t="str">
            <v>18-01-020</v>
          </cell>
          <cell r="E149" t="str">
            <v>E-403</v>
          </cell>
          <cell r="G149" t="str">
            <v>LOSA FUNDIDA 21 MPa E: 0.10 M - ANDENES</v>
          </cell>
          <cell r="H149" t="str">
            <v>M2</v>
          </cell>
          <cell r="I149">
            <v>83386.532688216976</v>
          </cell>
          <cell r="J149">
            <v>3454.599999999999</v>
          </cell>
          <cell r="K149">
            <v>288067115.8247143</v>
          </cell>
          <cell r="L149">
            <v>3454.599999999999</v>
          </cell>
        </row>
        <row r="150">
          <cell r="D150" t="str">
            <v>18-01-030</v>
          </cell>
          <cell r="E150" t="str">
            <v>E-403</v>
          </cell>
          <cell r="G150" t="str">
            <v>LOSA TACTIL ALERTA Y GUIA 0.40X0.40 M</v>
          </cell>
          <cell r="H150" t="str">
            <v>M</v>
          </cell>
          <cell r="I150">
            <v>65364.596826179397</v>
          </cell>
          <cell r="J150">
            <v>885.97149999999988</v>
          </cell>
          <cell r="K150">
            <v>57911169.896985389</v>
          </cell>
          <cell r="L150">
            <v>885.97149999999988</v>
          </cell>
        </row>
        <row r="151">
          <cell r="D151" t="str">
            <v>18-01-040</v>
          </cell>
          <cell r="E151" t="str">
            <v>E-403</v>
          </cell>
          <cell r="G151" t="str">
            <v>TABLETA DEMARCADORA</v>
          </cell>
          <cell r="H151" t="str">
            <v>M</v>
          </cell>
          <cell r="I151">
            <v>26365.653838386341</v>
          </cell>
          <cell r="J151">
            <v>869.87149999999986</v>
          </cell>
          <cell r="K151">
            <v>22934730.852877881</v>
          </cell>
          <cell r="L151">
            <v>869.87149999999986</v>
          </cell>
        </row>
        <row r="152">
          <cell r="D152" t="str">
            <v>18-01-050</v>
          </cell>
          <cell r="E152" t="str">
            <v>E-402</v>
          </cell>
          <cell r="G152" t="str">
            <v>BORDILLOS BARRERA RECTO, CUADRANTE BARRERA, REBAJE, ESQUINERO BARRERA 90° Y RECTANGULAR RECTO (350)</v>
          </cell>
          <cell r="H152" t="str">
            <v>M</v>
          </cell>
          <cell r="I152">
            <v>51093.639587109959</v>
          </cell>
          <cell r="J152">
            <v>1339.796</v>
          </cell>
          <cell r="K152">
            <v>68455053.944251582</v>
          </cell>
          <cell r="L152">
            <v>1339.796</v>
          </cell>
        </row>
        <row r="153">
          <cell r="D153" t="str">
            <v>18-02</v>
          </cell>
          <cell r="G153" t="str">
            <v>PAVIMENTOS</v>
          </cell>
          <cell r="H153">
            <v>0</v>
          </cell>
          <cell r="I153">
            <v>0</v>
          </cell>
          <cell r="J153">
            <v>0</v>
          </cell>
          <cell r="K153">
            <v>239195944.33490384</v>
          </cell>
          <cell r="L153">
            <v>0</v>
          </cell>
        </row>
        <row r="154">
          <cell r="D154" t="str">
            <v>18-02-860</v>
          </cell>
          <cell r="E154" t="str">
            <v>E-301</v>
          </cell>
          <cell r="G154" t="str">
            <v>RECTIFICACION RASANTE</v>
          </cell>
          <cell r="H154" t="str">
            <v>M2</v>
          </cell>
          <cell r="I154">
            <v>76312.364440066915</v>
          </cell>
          <cell r="J154">
            <v>191.98560000000001</v>
          </cell>
          <cell r="K154">
            <v>14650875.074444911</v>
          </cell>
          <cell r="L154">
            <v>191.98560000000001</v>
          </cell>
        </row>
        <row r="155">
          <cell r="D155" t="str">
            <v>18-02-870</v>
          </cell>
          <cell r="E155" t="str">
            <v>E-301</v>
          </cell>
          <cell r="G155" t="str">
            <v>RIEGO DE IMPRIMACION CON EMULSION ASFALTICA</v>
          </cell>
          <cell r="H155" t="str">
            <v>M2</v>
          </cell>
          <cell r="I155">
            <v>3317.5344866988135</v>
          </cell>
          <cell r="J155">
            <v>1282.4569999999999</v>
          </cell>
          <cell r="K155">
            <v>4254595.3252082998</v>
          </cell>
          <cell r="L155">
            <v>1282.4569999999999</v>
          </cell>
        </row>
        <row r="156">
          <cell r="D156" t="str">
            <v>18-02-910</v>
          </cell>
          <cell r="E156" t="str">
            <v>E-303</v>
          </cell>
          <cell r="G156" t="str">
            <v>BASE GRANULAR COMPACTADA BG-1 CBR 80%</v>
          </cell>
          <cell r="H156" t="str">
            <v>M3</v>
          </cell>
          <cell r="I156">
            <v>87918.441230808792</v>
          </cell>
          <cell r="J156">
            <v>769.4742</v>
          </cell>
          <cell r="K156">
            <v>67650972.231323615</v>
          </cell>
          <cell r="L156">
            <v>769.4742</v>
          </cell>
        </row>
        <row r="157">
          <cell r="D157" t="str">
            <v>18-02-920</v>
          </cell>
          <cell r="E157" t="str">
            <v>E-307</v>
          </cell>
          <cell r="G157" t="str">
            <v>MEZCLA ASFALTICA TIPO MSC-1</v>
          </cell>
          <cell r="H157" t="str">
            <v>M3</v>
          </cell>
          <cell r="I157">
            <v>556327.36141539237</v>
          </cell>
          <cell r="J157">
            <v>115.42113000000001</v>
          </cell>
          <cell r="K157">
            <v>64211932.704482988</v>
          </cell>
          <cell r="L157">
            <v>115.42113000000001</v>
          </cell>
        </row>
        <row r="158">
          <cell r="D158" t="str">
            <v>18-02-930</v>
          </cell>
          <cell r="E158" t="str">
            <v>E-307</v>
          </cell>
          <cell r="G158" t="str">
            <v>MEZCLA ASFALTICA TIPO MDC-2</v>
          </cell>
          <cell r="H158" t="str">
            <v>M3</v>
          </cell>
          <cell r="I158">
            <v>574597.36141539249</v>
          </cell>
          <cell r="J158">
            <v>153.89483999999999</v>
          </cell>
          <cell r="K158">
            <v>88427568.999443993</v>
          </cell>
          <cell r="L158">
            <v>153.89483999999999</v>
          </cell>
        </row>
        <row r="159">
          <cell r="D159" t="str">
            <v>18-05</v>
          </cell>
          <cell r="G159" t="str">
            <v>SEÑALIZACION</v>
          </cell>
          <cell r="H159">
            <v>0</v>
          </cell>
          <cell r="I159">
            <v>0</v>
          </cell>
          <cell r="J159">
            <v>0</v>
          </cell>
          <cell r="K159">
            <v>48361857.963259421</v>
          </cell>
          <cell r="L159">
            <v>0</v>
          </cell>
        </row>
        <row r="160">
          <cell r="D160" t="str">
            <v>18-05-010</v>
          </cell>
          <cell r="E160" t="str">
            <v>I-700</v>
          </cell>
          <cell r="G160" t="str">
            <v>SEÑALES HORIZONTALES (FLECHAS, PARES, ETC.)</v>
          </cell>
          <cell r="H160" t="str">
            <v>U</v>
          </cell>
          <cell r="I160">
            <v>58761.770534674739</v>
          </cell>
          <cell r="J160">
            <v>44</v>
          </cell>
          <cell r="K160">
            <v>2585517.9035256887</v>
          </cell>
          <cell r="L160">
            <v>44</v>
          </cell>
        </row>
        <row r="161">
          <cell r="D161" t="str">
            <v>18-05-020</v>
          </cell>
          <cell r="E161" t="str">
            <v>I-710</v>
          </cell>
          <cell r="G161" t="str">
            <v>SEÑALES VERTICALES (REGLAMENTARIAS, PREVENTIVAS E INFORMATIVAS)</v>
          </cell>
          <cell r="H161" t="str">
            <v>M</v>
          </cell>
          <cell r="I161">
            <v>226588.00078741473</v>
          </cell>
          <cell r="J161">
            <v>20.900000000000002</v>
          </cell>
          <cell r="K161">
            <v>4735689.2164569683</v>
          </cell>
          <cell r="L161">
            <v>20.900000000000002</v>
          </cell>
        </row>
        <row r="162">
          <cell r="D162" t="str">
            <v>18-05-050</v>
          </cell>
          <cell r="E162" t="str">
            <v>I-700</v>
          </cell>
          <cell r="G162" t="str">
            <v>LINEAS AMARILLAS Y BLANCAS, CONTINUAS Y DISCONTINUAS</v>
          </cell>
          <cell r="H162" t="str">
            <v>M</v>
          </cell>
          <cell r="I162">
            <v>2357.0753160242484</v>
          </cell>
          <cell r="J162">
            <v>589.6</v>
          </cell>
          <cell r="K162">
            <v>1389731.6063278969</v>
          </cell>
          <cell r="L162">
            <v>589.6</v>
          </cell>
        </row>
        <row r="163">
          <cell r="D163" t="str">
            <v>18-05-060</v>
          </cell>
          <cell r="E163" t="str">
            <v>I-700</v>
          </cell>
          <cell r="G163" t="str">
            <v>CEBRAS</v>
          </cell>
          <cell r="H163" t="str">
            <v>M</v>
          </cell>
          <cell r="I163">
            <v>175822.52133007694</v>
          </cell>
          <cell r="J163">
            <v>60.500000000000007</v>
          </cell>
          <cell r="K163">
            <v>10637262.540469656</v>
          </cell>
          <cell r="L163">
            <v>60.500000000000007</v>
          </cell>
        </row>
        <row r="164">
          <cell r="D164" t="str">
            <v>18-05-070</v>
          </cell>
          <cell r="E164" t="str">
            <v>I-700</v>
          </cell>
          <cell r="G164" t="str">
            <v>BERMAS O SOBREANCHOS</v>
          </cell>
          <cell r="H164" t="str">
            <v>M2</v>
          </cell>
          <cell r="I164">
            <v>34806.085434486442</v>
          </cell>
          <cell r="J164">
            <v>833.58</v>
          </cell>
          <cell r="K164">
            <v>29013656.696479209</v>
          </cell>
          <cell r="L164">
            <v>833.58</v>
          </cell>
        </row>
        <row r="166">
          <cell r="D166" t="str">
            <v>CD</v>
          </cell>
          <cell r="G166" t="str">
            <v>SUBTOTAL COSTO DIRECTO</v>
          </cell>
        </row>
        <row r="167">
          <cell r="D167" t="str">
            <v>CI</v>
          </cell>
          <cell r="G167" t="str">
            <v>SUBTOTAL COSTOS INDIRECTOS</v>
          </cell>
          <cell r="H167" t="str">
            <v>%</v>
          </cell>
          <cell r="I167">
            <v>0.24379999999999999</v>
          </cell>
          <cell r="L167">
            <v>0</v>
          </cell>
        </row>
        <row r="168">
          <cell r="G168" t="str">
            <v>SUBTOTAL OBRA CIVIL</v>
          </cell>
        </row>
        <row r="169">
          <cell r="G169" t="str">
            <v>% DE REAJUSTE DE PRECIOS</v>
          </cell>
          <cell r="H169" t="str">
            <v>%</v>
          </cell>
          <cell r="I169">
            <v>0.02</v>
          </cell>
        </row>
        <row r="171">
          <cell r="G171" t="str">
            <v>VALOR TOTAL DEL PROYECTO</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cell r="J1" t="str">
            <v>FUENTE</v>
          </cell>
          <cell r="K1" t="str">
            <v>VIGENCIA</v>
          </cell>
        </row>
        <row r="2">
          <cell r="D2" t="str">
            <v>11114</v>
          </cell>
          <cell r="E2" t="str">
            <v>cemento tipo 1 x 50kg</v>
          </cell>
          <cell r="F2" t="str">
            <v>blt</v>
          </cell>
          <cell r="G2">
            <v>26300</v>
          </cell>
          <cell r="H2">
            <v>0.16</v>
          </cell>
          <cell r="I2">
            <v>30507.999999999996</v>
          </cell>
          <cell r="J2" t="str">
            <v>ARGOS</v>
          </cell>
          <cell r="K2">
            <v>41739</v>
          </cell>
        </row>
        <row r="3">
          <cell r="D3" t="str">
            <v>11212</v>
          </cell>
          <cell r="E3" t="str">
            <v>arena fina para concreto (1,448kg/m3)</v>
          </cell>
          <cell r="F3" t="str">
            <v>m3</v>
          </cell>
          <cell r="G3">
            <v>55804</v>
          </cell>
          <cell r="H3">
            <v>0.16</v>
          </cell>
          <cell r="I3">
            <v>64732.639999999992</v>
          </cell>
          <cell r="J3" t="str">
            <v>CONASFALTOS</v>
          </cell>
          <cell r="K3">
            <v>41640</v>
          </cell>
        </row>
        <row r="4">
          <cell r="D4" t="str">
            <v>11218</v>
          </cell>
          <cell r="E4" t="str">
            <v>arenilla</v>
          </cell>
          <cell r="F4" t="str">
            <v>m3</v>
          </cell>
          <cell r="G4">
            <v>17650</v>
          </cell>
          <cell r="H4">
            <v>0.16</v>
          </cell>
          <cell r="I4">
            <v>20474</v>
          </cell>
          <cell r="J4" t="str">
            <v>CANTERA SANTA RITA</v>
          </cell>
          <cell r="K4">
            <v>41724</v>
          </cell>
        </row>
        <row r="5">
          <cell r="D5" t="str">
            <v>11219</v>
          </cell>
          <cell r="E5" t="str">
            <v>arena fina para revoque (1,310kg/m3)</v>
          </cell>
          <cell r="F5" t="str">
            <v>m3</v>
          </cell>
          <cell r="G5">
            <v>48700</v>
          </cell>
          <cell r="H5">
            <v>0.16</v>
          </cell>
          <cell r="I5">
            <v>56491.999999999993</v>
          </cell>
          <cell r="J5" t="str">
            <v>CONASFALTOS</v>
          </cell>
          <cell r="K5">
            <v>41640</v>
          </cell>
        </row>
        <row r="6">
          <cell r="D6" t="str">
            <v>1121A</v>
          </cell>
          <cell r="E6" t="str">
            <v>arena de pega (1,600kg/m3)</v>
          </cell>
          <cell r="F6" t="str">
            <v>m3</v>
          </cell>
          <cell r="G6">
            <v>27940</v>
          </cell>
          <cell r="H6">
            <v>0.16</v>
          </cell>
          <cell r="I6">
            <v>32410.399999999998</v>
          </cell>
          <cell r="J6" t="str">
            <v>CANTERA SANTA RITA</v>
          </cell>
          <cell r="K6">
            <v>41724</v>
          </cell>
        </row>
        <row r="7">
          <cell r="D7" t="str">
            <v>11237</v>
          </cell>
          <cell r="E7" t="str">
            <v>triturado para concreto tamaño maximo 3/8" (1,540kg/m3)</v>
          </cell>
          <cell r="F7" t="str">
            <v>m3</v>
          </cell>
          <cell r="G7">
            <v>50220</v>
          </cell>
          <cell r="H7">
            <v>0.16</v>
          </cell>
          <cell r="I7">
            <v>58255.199999999997</v>
          </cell>
          <cell r="J7" t="str">
            <v>CONASFALTOS</v>
          </cell>
          <cell r="K7">
            <v>41640</v>
          </cell>
        </row>
        <row r="8">
          <cell r="D8" t="str">
            <v>11238</v>
          </cell>
          <cell r="E8" t="str">
            <v>triturado para concreto tamaño maximo 3/4" (1,520kg/m3)</v>
          </cell>
          <cell r="F8" t="str">
            <v>m3</v>
          </cell>
          <cell r="G8">
            <v>63540</v>
          </cell>
          <cell r="H8">
            <v>0.16</v>
          </cell>
          <cell r="I8">
            <v>73706.399999999994</v>
          </cell>
          <cell r="J8" t="str">
            <v>CONASFALTOS</v>
          </cell>
          <cell r="K8">
            <v>41640</v>
          </cell>
        </row>
        <row r="9">
          <cell r="D9" t="str">
            <v>11239</v>
          </cell>
          <cell r="E9" t="str">
            <v>triturado 1/2"</v>
          </cell>
          <cell r="F9" t="str">
            <v>m3</v>
          </cell>
          <cell r="G9">
            <v>30000</v>
          </cell>
          <cell r="H9">
            <v>0.16</v>
          </cell>
          <cell r="I9">
            <v>34800</v>
          </cell>
          <cell r="J9" t="str">
            <v>PROCOPAL</v>
          </cell>
          <cell r="K9">
            <v>41640</v>
          </cell>
        </row>
        <row r="10">
          <cell r="D10" t="str">
            <v>11240</v>
          </cell>
          <cell r="E10" t="str">
            <v>piedra para entresuelo</v>
          </cell>
          <cell r="F10" t="str">
            <v>m3</v>
          </cell>
          <cell r="G10">
            <v>40850</v>
          </cell>
          <cell r="H10">
            <v>0.16</v>
          </cell>
          <cell r="I10">
            <v>47386</v>
          </cell>
          <cell r="J10" t="str">
            <v>CANTERA SANTA RITA</v>
          </cell>
          <cell r="K10">
            <v>41724</v>
          </cell>
        </row>
        <row r="11">
          <cell r="D11" t="str">
            <v>11241</v>
          </cell>
          <cell r="E11" t="str">
            <v>triturado 1" a 1-1/2" para filtro</v>
          </cell>
          <cell r="F11" t="str">
            <v>m3</v>
          </cell>
          <cell r="G11">
            <v>29000</v>
          </cell>
          <cell r="H11">
            <v>0.16</v>
          </cell>
          <cell r="I11">
            <v>33640</v>
          </cell>
          <cell r="J11" t="str">
            <v>CANTERA SANTA RITA</v>
          </cell>
          <cell r="K11">
            <v>41724</v>
          </cell>
        </row>
        <row r="12">
          <cell r="D12" t="str">
            <v>11292</v>
          </cell>
          <cell r="E12" t="str">
            <v>base granular (1,650kg/m2)</v>
          </cell>
          <cell r="F12" t="str">
            <v>m3</v>
          </cell>
          <cell r="G12">
            <v>52200</v>
          </cell>
          <cell r="H12">
            <v>0.16</v>
          </cell>
          <cell r="I12">
            <v>60551.999999999993</v>
          </cell>
          <cell r="J12" t="str">
            <v>CONASFALTOS</v>
          </cell>
          <cell r="K12">
            <v>41640</v>
          </cell>
        </row>
        <row r="13">
          <cell r="D13" t="str">
            <v>11297</v>
          </cell>
          <cell r="E13" t="str">
            <v>sub base granular cruda sin procesar (1,650kg/m3)</v>
          </cell>
          <cell r="F13" t="str">
            <v>m3</v>
          </cell>
          <cell r="G13">
            <v>43950</v>
          </cell>
          <cell r="H13">
            <v>0.16</v>
          </cell>
          <cell r="I13">
            <v>50982</v>
          </cell>
          <cell r="J13" t="str">
            <v>CONASFALTOS</v>
          </cell>
          <cell r="K13">
            <v>41640</v>
          </cell>
        </row>
        <row r="14">
          <cell r="D14" t="str">
            <v>12133</v>
          </cell>
          <cell r="E14" t="str">
            <v>concreto tipo bombeo 21 mpa, (3000 psi) 1"</v>
          </cell>
          <cell r="F14" t="str">
            <v>m3</v>
          </cell>
          <cell r="G14">
            <v>261938</v>
          </cell>
          <cell r="H14">
            <v>0.16</v>
          </cell>
          <cell r="I14">
            <v>303848.07999999996</v>
          </cell>
          <cell r="J14" t="str">
            <v>ARGOS</v>
          </cell>
          <cell r="K14">
            <v>41802</v>
          </cell>
        </row>
        <row r="15">
          <cell r="D15" t="str">
            <v>12137</v>
          </cell>
          <cell r="E15" t="str">
            <v>servicio de bombeo</v>
          </cell>
          <cell r="F15" t="str">
            <v>m3</v>
          </cell>
          <cell r="G15">
            <v>40000</v>
          </cell>
          <cell r="H15">
            <v>0.16</v>
          </cell>
          <cell r="I15">
            <v>46400</v>
          </cell>
          <cell r="J15" t="str">
            <v>ARGOS</v>
          </cell>
          <cell r="K15">
            <v>41802</v>
          </cell>
        </row>
        <row r="16">
          <cell r="D16" t="str">
            <v>12311</v>
          </cell>
          <cell r="E16" t="str">
            <v>pintura acrilica pura para trafico</v>
          </cell>
          <cell r="F16" t="str">
            <v>gl</v>
          </cell>
          <cell r="G16">
            <v>57242</v>
          </cell>
          <cell r="H16">
            <v>0.16</v>
          </cell>
          <cell r="I16">
            <v>66400.72</v>
          </cell>
          <cell r="J16" t="str">
            <v>INDUSTRIAL DE PINTURAS</v>
          </cell>
          <cell r="K16">
            <v>41890</v>
          </cell>
        </row>
        <row r="17">
          <cell r="D17" t="str">
            <v>12312</v>
          </cell>
          <cell r="E17" t="str">
            <v>esferas reflectivas</v>
          </cell>
          <cell r="F17" t="str">
            <v>blt</v>
          </cell>
          <cell r="G17">
            <v>121810</v>
          </cell>
          <cell r="H17">
            <v>0.16</v>
          </cell>
          <cell r="I17">
            <v>141299.59999999998</v>
          </cell>
          <cell r="J17" t="str">
            <v>INDUSTRIAL DE PINTURAS</v>
          </cell>
          <cell r="K17">
            <v>41890</v>
          </cell>
        </row>
        <row r="18">
          <cell r="D18" t="str">
            <v>12313</v>
          </cell>
          <cell r="E18" t="str">
            <v>xilol disolvente</v>
          </cell>
          <cell r="F18" t="str">
            <v>gl</v>
          </cell>
          <cell r="G18">
            <v>21700</v>
          </cell>
          <cell r="H18">
            <v>0.16</v>
          </cell>
          <cell r="I18">
            <v>25172</v>
          </cell>
          <cell r="J18" t="str">
            <v>INDUSTRIAL DE PINTURAS</v>
          </cell>
          <cell r="K18">
            <v>41890</v>
          </cell>
        </row>
        <row r="19">
          <cell r="D19" t="str">
            <v>12911</v>
          </cell>
          <cell r="E19" t="str">
            <v>agua</v>
          </cell>
          <cell r="F19" t="str">
            <v>lt</v>
          </cell>
          <cell r="G19">
            <v>1.1365000000000001</v>
          </cell>
          <cell r="H19">
            <v>0.16</v>
          </cell>
          <cell r="I19">
            <v>1.3183400000000001</v>
          </cell>
          <cell r="J19" t="str">
            <v>EPM</v>
          </cell>
          <cell r="K19">
            <v>41807</v>
          </cell>
        </row>
        <row r="20">
          <cell r="D20" t="str">
            <v>1512O</v>
          </cell>
          <cell r="E20" t="str">
            <v>acero de refuerzo figurado</v>
          </cell>
          <cell r="F20" t="str">
            <v>kg</v>
          </cell>
          <cell r="G20">
            <v>1730</v>
          </cell>
          <cell r="H20">
            <v>0.16</v>
          </cell>
          <cell r="I20">
            <v>2006.8</v>
          </cell>
          <cell r="J20" t="str">
            <v>G&amp;J FERRETERIAS</v>
          </cell>
          <cell r="K20">
            <v>41795</v>
          </cell>
        </row>
        <row r="21">
          <cell r="D21" t="str">
            <v>1512P</v>
          </cell>
          <cell r="E21" t="str">
            <v>peldaño en acero galvanizado para camara de inspeccion</v>
          </cell>
          <cell r="F21" t="str">
            <v>u</v>
          </cell>
          <cell r="G21">
            <v>14000</v>
          </cell>
          <cell r="H21">
            <v>0.16</v>
          </cell>
          <cell r="I21">
            <v>16239.999999999998</v>
          </cell>
          <cell r="J21" t="str">
            <v>G&amp;J FERRETERIAS</v>
          </cell>
          <cell r="K21">
            <v>41795</v>
          </cell>
        </row>
        <row r="22">
          <cell r="D22" t="str">
            <v>15231</v>
          </cell>
          <cell r="E22" t="str">
            <v>alambre recocido (alambre cal 18)</v>
          </cell>
          <cell r="F22" t="str">
            <v>kg</v>
          </cell>
          <cell r="G22">
            <v>2500</v>
          </cell>
          <cell r="H22">
            <v>0.16</v>
          </cell>
          <cell r="I22">
            <v>2900</v>
          </cell>
          <cell r="J22" t="str">
            <v>G&amp;J FERRETERIAS</v>
          </cell>
          <cell r="K22">
            <v>41687</v>
          </cell>
        </row>
        <row r="23">
          <cell r="D23" t="str">
            <v>15421</v>
          </cell>
          <cell r="E23" t="str">
            <v>clavo corriente 1-1/2" a 5"</v>
          </cell>
          <cell r="F23" t="str">
            <v>lb</v>
          </cell>
          <cell r="G23">
            <v>1400</v>
          </cell>
          <cell r="H23">
            <v>0.16</v>
          </cell>
          <cell r="I23">
            <v>1624</v>
          </cell>
          <cell r="J23" t="str">
            <v>G&amp;J FERRETERIAS</v>
          </cell>
          <cell r="K23">
            <v>41687</v>
          </cell>
        </row>
        <row r="24">
          <cell r="D24" t="str">
            <v>15431</v>
          </cell>
          <cell r="E24" t="str">
            <v>clavo acero liso 1"</v>
          </cell>
          <cell r="F24" t="str">
            <v>lb</v>
          </cell>
          <cell r="G24">
            <v>4000</v>
          </cell>
          <cell r="H24">
            <v>0.16</v>
          </cell>
          <cell r="I24">
            <v>4640</v>
          </cell>
          <cell r="J24" t="str">
            <v>G&amp;J FERRETERIAS</v>
          </cell>
          <cell r="K24">
            <v>41687</v>
          </cell>
        </row>
        <row r="25">
          <cell r="D25" t="str">
            <v>16F13</v>
          </cell>
          <cell r="E25" t="str">
            <v>baranda metalica peatonal</v>
          </cell>
          <cell r="F25" t="str">
            <v>m</v>
          </cell>
          <cell r="G25">
            <v>187470</v>
          </cell>
          <cell r="H25">
            <v>0.16</v>
          </cell>
          <cell r="I25">
            <v>217465.19999999998</v>
          </cell>
          <cell r="J25" t="str">
            <v>ROLFORMADOS</v>
          </cell>
          <cell r="K25">
            <v>41890</v>
          </cell>
        </row>
        <row r="26">
          <cell r="D26" t="str">
            <v>17511</v>
          </cell>
          <cell r="E26" t="str">
            <v>tela verde cerramiento h: 2.10 m</v>
          </cell>
          <cell r="F26" t="str">
            <v>m</v>
          </cell>
          <cell r="G26">
            <v>1700</v>
          </cell>
          <cell r="H26">
            <v>0.16</v>
          </cell>
          <cell r="I26">
            <v>1971.9999999999998</v>
          </cell>
          <cell r="J26" t="str">
            <v>FERRETERIA AMISTAD</v>
          </cell>
          <cell r="K26">
            <v>41890</v>
          </cell>
        </row>
        <row r="27">
          <cell r="D27" t="str">
            <v>17711</v>
          </cell>
          <cell r="E27" t="str">
            <v>señal vertical</v>
          </cell>
          <cell r="F27" t="str">
            <v>u</v>
          </cell>
          <cell r="G27">
            <v>190000</v>
          </cell>
          <cell r="H27">
            <v>0.16</v>
          </cell>
          <cell r="I27">
            <v>220399.99999999997</v>
          </cell>
          <cell r="J27" t="str">
            <v xml:space="preserve">AB SEÑALIZACION </v>
          </cell>
          <cell r="K27">
            <v>41866</v>
          </cell>
        </row>
        <row r="28">
          <cell r="D28" t="str">
            <v>18133</v>
          </cell>
          <cell r="E28" t="str">
            <v>bloque 15x20x40 intermed 2 perforaciones r13 (13.0 kg)</v>
          </cell>
          <cell r="F28" t="str">
            <v>u</v>
          </cell>
          <cell r="G28">
            <v>2303</v>
          </cell>
          <cell r="H28">
            <v>0.16</v>
          </cell>
          <cell r="I28">
            <v>2671.48</v>
          </cell>
          <cell r="J28" t="str">
            <v>INDURAL</v>
          </cell>
          <cell r="K28">
            <v>41671</v>
          </cell>
        </row>
        <row r="29">
          <cell r="D29" t="str">
            <v>18143</v>
          </cell>
          <cell r="E29" t="str">
            <v>bloque 20x20x40 intermed 2 perforaciones r13 (16.1 kg)</v>
          </cell>
          <cell r="F29" t="str">
            <v>u</v>
          </cell>
          <cell r="G29">
            <v>2998.1</v>
          </cell>
          <cell r="H29">
            <v>0.16</v>
          </cell>
          <cell r="I29">
            <v>3477.7959999999998</v>
          </cell>
          <cell r="J29" t="str">
            <v>INDURAL</v>
          </cell>
          <cell r="K29">
            <v>41671</v>
          </cell>
        </row>
        <row r="30">
          <cell r="D30" t="str">
            <v>18328</v>
          </cell>
          <cell r="E30" t="str">
            <v>adoquin tactil guia o alerta 20x20x6 amarillo, champaña, salmon, jaspe, beige 5.4 kg ntc 2017</v>
          </cell>
          <cell r="F30" t="str">
            <v>u</v>
          </cell>
          <cell r="G30">
            <v>1752.2</v>
          </cell>
          <cell r="H30">
            <v>0.16</v>
          </cell>
          <cell r="I30">
            <v>2032.5519999999999</v>
          </cell>
          <cell r="J30" t="str">
            <v>CONCRETODO</v>
          </cell>
          <cell r="K30">
            <v>41654</v>
          </cell>
        </row>
        <row r="31">
          <cell r="D31" t="str">
            <v>18329</v>
          </cell>
          <cell r="E31" t="str">
            <v>tableta demarcadora 15x100x6</v>
          </cell>
          <cell r="F31" t="str">
            <v>u</v>
          </cell>
          <cell r="G31">
            <v>6570.75</v>
          </cell>
          <cell r="H31">
            <v>0.16</v>
          </cell>
          <cell r="I31">
            <v>7622.07</v>
          </cell>
          <cell r="J31" t="str">
            <v>CONCRETODO</v>
          </cell>
          <cell r="K31">
            <v>41654</v>
          </cell>
        </row>
        <row r="32">
          <cell r="D32" t="str">
            <v>18814</v>
          </cell>
          <cell r="E32" t="str">
            <v xml:space="preserve">bordillo rectangular recto prefabricado u50 </v>
          </cell>
          <cell r="F32" t="str">
            <v>u</v>
          </cell>
          <cell r="G32">
            <v>20112</v>
          </cell>
          <cell r="H32">
            <v>0.16</v>
          </cell>
          <cell r="I32">
            <v>23329.919999999998</v>
          </cell>
          <cell r="J32" t="str">
            <v>COLBLOQUES</v>
          </cell>
          <cell r="K32">
            <v>41671</v>
          </cell>
        </row>
        <row r="33">
          <cell r="D33" t="str">
            <v>18815</v>
          </cell>
          <cell r="E33" t="str">
            <v>bordillo barrera recto prefabricado u10</v>
          </cell>
          <cell r="F33" t="str">
            <v>u</v>
          </cell>
          <cell r="G33">
            <v>18492</v>
          </cell>
          <cell r="H33">
            <v>0.16</v>
          </cell>
          <cell r="I33">
            <v>21450.719999999998</v>
          </cell>
          <cell r="J33" t="str">
            <v>COLBLOQUES</v>
          </cell>
          <cell r="K33">
            <v>41671</v>
          </cell>
        </row>
        <row r="34">
          <cell r="D34" t="str">
            <v>18816</v>
          </cell>
          <cell r="E34" t="str">
            <v>bordillo cuadrante barrera prefabricado u70</v>
          </cell>
          <cell r="F34" t="str">
            <v>u</v>
          </cell>
          <cell r="G34">
            <v>20341.2</v>
          </cell>
          <cell r="H34">
            <v>0.16</v>
          </cell>
          <cell r="I34">
            <v>23595.791999999998</v>
          </cell>
          <cell r="J34" t="str">
            <v>CONCRETODO</v>
          </cell>
          <cell r="K34">
            <v>41654</v>
          </cell>
        </row>
        <row r="35">
          <cell r="D35" t="str">
            <v>18817</v>
          </cell>
          <cell r="E35" t="str">
            <v>bordillo rebaje prefabricado u160</v>
          </cell>
          <cell r="F35" t="str">
            <v>u</v>
          </cell>
          <cell r="G35">
            <v>21265.8</v>
          </cell>
          <cell r="H35">
            <v>0.16</v>
          </cell>
          <cell r="I35">
            <v>24668.327999999998</v>
          </cell>
          <cell r="J35" t="str">
            <v>CONCRETODO</v>
          </cell>
          <cell r="K35">
            <v>41654</v>
          </cell>
        </row>
        <row r="36">
          <cell r="D36" t="str">
            <v>18818</v>
          </cell>
          <cell r="E36" t="str">
            <v>bordillo esquinero barrera 90° prefabricado u120</v>
          </cell>
          <cell r="F36" t="str">
            <v>u</v>
          </cell>
          <cell r="G36">
            <v>14793.6</v>
          </cell>
          <cell r="H36">
            <v>0.16</v>
          </cell>
          <cell r="I36">
            <v>17160.576000000001</v>
          </cell>
          <cell r="J36" t="str">
            <v>CONCRETODO</v>
          </cell>
          <cell r="K36">
            <v>41654</v>
          </cell>
        </row>
        <row r="37">
          <cell r="D37" t="str">
            <v>18Z11</v>
          </cell>
          <cell r="E37" t="str">
            <v>telera de 0.90 x 1.35 m en madera comun</v>
          </cell>
          <cell r="F37" t="str">
            <v>u</v>
          </cell>
          <cell r="G37">
            <v>14000</v>
          </cell>
          <cell r="H37">
            <v>0.16</v>
          </cell>
          <cell r="I37">
            <v>16239.999999999998</v>
          </cell>
          <cell r="J37" t="str">
            <v>ESTIBAS Y HUACALES</v>
          </cell>
          <cell r="K37">
            <v>41893</v>
          </cell>
        </row>
        <row r="38">
          <cell r="D38" t="str">
            <v>18Z13</v>
          </cell>
          <cell r="E38" t="str">
            <v>cuadro madera comun 4"x4" de 3m</v>
          </cell>
          <cell r="F38" t="str">
            <v>u</v>
          </cell>
          <cell r="G38">
            <v>13000</v>
          </cell>
          <cell r="H38">
            <v>0.16</v>
          </cell>
          <cell r="I38">
            <v>15079.999999999998</v>
          </cell>
          <cell r="J38" t="str">
            <v>ESTIBAS Y HUACALES</v>
          </cell>
          <cell r="K38">
            <v>41893</v>
          </cell>
        </row>
        <row r="39">
          <cell r="D39" t="str">
            <v>18Z14</v>
          </cell>
          <cell r="E39" t="str">
            <v xml:space="preserve">can en madera comun 8"x2" de 3m </v>
          </cell>
          <cell r="F39" t="str">
            <v>u</v>
          </cell>
          <cell r="G39">
            <v>12000</v>
          </cell>
          <cell r="H39">
            <v>0.16</v>
          </cell>
          <cell r="I39">
            <v>13919.999999999998</v>
          </cell>
          <cell r="J39" t="str">
            <v>ESTIBAS Y HUACALES</v>
          </cell>
          <cell r="K39">
            <v>41893</v>
          </cell>
        </row>
        <row r="40">
          <cell r="D40" t="str">
            <v>18Z15</v>
          </cell>
          <cell r="E40" t="str">
            <v>tabla madera comun 1 x 8" 3m</v>
          </cell>
          <cell r="F40" t="str">
            <v>u</v>
          </cell>
          <cell r="G40">
            <v>8000</v>
          </cell>
          <cell r="H40">
            <v>0.16</v>
          </cell>
          <cell r="I40">
            <v>9280</v>
          </cell>
          <cell r="J40" t="str">
            <v>ESTIBAS Y HUACALES</v>
          </cell>
          <cell r="K40">
            <v>41893</v>
          </cell>
        </row>
        <row r="41">
          <cell r="D41" t="str">
            <v>18Z16</v>
          </cell>
          <cell r="E41" t="str">
            <v>larguero madera comun 2"x4" de 3m</v>
          </cell>
          <cell r="F41" t="str">
            <v>u</v>
          </cell>
          <cell r="G41">
            <v>6000</v>
          </cell>
          <cell r="H41">
            <v>0.16</v>
          </cell>
          <cell r="I41">
            <v>6959.9999999999991</v>
          </cell>
          <cell r="J41" t="str">
            <v>ESTIBAS Y HUACALES</v>
          </cell>
          <cell r="K41">
            <v>41893</v>
          </cell>
        </row>
        <row r="42">
          <cell r="D42" t="str">
            <v>18Z18</v>
          </cell>
          <cell r="E42" t="str">
            <v>estacon madera comun 3" de 3m</v>
          </cell>
          <cell r="F42" t="str">
            <v>u</v>
          </cell>
          <cell r="G42">
            <v>17990</v>
          </cell>
          <cell r="H42">
            <v>0.16</v>
          </cell>
          <cell r="I42">
            <v>20868.399999999998</v>
          </cell>
          <cell r="J42" t="str">
            <v>ASERRIO MYD</v>
          </cell>
          <cell r="K42">
            <v>41890</v>
          </cell>
        </row>
        <row r="43">
          <cell r="D43" t="str">
            <v>18Z21</v>
          </cell>
          <cell r="E43" t="str">
            <v>triplex formaleta 1.53x2.44m x 19mm verde (6 usos)</v>
          </cell>
          <cell r="F43" t="str">
            <v>u</v>
          </cell>
          <cell r="G43">
            <v>118900</v>
          </cell>
          <cell r="H43">
            <v>0.16</v>
          </cell>
          <cell r="I43">
            <v>137924</v>
          </cell>
          <cell r="J43" t="str">
            <v>CONSTRUCTOR 10 - PAG 222</v>
          </cell>
          <cell r="K43">
            <v>41740</v>
          </cell>
        </row>
        <row r="44">
          <cell r="D44" t="str">
            <v>18Z22</v>
          </cell>
          <cell r="E44" t="str">
            <v>manguera felxible pf 1/2"</v>
          </cell>
          <cell r="F44" t="str">
            <v>m</v>
          </cell>
          <cell r="G44">
            <v>4400</v>
          </cell>
          <cell r="H44">
            <v>0.16</v>
          </cell>
          <cell r="I44">
            <v>5104</v>
          </cell>
          <cell r="J44" t="str">
            <v>MAXIFER</v>
          </cell>
          <cell r="K44">
            <v>41890</v>
          </cell>
        </row>
        <row r="45">
          <cell r="D45" t="str">
            <v>18Z23</v>
          </cell>
          <cell r="E45" t="str">
            <v>nylon</v>
          </cell>
          <cell r="F45" t="str">
            <v>m</v>
          </cell>
          <cell r="G45">
            <v>52</v>
          </cell>
          <cell r="H45">
            <v>0.16</v>
          </cell>
          <cell r="I45">
            <v>60.319999999999993</v>
          </cell>
          <cell r="J45" t="str">
            <v>FERRETERIA AMISTAD</v>
          </cell>
          <cell r="K45">
            <v>41890</v>
          </cell>
        </row>
        <row r="46">
          <cell r="D46" t="str">
            <v>1A911</v>
          </cell>
          <cell r="E46" t="str">
            <v xml:space="preserve">oficina tipo campamento de 6mx2,40x2,40m </v>
          </cell>
          <cell r="F46" t="str">
            <v>mes</v>
          </cell>
          <cell r="G46">
            <v>1500000</v>
          </cell>
          <cell r="H46">
            <v>0.16</v>
          </cell>
          <cell r="I46">
            <v>1739999.9999999998</v>
          </cell>
          <cell r="J46" t="str">
            <v>ALQUILAR</v>
          </cell>
          <cell r="K46">
            <v>41893</v>
          </cell>
        </row>
        <row r="47">
          <cell r="D47" t="str">
            <v>1E111</v>
          </cell>
          <cell r="E47" t="str">
            <v>adaptador - pvc - conduit - 2"</v>
          </cell>
          <cell r="F47" t="str">
            <v>u</v>
          </cell>
          <cell r="G47">
            <v>2906</v>
          </cell>
          <cell r="H47">
            <v>0</v>
          </cell>
          <cell r="I47">
            <v>2906</v>
          </cell>
          <cell r="J47" t="str">
            <v>PAVCO</v>
          </cell>
          <cell r="K47">
            <v>41671</v>
          </cell>
        </row>
        <row r="48">
          <cell r="D48" t="str">
            <v>1E113</v>
          </cell>
          <cell r="E48" t="str">
            <v>borna terminal - # 4 awg - de compresion estañada - 3m</v>
          </cell>
          <cell r="F48" t="str">
            <v>u</v>
          </cell>
          <cell r="G48">
            <v>3716</v>
          </cell>
          <cell r="H48">
            <v>0</v>
          </cell>
          <cell r="I48">
            <v>3716</v>
          </cell>
          <cell r="J48" t="str">
            <v>ENSAMBLES Y DISTRIBUCIONES</v>
          </cell>
          <cell r="K48">
            <v>41640</v>
          </cell>
        </row>
        <row r="49">
          <cell r="D49" t="str">
            <v>1E114</v>
          </cell>
          <cell r="E49" t="str">
            <v>borna terminal - # 6 awg - de compresion estañada - 3m</v>
          </cell>
          <cell r="F49" t="str">
            <v>u</v>
          </cell>
          <cell r="G49">
            <v>3716</v>
          </cell>
          <cell r="H49">
            <v>0</v>
          </cell>
          <cell r="I49">
            <v>3716</v>
          </cell>
          <cell r="J49" t="str">
            <v>ENSAMBLES Y DISTRIBUCIONES</v>
          </cell>
          <cell r="K49">
            <v>41640</v>
          </cell>
        </row>
        <row r="50">
          <cell r="D50" t="str">
            <v>1E116</v>
          </cell>
          <cell r="E50" t="str">
            <v>brazo metalico - 11/2" - 52°/0°</v>
          </cell>
          <cell r="F50" t="str">
            <v>u</v>
          </cell>
          <cell r="G50">
            <v>85000</v>
          </cell>
          <cell r="H50">
            <v>0</v>
          </cell>
          <cell r="I50">
            <v>85000</v>
          </cell>
          <cell r="J50" t="str">
            <v>ENSAMBLES Y DISTRIBUCIONES</v>
          </cell>
          <cell r="K50">
            <v>41640</v>
          </cell>
        </row>
        <row r="51">
          <cell r="D51" t="str">
            <v>1E117</v>
          </cell>
          <cell r="E51" t="str">
            <v>breaker - totalizador - tripolar - 50a - schneider - ezc100b</v>
          </cell>
          <cell r="F51" t="str">
            <v>u</v>
          </cell>
          <cell r="G51">
            <v>215300</v>
          </cell>
          <cell r="H51">
            <v>0</v>
          </cell>
          <cell r="I51">
            <v>215300</v>
          </cell>
          <cell r="J51" t="str">
            <v>ENSAMBLES Y DISTRIBUCIONES</v>
          </cell>
          <cell r="K51">
            <v>41640</v>
          </cell>
        </row>
        <row r="52">
          <cell r="D52" t="str">
            <v>1E118</v>
          </cell>
          <cell r="E52" t="str">
            <v>brecha - piso blando - 30x50cm</v>
          </cell>
          <cell r="F52" t="str">
            <v>m</v>
          </cell>
          <cell r="G52">
            <v>15000</v>
          </cell>
          <cell r="H52">
            <v>0</v>
          </cell>
          <cell r="I52">
            <v>15000</v>
          </cell>
          <cell r="J52" t="str">
            <v>ENSAMBLES Y DISTRIBUCIONES</v>
          </cell>
          <cell r="K52">
            <v>41640</v>
          </cell>
        </row>
        <row r="53">
          <cell r="D53" t="str">
            <v>1E119</v>
          </cell>
          <cell r="E53" t="str">
            <v>brecha - piso duro - 30x50cm</v>
          </cell>
          <cell r="F53" t="str">
            <v>m</v>
          </cell>
          <cell r="G53">
            <v>30000</v>
          </cell>
          <cell r="H53">
            <v>0</v>
          </cell>
          <cell r="I53">
            <v>30000</v>
          </cell>
          <cell r="J53" t="str">
            <v>ENSAMBLES Y DISTRIBUCIONES</v>
          </cell>
          <cell r="K53">
            <v>41640</v>
          </cell>
        </row>
        <row r="54">
          <cell r="D54" t="str">
            <v>1E120</v>
          </cell>
          <cell r="E54" t="str">
            <v>cable encauchetado 3 n°12 awg</v>
          </cell>
          <cell r="F54" t="str">
            <v>m</v>
          </cell>
          <cell r="G54">
            <v>7500</v>
          </cell>
          <cell r="H54">
            <v>0</v>
          </cell>
          <cell r="I54">
            <v>7500</v>
          </cell>
          <cell r="J54" t="str">
            <v>ENSAMBLES Y DISTRIBUCIONES</v>
          </cell>
          <cell r="K54">
            <v>41640</v>
          </cell>
        </row>
        <row r="55">
          <cell r="D55" t="str">
            <v>1E121</v>
          </cell>
          <cell r="E55" t="str">
            <v>cable de cobre aislado thhn n°4 awg</v>
          </cell>
          <cell r="F55" t="str">
            <v>m</v>
          </cell>
          <cell r="G55">
            <v>10791</v>
          </cell>
          <cell r="H55">
            <v>0</v>
          </cell>
          <cell r="I55">
            <v>10791</v>
          </cell>
          <cell r="J55" t="str">
            <v>ENSAMBLES Y DISTRIBUCIONES</v>
          </cell>
          <cell r="K55">
            <v>41640</v>
          </cell>
        </row>
        <row r="56">
          <cell r="D56" t="str">
            <v>1E122</v>
          </cell>
          <cell r="E56" t="str">
            <v>cable de cobre aislado thhn n°6 awg</v>
          </cell>
          <cell r="F56" t="str">
            <v>m</v>
          </cell>
          <cell r="G56">
            <v>6999</v>
          </cell>
          <cell r="H56">
            <v>0</v>
          </cell>
          <cell r="I56">
            <v>6999</v>
          </cell>
          <cell r="J56" t="str">
            <v>ENSAMBLES Y DISTRIBUCIONES</v>
          </cell>
          <cell r="K56">
            <v>41640</v>
          </cell>
        </row>
        <row r="57">
          <cell r="D57" t="str">
            <v>1E123</v>
          </cell>
          <cell r="E57" t="str">
            <v>caja - contador - sencilla - metálica o policarbonato - intemperie - porta tacos</v>
          </cell>
          <cell r="F57" t="str">
            <v>u</v>
          </cell>
          <cell r="G57">
            <v>40000</v>
          </cell>
          <cell r="H57">
            <v>0</v>
          </cell>
          <cell r="I57">
            <v>40000</v>
          </cell>
          <cell r="J57" t="str">
            <v>ENSAMBLES Y DISTRIBUCIONES</v>
          </cell>
          <cell r="K57">
            <v>41640</v>
          </cell>
        </row>
        <row r="58">
          <cell r="D58" t="str">
            <v>1E124</v>
          </cell>
          <cell r="E58" t="str">
            <v>legalizacion ante epm</v>
          </cell>
          <cell r="F58" t="str">
            <v>u</v>
          </cell>
          <cell r="G58">
            <v>1000000</v>
          </cell>
          <cell r="H58">
            <v>0</v>
          </cell>
          <cell r="I58">
            <v>1000000</v>
          </cell>
          <cell r="J58" t="str">
            <v>ENSAMBLES Y DISTRIBUCIONES</v>
          </cell>
          <cell r="K58">
            <v>41640</v>
          </cell>
        </row>
        <row r="59">
          <cell r="D59" t="str">
            <v>1E125</v>
          </cell>
          <cell r="E59" t="str">
            <v>certificacion retie - cidet</v>
          </cell>
          <cell r="F59" t="str">
            <v>u</v>
          </cell>
          <cell r="G59">
            <v>2500000</v>
          </cell>
          <cell r="H59">
            <v>0</v>
          </cell>
          <cell r="I59">
            <v>2500000</v>
          </cell>
          <cell r="J59" t="str">
            <v>ENSAMBLES Y DISTRIBUCIONES</v>
          </cell>
          <cell r="K59">
            <v>41640</v>
          </cell>
        </row>
        <row r="60">
          <cell r="D60" t="str">
            <v>1E126</v>
          </cell>
          <cell r="E60" t="str">
            <v>certificacion retilap - cidet</v>
          </cell>
          <cell r="F60" t="str">
            <v>u</v>
          </cell>
          <cell r="G60">
            <v>2500000</v>
          </cell>
          <cell r="H60">
            <v>0</v>
          </cell>
          <cell r="I60">
            <v>2500000</v>
          </cell>
          <cell r="J60" t="str">
            <v>ENSAMBLES Y DISTRIBUCIONES</v>
          </cell>
          <cell r="K60">
            <v>41640</v>
          </cell>
        </row>
        <row r="61">
          <cell r="D61" t="str">
            <v>1E127</v>
          </cell>
          <cell r="E61" t="str">
            <v>cinta aislante autofundente scotch 23</v>
          </cell>
          <cell r="F61" t="str">
            <v>u</v>
          </cell>
          <cell r="G61">
            <v>29000</v>
          </cell>
          <cell r="H61">
            <v>0</v>
          </cell>
          <cell r="I61">
            <v>29000</v>
          </cell>
          <cell r="J61" t="str">
            <v>ENSAMBLES Y DISTRIBUCIONES</v>
          </cell>
          <cell r="K61">
            <v>41640</v>
          </cell>
        </row>
        <row r="62">
          <cell r="D62" t="str">
            <v>1E128</v>
          </cell>
          <cell r="E62" t="str">
            <v>cinta aislante scotch 33</v>
          </cell>
          <cell r="F62" t="str">
            <v>u</v>
          </cell>
          <cell r="G62">
            <v>8000</v>
          </cell>
          <cell r="H62">
            <v>0</v>
          </cell>
          <cell r="I62">
            <v>8000</v>
          </cell>
          <cell r="J62" t="str">
            <v>ENSAMBLES Y DISTRIBUCIONES</v>
          </cell>
          <cell r="K62">
            <v>41640</v>
          </cell>
        </row>
        <row r="63">
          <cell r="D63" t="str">
            <v>1E131</v>
          </cell>
          <cell r="E63" t="str">
            <v>t1 - contador de energía activa - monofásico trifilar - 240/120 v - 10(60) a - 15(60) a - 15(100) a - calibrado</v>
          </cell>
          <cell r="F63" t="str">
            <v>u</v>
          </cell>
          <cell r="G63">
            <v>200000</v>
          </cell>
          <cell r="H63">
            <v>0</v>
          </cell>
          <cell r="I63">
            <v>200000</v>
          </cell>
          <cell r="J63" t="str">
            <v>ENSAMBLES Y DISTRIBUCIONES</v>
          </cell>
          <cell r="K63">
            <v>41640</v>
          </cell>
        </row>
        <row r="64">
          <cell r="D64" t="str">
            <v>1E132</v>
          </cell>
          <cell r="E64" t="str">
            <v>varilla cooperweld - cobre macizo - 5/8" - 2.40mt</v>
          </cell>
          <cell r="F64" t="str">
            <v>u</v>
          </cell>
          <cell r="G64">
            <v>85000</v>
          </cell>
          <cell r="H64">
            <v>0</v>
          </cell>
          <cell r="I64">
            <v>85000</v>
          </cell>
          <cell r="J64" t="str">
            <v>ENSAMBLES Y DISTRIBUCIONES</v>
          </cell>
          <cell r="K64">
            <v>41640</v>
          </cell>
        </row>
        <row r="65">
          <cell r="D65" t="str">
            <v>1E135</v>
          </cell>
          <cell r="E65" t="str">
            <v>curva 90° - pvc - conduit - 2"</v>
          </cell>
          <cell r="F65" t="str">
            <v>u</v>
          </cell>
          <cell r="G65">
            <v>8400</v>
          </cell>
          <cell r="H65">
            <v>0</v>
          </cell>
          <cell r="I65">
            <v>8400</v>
          </cell>
          <cell r="J65" t="str">
            <v>ENSAMBLES Y DISTRIBUCIONES</v>
          </cell>
          <cell r="K65">
            <v>41640</v>
          </cell>
        </row>
        <row r="66">
          <cell r="D66" t="str">
            <v>1E137</v>
          </cell>
          <cell r="E66" t="str">
            <v>fijación - tipo rl 38 - chazo</v>
          </cell>
          <cell r="F66" t="str">
            <v>u</v>
          </cell>
          <cell r="G66">
            <v>1500</v>
          </cell>
          <cell r="H66">
            <v>0</v>
          </cell>
          <cell r="I66">
            <v>1500</v>
          </cell>
          <cell r="J66" t="str">
            <v>ENSAMBLES Y DISTRIBUCIONES</v>
          </cell>
          <cell r="K66">
            <v>41640</v>
          </cell>
        </row>
        <row r="67">
          <cell r="D67" t="str">
            <v>1E139</v>
          </cell>
          <cell r="E67" t="str">
            <v>herraje caja en piso - 50x50cm libres</v>
          </cell>
          <cell r="F67" t="str">
            <v>u</v>
          </cell>
          <cell r="G67">
            <v>110000</v>
          </cell>
          <cell r="H67">
            <v>0</v>
          </cell>
          <cell r="I67">
            <v>110000</v>
          </cell>
          <cell r="J67" t="str">
            <v>ENSAMBLES Y DISTRIBUCIONES</v>
          </cell>
          <cell r="K67">
            <v>41640</v>
          </cell>
        </row>
        <row r="68">
          <cell r="D68" t="str">
            <v>1E140</v>
          </cell>
          <cell r="E68" t="str">
            <v>luminaria - led - apollo series led street light - 120 v - 4500k - 11250 lm - rl2r1056</v>
          </cell>
          <cell r="F68" t="str">
            <v>u</v>
          </cell>
          <cell r="G68">
            <v>1100000</v>
          </cell>
          <cell r="H68">
            <v>0</v>
          </cell>
          <cell r="I68">
            <v>1100000</v>
          </cell>
          <cell r="J68" t="str">
            <v>ENSAMBLES Y DISTRIBUCIONES</v>
          </cell>
          <cell r="K68">
            <v>41640</v>
          </cell>
        </row>
        <row r="69">
          <cell r="D69" t="str">
            <v>1E141</v>
          </cell>
          <cell r="E69" t="str">
            <v>marcacion tablero ml o puerta - acrilico</v>
          </cell>
          <cell r="F69" t="str">
            <v>u</v>
          </cell>
          <cell r="G69">
            <v>15000</v>
          </cell>
          <cell r="H69">
            <v>0</v>
          </cell>
          <cell r="I69">
            <v>15000</v>
          </cell>
          <cell r="J69" t="str">
            <v>ENSAMBLES Y DISTRIBUCIONES</v>
          </cell>
          <cell r="K69">
            <v>41640</v>
          </cell>
        </row>
        <row r="70">
          <cell r="D70" t="str">
            <v>1E142</v>
          </cell>
          <cell r="E70" t="str">
            <v>marcacion tablero - contact - cinta dymo plastica</v>
          </cell>
          <cell r="F70" t="str">
            <v>u</v>
          </cell>
          <cell r="G70">
            <v>3000</v>
          </cell>
          <cell r="H70">
            <v>0</v>
          </cell>
          <cell r="I70">
            <v>3000</v>
          </cell>
          <cell r="J70" t="str">
            <v>ENSAMBLES Y DISTRIBUCIONES</v>
          </cell>
          <cell r="K70">
            <v>41640</v>
          </cell>
        </row>
        <row r="71">
          <cell r="D71" t="str">
            <v>1E143</v>
          </cell>
          <cell r="E71" t="str">
            <v>tablero ml - 2 fases - 8 circuitos - espacio para totalizador - espacio para equipo de medida - espacio para dps - con puerta</v>
          </cell>
          <cell r="F71" t="str">
            <v>u</v>
          </cell>
          <cell r="G71">
            <v>1500000</v>
          </cell>
          <cell r="H71">
            <v>0</v>
          </cell>
          <cell r="I71">
            <v>1500000</v>
          </cell>
          <cell r="J71" t="str">
            <v>ENSAMBLES Y DISTRIBUCIONES</v>
          </cell>
          <cell r="K71">
            <v>41640</v>
          </cell>
        </row>
        <row r="72">
          <cell r="D72" t="str">
            <v>1E144</v>
          </cell>
          <cell r="E72" t="str">
            <v>pintura reflectiva amarillo - tipo intemperie - marcacion poste</v>
          </cell>
          <cell r="F72" t="str">
            <v>m2</v>
          </cell>
          <cell r="G72">
            <v>3500</v>
          </cell>
          <cell r="H72">
            <v>0</v>
          </cell>
          <cell r="I72">
            <v>3500</v>
          </cell>
          <cell r="J72" t="str">
            <v>ENSAMBLES Y DISTRIBUCIONES</v>
          </cell>
          <cell r="K72">
            <v>41640</v>
          </cell>
        </row>
        <row r="73">
          <cell r="D73" t="str">
            <v>1E145</v>
          </cell>
          <cell r="E73" t="str">
            <v>pintura reflectiva negra - tipo intemperie - marcacion poste</v>
          </cell>
          <cell r="F73" t="str">
            <v>m2</v>
          </cell>
          <cell r="G73">
            <v>3500</v>
          </cell>
          <cell r="H73">
            <v>0</v>
          </cell>
          <cell r="I73">
            <v>3500</v>
          </cell>
          <cell r="J73" t="str">
            <v>ENSAMBLES Y DISTRIBUCIONES</v>
          </cell>
          <cell r="K73">
            <v>41640</v>
          </cell>
        </row>
        <row r="74">
          <cell r="D74" t="str">
            <v>1E146</v>
          </cell>
          <cell r="E74" t="str">
            <v>poste - concreto pretensado - 10mt - 510 kg</v>
          </cell>
          <cell r="F74" t="str">
            <v>u</v>
          </cell>
          <cell r="G74">
            <v>800000</v>
          </cell>
          <cell r="H74">
            <v>0</v>
          </cell>
          <cell r="I74">
            <v>800000</v>
          </cell>
          <cell r="J74" t="str">
            <v>ENSAMBLES Y DISTRIBUCIONES</v>
          </cell>
          <cell r="K74">
            <v>41640</v>
          </cell>
        </row>
        <row r="75">
          <cell r="D75" t="str">
            <v>1E148</v>
          </cell>
          <cell r="E75" t="str">
            <v>soldadura exotermica - 150 gr</v>
          </cell>
          <cell r="F75" t="str">
            <v>u</v>
          </cell>
          <cell r="G75">
            <v>25000</v>
          </cell>
          <cell r="H75">
            <v>0</v>
          </cell>
          <cell r="I75">
            <v>25000</v>
          </cell>
          <cell r="J75" t="str">
            <v>ENSAMBLES Y DISTRIBUCIONES</v>
          </cell>
          <cell r="K75">
            <v>41640</v>
          </cell>
        </row>
        <row r="76">
          <cell r="D76" t="str">
            <v>1E149</v>
          </cell>
          <cell r="E76" t="str">
            <v>soldadura liquida conduit pvc - 1/8 gl</v>
          </cell>
          <cell r="F76" t="str">
            <v>u</v>
          </cell>
          <cell r="G76">
            <v>33170</v>
          </cell>
          <cell r="H76">
            <v>0.16</v>
          </cell>
          <cell r="I76">
            <v>38477.199999999997</v>
          </cell>
          <cell r="J76" t="str">
            <v>PAVCO</v>
          </cell>
          <cell r="K76">
            <v>41671</v>
          </cell>
        </row>
        <row r="77">
          <cell r="D77" t="str">
            <v>1E150</v>
          </cell>
          <cell r="E77" t="str">
            <v>transformador - monofasico - aceite - 15 kva - 7.620/ 480 -240 v</v>
          </cell>
          <cell r="F77" t="str">
            <v>u</v>
          </cell>
          <cell r="G77">
            <v>4000000</v>
          </cell>
          <cell r="H77">
            <v>0</v>
          </cell>
          <cell r="I77">
            <v>4000000</v>
          </cell>
          <cell r="J77" t="str">
            <v>ENSAMBLES Y DISTRIBUCIONES</v>
          </cell>
          <cell r="K77">
            <v>41640</v>
          </cell>
        </row>
        <row r="78">
          <cell r="D78" t="str">
            <v>1E152</v>
          </cell>
          <cell r="E78" t="str">
            <v>tubo - pvc - conduit - 2"</v>
          </cell>
          <cell r="F78" t="str">
            <v>m</v>
          </cell>
          <cell r="G78">
            <v>7000</v>
          </cell>
          <cell r="H78">
            <v>0</v>
          </cell>
          <cell r="I78">
            <v>7000</v>
          </cell>
          <cell r="J78" t="str">
            <v>ENSAMBLES Y DISTRIBUCIONES</v>
          </cell>
          <cell r="K78">
            <v>41640</v>
          </cell>
        </row>
        <row r="79">
          <cell r="D79" t="str">
            <v>1E153</v>
          </cell>
          <cell r="E79" t="str">
            <v>union - pvc - conduit - 2"</v>
          </cell>
          <cell r="F79" t="str">
            <v>u</v>
          </cell>
          <cell r="G79">
            <v>1300</v>
          </cell>
          <cell r="H79">
            <v>0</v>
          </cell>
          <cell r="I79">
            <v>1300</v>
          </cell>
          <cell r="J79" t="str">
            <v>ENSAMBLES Y DISTRIBUCIONES</v>
          </cell>
          <cell r="K79">
            <v>41640</v>
          </cell>
        </row>
        <row r="80">
          <cell r="D80" t="str">
            <v>1E511</v>
          </cell>
          <cell r="E80" t="str">
            <v>arandela cuadrada de 5/8x3/16"</v>
          </cell>
          <cell r="F80" t="str">
            <v>u</v>
          </cell>
          <cell r="G80">
            <v>5200</v>
          </cell>
          <cell r="H80">
            <v>0</v>
          </cell>
          <cell r="I80">
            <v>5200</v>
          </cell>
          <cell r="J80" t="str">
            <v>ENSAMBLES Y DISTRIBUCIONES</v>
          </cell>
          <cell r="K80">
            <v>41640</v>
          </cell>
        </row>
        <row r="81">
          <cell r="D81" t="str">
            <v>1E512</v>
          </cell>
          <cell r="E81" t="str">
            <v>alambre de cobre desnudo no. 4</v>
          </cell>
          <cell r="F81" t="str">
            <v>m</v>
          </cell>
          <cell r="G81">
            <v>6148</v>
          </cell>
          <cell r="H81">
            <v>0</v>
          </cell>
          <cell r="I81">
            <v>6148</v>
          </cell>
          <cell r="J81" t="str">
            <v>ENSAMBLES Y DISTRIBUCIONES</v>
          </cell>
          <cell r="K81">
            <v>41640</v>
          </cell>
        </row>
        <row r="82">
          <cell r="D82" t="str">
            <v>1E514</v>
          </cell>
          <cell r="E82" t="str">
            <v>aislador tensor de 41/4"-13.2kv</v>
          </cell>
          <cell r="F82" t="str">
            <v>u</v>
          </cell>
          <cell r="G82">
            <v>7920</v>
          </cell>
          <cell r="H82">
            <v>0</v>
          </cell>
          <cell r="I82">
            <v>7920</v>
          </cell>
          <cell r="J82" t="str">
            <v>ENSAMBLES Y DISTRIBUCIONES</v>
          </cell>
          <cell r="K82">
            <v>41640</v>
          </cell>
        </row>
        <row r="83">
          <cell r="D83" t="str">
            <v>1E515</v>
          </cell>
          <cell r="E83" t="str">
            <v>aislador polimerico tipo suspension 13.2kv</v>
          </cell>
          <cell r="F83" t="str">
            <v>u</v>
          </cell>
          <cell r="G83">
            <v>25829</v>
          </cell>
          <cell r="H83">
            <v>0</v>
          </cell>
          <cell r="I83">
            <v>25829</v>
          </cell>
          <cell r="J83" t="str">
            <v>ENSAMBLES Y DISTRIBUCIONES</v>
          </cell>
          <cell r="K83">
            <v>41640</v>
          </cell>
        </row>
        <row r="84">
          <cell r="D84" t="str">
            <v>1E516</v>
          </cell>
          <cell r="E84" t="str">
            <v>amarre preformado cable cubierto</v>
          </cell>
          <cell r="F84" t="str">
            <v>u</v>
          </cell>
          <cell r="G84">
            <v>104632</v>
          </cell>
          <cell r="H84">
            <v>0</v>
          </cell>
          <cell r="I84">
            <v>104632</v>
          </cell>
          <cell r="J84" t="str">
            <v>ENSAMBLES Y DISTRIBUCIONES</v>
          </cell>
          <cell r="K84">
            <v>41640</v>
          </cell>
        </row>
        <row r="85">
          <cell r="D85" t="str">
            <v>1E518</v>
          </cell>
          <cell r="E85" t="str">
            <v>brazo angular tipo c</v>
          </cell>
          <cell r="F85" t="str">
            <v>u</v>
          </cell>
          <cell r="G85">
            <v>70160</v>
          </cell>
          <cell r="H85">
            <v>0</v>
          </cell>
          <cell r="I85">
            <v>70160</v>
          </cell>
          <cell r="J85" t="str">
            <v>ENSAMBLES Y DISTRIBUCIONES</v>
          </cell>
          <cell r="K85">
            <v>41640</v>
          </cell>
        </row>
        <row r="86">
          <cell r="D86" t="str">
            <v>1E519</v>
          </cell>
          <cell r="E86" t="str">
            <v>brazo viento farol primario</v>
          </cell>
          <cell r="F86" t="str">
            <v>u</v>
          </cell>
          <cell r="G86">
            <v>52200</v>
          </cell>
          <cell r="H86">
            <v>0</v>
          </cell>
          <cell r="I86">
            <v>52200</v>
          </cell>
          <cell r="J86" t="str">
            <v>ENSAMBLES Y DISTRIBUCIONES</v>
          </cell>
          <cell r="K86">
            <v>41640</v>
          </cell>
        </row>
        <row r="87">
          <cell r="D87" t="str">
            <v>1E520</v>
          </cell>
          <cell r="E87" t="str">
            <v>cruceta de 1500 mm</v>
          </cell>
          <cell r="F87" t="str">
            <v>u</v>
          </cell>
          <cell r="G87">
            <v>62747</v>
          </cell>
          <cell r="H87">
            <v>0</v>
          </cell>
          <cell r="I87">
            <v>62747</v>
          </cell>
          <cell r="J87" t="str">
            <v>ENSAMBLES Y DISTRIBUCIONES</v>
          </cell>
          <cell r="K87">
            <v>41640</v>
          </cell>
        </row>
        <row r="88">
          <cell r="D88" t="str">
            <v>1E521</v>
          </cell>
          <cell r="E88" t="str">
            <v>cable ecologico 266.8 kcm</v>
          </cell>
          <cell r="F88" t="str">
            <v>m</v>
          </cell>
          <cell r="G88">
            <v>15699</v>
          </cell>
          <cell r="H88">
            <v>0</v>
          </cell>
          <cell r="I88">
            <v>15699</v>
          </cell>
          <cell r="J88" t="str">
            <v>ENSAMBLES Y DISTRIBUCIONES</v>
          </cell>
          <cell r="K88">
            <v>41640</v>
          </cell>
        </row>
        <row r="89">
          <cell r="D89" t="str">
            <v>1E523</v>
          </cell>
          <cell r="E89" t="str">
            <v>cable super gx de 1/4"</v>
          </cell>
          <cell r="F89" t="str">
            <v>m</v>
          </cell>
          <cell r="G89">
            <v>1249</v>
          </cell>
          <cell r="H89">
            <v>0</v>
          </cell>
          <cell r="I89">
            <v>1249</v>
          </cell>
          <cell r="J89" t="str">
            <v>ENSAMBLES Y DISTRIBUCIONES</v>
          </cell>
          <cell r="K89">
            <v>41640</v>
          </cell>
        </row>
        <row r="90">
          <cell r="D90" t="str">
            <v>1E526</v>
          </cell>
          <cell r="E90" t="str">
            <v>conector de compr. tipo derivacion</v>
          </cell>
          <cell r="F90" t="str">
            <v>u</v>
          </cell>
          <cell r="G90">
            <v>4454</v>
          </cell>
          <cell r="H90">
            <v>0</v>
          </cell>
          <cell r="I90">
            <v>4454</v>
          </cell>
          <cell r="J90" t="str">
            <v>ENSAMBLES Y DISTRIBUCIONES</v>
          </cell>
          <cell r="K90">
            <v>41640</v>
          </cell>
        </row>
        <row r="91">
          <cell r="D91" t="str">
            <v>1E530</v>
          </cell>
          <cell r="E91" t="str">
            <v>cruceta metalica de 1500 mm</v>
          </cell>
          <cell r="F91" t="str">
            <v>u</v>
          </cell>
          <cell r="G91">
            <v>62747</v>
          </cell>
          <cell r="H91">
            <v>0</v>
          </cell>
          <cell r="I91">
            <v>62747</v>
          </cell>
          <cell r="J91" t="str">
            <v>ENSAMBLES Y DISTRIBUCIONES</v>
          </cell>
          <cell r="K91">
            <v>41640</v>
          </cell>
        </row>
        <row r="92">
          <cell r="D92" t="str">
            <v>1E532</v>
          </cell>
          <cell r="E92" t="str">
            <v>cruceta metalica de 2400 mm</v>
          </cell>
          <cell r="F92" t="str">
            <v>u</v>
          </cell>
          <cell r="G92">
            <v>96960</v>
          </cell>
          <cell r="H92">
            <v>0</v>
          </cell>
          <cell r="I92">
            <v>96960</v>
          </cell>
          <cell r="J92" t="str">
            <v>ENSAMBLES Y DISTRIBUCIONES</v>
          </cell>
          <cell r="K92">
            <v>41640</v>
          </cell>
        </row>
        <row r="93">
          <cell r="D93" t="str">
            <v>1E533</v>
          </cell>
          <cell r="E93" t="str">
            <v>cruceta metalica de 600 mm</v>
          </cell>
          <cell r="F93" t="str">
            <v>u</v>
          </cell>
          <cell r="G93">
            <v>30020</v>
          </cell>
          <cell r="H93">
            <v>0</v>
          </cell>
          <cell r="I93">
            <v>30020</v>
          </cell>
          <cell r="J93" t="str">
            <v>ENSAMBLES Y DISTRIBUCIONES</v>
          </cell>
          <cell r="K93">
            <v>41640</v>
          </cell>
        </row>
        <row r="94">
          <cell r="D94" t="str">
            <v>1E535</v>
          </cell>
          <cell r="E94" t="str">
            <v>diagonal en "v" de 48"</v>
          </cell>
          <cell r="F94" t="str">
            <v>u</v>
          </cell>
          <cell r="G94">
            <v>25452</v>
          </cell>
          <cell r="H94">
            <v>0</v>
          </cell>
          <cell r="I94">
            <v>25452</v>
          </cell>
          <cell r="J94" t="str">
            <v>ENSAMBLES Y DISTRIBUCIONES</v>
          </cell>
          <cell r="K94">
            <v>41640</v>
          </cell>
        </row>
        <row r="95">
          <cell r="D95" t="str">
            <v>1E536</v>
          </cell>
          <cell r="E95" t="str">
            <v>diagonal en "v" 920 mm</v>
          </cell>
          <cell r="F95" t="str">
            <v>u</v>
          </cell>
          <cell r="G95">
            <v>32805</v>
          </cell>
          <cell r="H95">
            <v>0</v>
          </cell>
          <cell r="I95">
            <v>32805</v>
          </cell>
          <cell r="J95" t="str">
            <v>ENSAMBLES Y DISTRIBUCIONES</v>
          </cell>
          <cell r="K95">
            <v>41640</v>
          </cell>
        </row>
        <row r="96">
          <cell r="D96" t="str">
            <v>1E537</v>
          </cell>
          <cell r="E96" t="str">
            <v>espaciador de 5/8"x10"</v>
          </cell>
          <cell r="F96" t="str">
            <v>u</v>
          </cell>
          <cell r="G96">
            <v>6600</v>
          </cell>
          <cell r="H96">
            <v>0</v>
          </cell>
          <cell r="I96">
            <v>6600</v>
          </cell>
          <cell r="J96" t="str">
            <v>ENSAMBLES Y DISTRIBUCIONES</v>
          </cell>
          <cell r="K96">
            <v>41640</v>
          </cell>
        </row>
        <row r="97">
          <cell r="D97" t="str">
            <v>1E538</v>
          </cell>
          <cell r="E97" t="str">
            <v>espaciador de 5/8" x 12"</v>
          </cell>
          <cell r="F97" t="str">
            <v>u</v>
          </cell>
          <cell r="G97">
            <v>6341</v>
          </cell>
          <cell r="H97">
            <v>0</v>
          </cell>
          <cell r="I97">
            <v>6341</v>
          </cell>
          <cell r="J97" t="str">
            <v>ENSAMBLES Y DISTRIBUCIONES</v>
          </cell>
          <cell r="K97">
            <v>41640</v>
          </cell>
        </row>
        <row r="98">
          <cell r="D98" t="str">
            <v>1E539</v>
          </cell>
          <cell r="E98" t="str">
            <v>espaciador de 5/8"x10"</v>
          </cell>
          <cell r="F98" t="str">
            <v>u</v>
          </cell>
          <cell r="G98">
            <v>5940</v>
          </cell>
          <cell r="H98">
            <v>0</v>
          </cell>
          <cell r="I98">
            <v>5940</v>
          </cell>
          <cell r="J98" t="str">
            <v>ENSAMBLES Y DISTRIBUCIONES</v>
          </cell>
          <cell r="K98">
            <v>41640</v>
          </cell>
        </row>
        <row r="99">
          <cell r="D99" t="str">
            <v>1E540</v>
          </cell>
          <cell r="E99" t="str">
            <v>espaciador de 5/8"x8" (200mm)</v>
          </cell>
          <cell r="F99" t="str">
            <v>u</v>
          </cell>
          <cell r="G99">
            <v>5814</v>
          </cell>
          <cell r="H99">
            <v>0</v>
          </cell>
          <cell r="I99">
            <v>5814</v>
          </cell>
          <cell r="J99" t="str">
            <v>ENSAMBLES Y DISTRIBUCIONES</v>
          </cell>
          <cell r="K99">
            <v>41640</v>
          </cell>
        </row>
        <row r="100">
          <cell r="D100" t="str">
            <v>1E541</v>
          </cell>
          <cell r="E100" t="str">
            <v>eslabones</v>
          </cell>
          <cell r="F100" t="str">
            <v>u</v>
          </cell>
          <cell r="G100">
            <v>7218</v>
          </cell>
          <cell r="H100">
            <v>0</v>
          </cell>
          <cell r="I100">
            <v>7218</v>
          </cell>
          <cell r="J100" t="str">
            <v>ENSAMBLES Y DISTRIBUCIONES</v>
          </cell>
          <cell r="K100">
            <v>41640</v>
          </cell>
        </row>
        <row r="101">
          <cell r="D101" t="str">
            <v>1E542</v>
          </cell>
          <cell r="E101" t="str">
            <v>espigo para aislador b=38 mm</v>
          </cell>
          <cell r="F101" t="str">
            <v>u</v>
          </cell>
          <cell r="G101">
            <v>11876</v>
          </cell>
          <cell r="H101">
            <v>0</v>
          </cell>
          <cell r="I101">
            <v>11876</v>
          </cell>
          <cell r="J101" t="str">
            <v>ENSAMBLES Y DISTRIBUCIONES</v>
          </cell>
          <cell r="K101">
            <v>41640</v>
          </cell>
        </row>
        <row r="102">
          <cell r="D102" t="str">
            <v>1E543</v>
          </cell>
          <cell r="E102" t="str">
            <v>espaciador para cable tk ecologico</v>
          </cell>
          <cell r="F102" t="str">
            <v>u</v>
          </cell>
          <cell r="G102">
            <v>65000</v>
          </cell>
          <cell r="H102">
            <v>0</v>
          </cell>
          <cell r="I102">
            <v>65000</v>
          </cell>
          <cell r="J102" t="str">
            <v>ENSAMBLES Y DISTRIBUCIONES</v>
          </cell>
          <cell r="K102">
            <v>41640</v>
          </cell>
        </row>
        <row r="103">
          <cell r="D103" t="str">
            <v>1E544</v>
          </cell>
          <cell r="E103" t="str">
            <v>estribo</v>
          </cell>
          <cell r="F103" t="str">
            <v>u</v>
          </cell>
          <cell r="G103">
            <v>8910</v>
          </cell>
          <cell r="H103">
            <v>0</v>
          </cell>
          <cell r="I103">
            <v>8910</v>
          </cell>
          <cell r="J103" t="str">
            <v>ENSAMBLES Y DISTRIBUCIONES</v>
          </cell>
          <cell r="K103">
            <v>41640</v>
          </cell>
        </row>
        <row r="104">
          <cell r="D104" t="str">
            <v>1E547</v>
          </cell>
          <cell r="E104" t="str">
            <v>guarda cabo</v>
          </cell>
          <cell r="F104" t="str">
            <v>u</v>
          </cell>
          <cell r="G104">
            <v>1530</v>
          </cell>
          <cell r="H104">
            <v>0</v>
          </cell>
          <cell r="I104">
            <v>1530</v>
          </cell>
          <cell r="J104" t="str">
            <v>ENSAMBLES Y DISTRIBUCIONES</v>
          </cell>
          <cell r="K104">
            <v>41640</v>
          </cell>
        </row>
        <row r="105">
          <cell r="D105" t="str">
            <v>1E548</v>
          </cell>
          <cell r="E105" t="str">
            <v>grapa de retencion tipo pistola</v>
          </cell>
          <cell r="F105" t="str">
            <v>u</v>
          </cell>
          <cell r="G105">
            <v>25000</v>
          </cell>
          <cell r="H105">
            <v>0</v>
          </cell>
          <cell r="I105">
            <v>25000</v>
          </cell>
          <cell r="J105" t="str">
            <v>ENSAMBLES Y DISTRIBUCIONES</v>
          </cell>
          <cell r="K105">
            <v>41640</v>
          </cell>
        </row>
        <row r="106">
          <cell r="D106" t="str">
            <v>1E558</v>
          </cell>
          <cell r="E106" t="str">
            <v>tubo pvc de 3"</v>
          </cell>
          <cell r="F106" t="str">
            <v>m</v>
          </cell>
          <cell r="G106">
            <v>7216</v>
          </cell>
          <cell r="H106">
            <v>0</v>
          </cell>
          <cell r="I106">
            <v>7216</v>
          </cell>
          <cell r="J106" t="str">
            <v>PAVCO</v>
          </cell>
          <cell r="K106">
            <v>41671</v>
          </cell>
        </row>
        <row r="107">
          <cell r="D107" t="str">
            <v>1E560</v>
          </cell>
          <cell r="E107" t="str">
            <v>espaciador de 5/8*12</v>
          </cell>
          <cell r="F107" t="str">
            <v>u</v>
          </cell>
          <cell r="G107">
            <v>5706</v>
          </cell>
          <cell r="H107">
            <v>0</v>
          </cell>
          <cell r="I107">
            <v>5706</v>
          </cell>
          <cell r="J107" t="str">
            <v>ENSAMBLES Y DISTRIBUCIONES</v>
          </cell>
          <cell r="K107">
            <v>41640</v>
          </cell>
        </row>
        <row r="108">
          <cell r="D108" t="str">
            <v>1E561</v>
          </cell>
          <cell r="E108" t="str">
            <v>pararrayos 15 kv</v>
          </cell>
          <cell r="F108" t="str">
            <v>u</v>
          </cell>
          <cell r="G108">
            <v>87614</v>
          </cell>
          <cell r="H108">
            <v>0</v>
          </cell>
          <cell r="I108">
            <v>87614</v>
          </cell>
          <cell r="J108" t="str">
            <v>ENSAMBLES Y DISTRIBUCIONES</v>
          </cell>
          <cell r="K108">
            <v>41640</v>
          </cell>
        </row>
        <row r="109">
          <cell r="D109" t="str">
            <v>1E562</v>
          </cell>
          <cell r="E109" t="str">
            <v>cortacircuito de 15 kv</v>
          </cell>
          <cell r="F109" t="str">
            <v>u</v>
          </cell>
          <cell r="G109">
            <v>181169</v>
          </cell>
          <cell r="H109">
            <v>0</v>
          </cell>
          <cell r="I109">
            <v>181169</v>
          </cell>
          <cell r="J109" t="str">
            <v>ENSAMBLES Y DISTRIBUCIONES</v>
          </cell>
          <cell r="K109">
            <v>41640</v>
          </cell>
        </row>
        <row r="110">
          <cell r="D110" t="str">
            <v>1E564</v>
          </cell>
          <cell r="E110" t="str">
            <v>herraje 60x60</v>
          </cell>
          <cell r="F110" t="str">
            <v>u</v>
          </cell>
          <cell r="G110">
            <v>91746</v>
          </cell>
          <cell r="H110">
            <v>0</v>
          </cell>
          <cell r="I110">
            <v>91746</v>
          </cell>
          <cell r="J110" t="str">
            <v>ENSAMBLES Y DISTRIBUCIONES</v>
          </cell>
          <cell r="K110">
            <v>41640</v>
          </cell>
        </row>
        <row r="111">
          <cell r="D111" t="str">
            <v>1E565</v>
          </cell>
          <cell r="E111" t="str">
            <v>manguera de 1/2"</v>
          </cell>
          <cell r="F111" t="str">
            <v>m</v>
          </cell>
          <cell r="G111">
            <v>1673</v>
          </cell>
          <cell r="H111">
            <v>0</v>
          </cell>
          <cell r="I111">
            <v>1673</v>
          </cell>
          <cell r="J111" t="str">
            <v>ENSAMBLES Y DISTRIBUCIONES</v>
          </cell>
          <cell r="K111">
            <v>41640</v>
          </cell>
        </row>
        <row r="112">
          <cell r="D112" t="str">
            <v>1E567</v>
          </cell>
          <cell r="E112" t="str">
            <v>tornillo de 5/8"x 1-1/2 (38mm)</v>
          </cell>
          <cell r="F112" t="str">
            <v>u</v>
          </cell>
          <cell r="G112">
            <v>1314</v>
          </cell>
          <cell r="H112">
            <v>0</v>
          </cell>
          <cell r="I112">
            <v>1314</v>
          </cell>
          <cell r="J112" t="str">
            <v>ENSAMBLES Y DISTRIBUCIONES</v>
          </cell>
          <cell r="K112">
            <v>41640</v>
          </cell>
        </row>
        <row r="113">
          <cell r="D113" t="str">
            <v>1E569</v>
          </cell>
          <cell r="E113" t="str">
            <v>eslabon (ra7-005)</v>
          </cell>
          <cell r="F113" t="str">
            <v>u</v>
          </cell>
          <cell r="G113">
            <v>7218</v>
          </cell>
          <cell r="H113">
            <v>0</v>
          </cell>
          <cell r="I113">
            <v>7218</v>
          </cell>
          <cell r="J113" t="str">
            <v>ENSAMBLES Y DISTRIBUCIONES</v>
          </cell>
          <cell r="K113">
            <v>41640</v>
          </cell>
        </row>
        <row r="114">
          <cell r="D114" t="str">
            <v>1E571</v>
          </cell>
          <cell r="E114" t="str">
            <v>pieamigo cruceta de 1500 mm</v>
          </cell>
          <cell r="F114" t="str">
            <v>u</v>
          </cell>
          <cell r="G114">
            <v>32720</v>
          </cell>
          <cell r="H114">
            <v>0</v>
          </cell>
          <cell r="I114">
            <v>32720</v>
          </cell>
          <cell r="J114" t="str">
            <v>ENSAMBLES Y DISTRIBUCIONES</v>
          </cell>
          <cell r="K114">
            <v>41640</v>
          </cell>
        </row>
        <row r="115">
          <cell r="D115" t="str">
            <v>1E574</v>
          </cell>
          <cell r="E115" t="str">
            <v>poste de concreto de 12 mts</v>
          </cell>
          <cell r="F115" t="str">
            <v>u</v>
          </cell>
          <cell r="G115">
            <v>973100</v>
          </cell>
          <cell r="H115">
            <v>0</v>
          </cell>
          <cell r="I115">
            <v>973100</v>
          </cell>
          <cell r="J115" t="str">
            <v>ENSAMBLES Y DISTRIBUCIONES</v>
          </cell>
          <cell r="K115">
            <v>41640</v>
          </cell>
        </row>
        <row r="116">
          <cell r="D116" t="str">
            <v>1E575</v>
          </cell>
          <cell r="E116" t="str">
            <v>mensula de soporte 610 mm</v>
          </cell>
          <cell r="F116" t="str">
            <v>u</v>
          </cell>
          <cell r="G116">
            <v>44360</v>
          </cell>
          <cell r="H116">
            <v>0</v>
          </cell>
          <cell r="I116">
            <v>44360</v>
          </cell>
          <cell r="J116" t="str">
            <v>ENSAMBLES Y DISTRIBUCIONES</v>
          </cell>
          <cell r="K116">
            <v>41640</v>
          </cell>
        </row>
        <row r="117">
          <cell r="D117" t="str">
            <v>1E576</v>
          </cell>
          <cell r="E117" t="str">
            <v>soporte de 300 mm</v>
          </cell>
          <cell r="F117" t="str">
            <v>u</v>
          </cell>
          <cell r="G117">
            <v>29448</v>
          </cell>
          <cell r="H117">
            <v>0</v>
          </cell>
          <cell r="I117">
            <v>29448</v>
          </cell>
          <cell r="J117" t="str">
            <v>ENSAMBLES Y DISTRIBUCIONES</v>
          </cell>
          <cell r="K117">
            <v>41640</v>
          </cell>
        </row>
        <row r="118">
          <cell r="D118" t="str">
            <v>1E578</v>
          </cell>
          <cell r="E118" t="str">
            <v>tornillo galv. de 5/8" x 12"</v>
          </cell>
          <cell r="F118" t="str">
            <v>u</v>
          </cell>
          <cell r="G118">
            <v>6300</v>
          </cell>
          <cell r="H118">
            <v>0</v>
          </cell>
          <cell r="I118">
            <v>6300</v>
          </cell>
          <cell r="J118" t="str">
            <v>ENSAMBLES Y DISTRIBUCIONES</v>
          </cell>
          <cell r="K118">
            <v>41640</v>
          </cell>
        </row>
        <row r="119">
          <cell r="D119" t="str">
            <v>1E580</v>
          </cell>
          <cell r="E119" t="str">
            <v>tornillo de 5/8" x 8"</v>
          </cell>
          <cell r="F119" t="str">
            <v>u</v>
          </cell>
          <cell r="G119">
            <v>4939</v>
          </cell>
          <cell r="H119">
            <v>0</v>
          </cell>
          <cell r="I119">
            <v>4939</v>
          </cell>
          <cell r="J119" t="str">
            <v>ENSAMBLES Y DISTRIBUCIONES</v>
          </cell>
          <cell r="K119">
            <v>41640</v>
          </cell>
        </row>
        <row r="120">
          <cell r="D120" t="str">
            <v>1E581</v>
          </cell>
          <cell r="E120" t="str">
            <v>terminal campana de 3"</v>
          </cell>
          <cell r="F120" t="str">
            <v>u</v>
          </cell>
          <cell r="G120">
            <v>2988</v>
          </cell>
          <cell r="H120">
            <v>0</v>
          </cell>
          <cell r="I120">
            <v>2988</v>
          </cell>
          <cell r="J120" t="str">
            <v>ENSAMBLES Y DISTRIBUCIONES</v>
          </cell>
          <cell r="K120">
            <v>41640</v>
          </cell>
        </row>
        <row r="121">
          <cell r="D121" t="str">
            <v>1E582</v>
          </cell>
          <cell r="E121" t="str">
            <v>tuerca de ojo de 5/8"</v>
          </cell>
          <cell r="F121" t="str">
            <v>u</v>
          </cell>
          <cell r="G121">
            <v>6520</v>
          </cell>
          <cell r="H121">
            <v>0</v>
          </cell>
          <cell r="I121">
            <v>6520</v>
          </cell>
          <cell r="J121" t="str">
            <v>ENSAMBLES Y DISTRIBUCIONES</v>
          </cell>
          <cell r="K121">
            <v>41640</v>
          </cell>
        </row>
        <row r="122">
          <cell r="D122" t="str">
            <v>1E584</v>
          </cell>
          <cell r="E122" t="str">
            <v>tuerca de ojo</v>
          </cell>
          <cell r="F122" t="str">
            <v>u</v>
          </cell>
          <cell r="G122">
            <v>5867</v>
          </cell>
          <cell r="H122">
            <v>0</v>
          </cell>
          <cell r="I122">
            <v>5867</v>
          </cell>
          <cell r="J122" t="str">
            <v>ENSAMBLES Y DISTRIBUCIONES</v>
          </cell>
          <cell r="K122">
            <v>41640</v>
          </cell>
        </row>
        <row r="123">
          <cell r="D123" t="str">
            <v>1E587</v>
          </cell>
          <cell r="E123" t="str">
            <v>varilla de anclaje de 2.4 mts</v>
          </cell>
          <cell r="F123" t="str">
            <v>u</v>
          </cell>
          <cell r="G123">
            <v>18234</v>
          </cell>
          <cell r="H123">
            <v>0</v>
          </cell>
          <cell r="I123">
            <v>18234</v>
          </cell>
          <cell r="J123" t="str">
            <v>ENSAMBLES Y DISTRIBUCIONES</v>
          </cell>
          <cell r="K123">
            <v>41640</v>
          </cell>
        </row>
        <row r="124">
          <cell r="D124" t="str">
            <v>1E588</v>
          </cell>
          <cell r="E124" t="str">
            <v>varilla de puesta a tierra de 2.4</v>
          </cell>
          <cell r="F124" t="str">
            <v>u</v>
          </cell>
          <cell r="G124">
            <v>23328</v>
          </cell>
          <cell r="H124">
            <v>0</v>
          </cell>
          <cell r="I124">
            <v>23328</v>
          </cell>
          <cell r="J124" t="str">
            <v>ENSAMBLES Y DISTRIBUCIONES</v>
          </cell>
          <cell r="K124">
            <v>41640</v>
          </cell>
        </row>
        <row r="125">
          <cell r="D125" t="str">
            <v>1E596</v>
          </cell>
          <cell r="E125" t="str">
            <v>herraje para 2 tapas 60x80 - tipo 1</v>
          </cell>
          <cell r="F125" t="str">
            <v>u</v>
          </cell>
          <cell r="G125">
            <v>252640</v>
          </cell>
          <cell r="H125">
            <v>0</v>
          </cell>
          <cell r="I125">
            <v>252640</v>
          </cell>
          <cell r="J125" t="str">
            <v>ENSAMBLES Y DISTRIBUCIONES</v>
          </cell>
          <cell r="K125">
            <v>41640</v>
          </cell>
        </row>
        <row r="126">
          <cell r="D126" t="str">
            <v>1E597</v>
          </cell>
          <cell r="E126" t="str">
            <v>herraje para 2 tapas 60x80 - tipo 2</v>
          </cell>
          <cell r="F126" t="str">
            <v>u</v>
          </cell>
          <cell r="G126">
            <v>183400</v>
          </cell>
          <cell r="H126">
            <v>0</v>
          </cell>
          <cell r="I126">
            <v>183400</v>
          </cell>
          <cell r="J126" t="str">
            <v>PAVCO</v>
          </cell>
          <cell r="K126">
            <v>41671</v>
          </cell>
        </row>
        <row r="127">
          <cell r="D127" t="str">
            <v>1E601</v>
          </cell>
          <cell r="E127" t="str">
            <v>tornillo galv. de 5/8" x 2"</v>
          </cell>
          <cell r="F127" t="str">
            <v>u</v>
          </cell>
          <cell r="G127">
            <v>1300</v>
          </cell>
          <cell r="H127">
            <v>0</v>
          </cell>
          <cell r="I127">
            <v>1300</v>
          </cell>
          <cell r="J127" t="str">
            <v>ENSAMBLES Y DISTRIBUCIONES</v>
          </cell>
          <cell r="K127">
            <v>41640</v>
          </cell>
        </row>
        <row r="128">
          <cell r="D128" t="str">
            <v>1E602</v>
          </cell>
          <cell r="E128" t="str">
            <v>diagonal en v de 36"</v>
          </cell>
          <cell r="F128" t="str">
            <v>u</v>
          </cell>
          <cell r="G128">
            <v>17100</v>
          </cell>
          <cell r="H128">
            <v>0</v>
          </cell>
          <cell r="I128">
            <v>17100</v>
          </cell>
          <cell r="J128" t="str">
            <v>ENSAMBLES Y DISTRIBUCIONES</v>
          </cell>
          <cell r="K128">
            <v>41640</v>
          </cell>
        </row>
        <row r="129">
          <cell r="D129" t="str">
            <v>1E615</v>
          </cell>
          <cell r="E129" t="str">
            <v>tubo pvc de 2"</v>
          </cell>
          <cell r="F129" t="str">
            <v>m</v>
          </cell>
          <cell r="G129">
            <v>2967</v>
          </cell>
          <cell r="H129">
            <v>0</v>
          </cell>
          <cell r="I129">
            <v>2967</v>
          </cell>
          <cell r="J129" t="str">
            <v>PAVCO</v>
          </cell>
          <cell r="K129">
            <v>41671</v>
          </cell>
        </row>
        <row r="130">
          <cell r="D130" t="str">
            <v>1E617</v>
          </cell>
          <cell r="E130" t="str">
            <v>espigo para aislador 6"x3/4" rosca de nylon</v>
          </cell>
          <cell r="F130" t="str">
            <v>u</v>
          </cell>
          <cell r="G130">
            <v>5</v>
          </cell>
          <cell r="H130">
            <v>0</v>
          </cell>
          <cell r="I130">
            <v>5</v>
          </cell>
          <cell r="J130" t="str">
            <v>ENSAMBLES Y DISTRIBUCIONES</v>
          </cell>
          <cell r="K130">
            <v>41640</v>
          </cell>
        </row>
        <row r="131">
          <cell r="D131" t="str">
            <v>1E619</v>
          </cell>
          <cell r="E131" t="str">
            <v>pieamigo cruceta de 2400 mm</v>
          </cell>
          <cell r="F131" t="str">
            <v>u</v>
          </cell>
          <cell r="G131">
            <v>56000</v>
          </cell>
          <cell r="H131">
            <v>0</v>
          </cell>
          <cell r="I131">
            <v>56000</v>
          </cell>
          <cell r="J131" t="str">
            <v>ENSAMBLES Y DISTRIBUCIONES</v>
          </cell>
          <cell r="K131">
            <v>41640</v>
          </cell>
        </row>
        <row r="132">
          <cell r="D132" t="str">
            <v>1E620</v>
          </cell>
          <cell r="E132" t="str">
            <v>conectores 10-10</v>
          </cell>
          <cell r="F132" t="str">
            <v>u</v>
          </cell>
          <cell r="G132">
            <v>2432</v>
          </cell>
          <cell r="H132">
            <v>0</v>
          </cell>
          <cell r="I132">
            <v>2432</v>
          </cell>
          <cell r="J132" t="str">
            <v>ENSAMBLES Y DISTRIBUCIONES</v>
          </cell>
          <cell r="K132">
            <v>41640</v>
          </cell>
        </row>
        <row r="133">
          <cell r="D133" t="str">
            <v>1E621</v>
          </cell>
          <cell r="E133" t="str">
            <v>varilla de anclaje 5/8"x1.8 (ra7-038)</v>
          </cell>
          <cell r="F133" t="str">
            <v>u</v>
          </cell>
          <cell r="G133">
            <v>18716</v>
          </cell>
          <cell r="H133">
            <v>0</v>
          </cell>
          <cell r="I133">
            <v>18716</v>
          </cell>
          <cell r="J133" t="str">
            <v>ENSAMBLES Y DISTRIBUCIONES</v>
          </cell>
          <cell r="K133">
            <v>41640</v>
          </cell>
        </row>
        <row r="134">
          <cell r="D134" t="str">
            <v>1E622</v>
          </cell>
          <cell r="E134" t="str">
            <v>diagonal en v de 48"</v>
          </cell>
          <cell r="F134" t="str">
            <v>u</v>
          </cell>
          <cell r="G134">
            <v>22300</v>
          </cell>
          <cell r="H134">
            <v>0</v>
          </cell>
          <cell r="I134">
            <v>22300</v>
          </cell>
          <cell r="J134" t="str">
            <v>ENSAMBLES Y DISTRIBUCIONES</v>
          </cell>
          <cell r="K134">
            <v>41640</v>
          </cell>
        </row>
        <row r="135">
          <cell r="D135" t="str">
            <v>1E623</v>
          </cell>
          <cell r="E135" t="str">
            <v>conector transversal universal</v>
          </cell>
          <cell r="F135" t="str">
            <v>u</v>
          </cell>
          <cell r="G135">
            <v>18560</v>
          </cell>
          <cell r="H135">
            <v>0</v>
          </cell>
          <cell r="I135">
            <v>18560</v>
          </cell>
          <cell r="J135" t="str">
            <v>ENSAMBLES Y DISTRIBUCIONES</v>
          </cell>
          <cell r="K135">
            <v>41640</v>
          </cell>
        </row>
        <row r="136">
          <cell r="D136" t="str">
            <v>1E624</v>
          </cell>
          <cell r="E136" t="str">
            <v>cruceta de 2.4 m</v>
          </cell>
          <cell r="F136" t="str">
            <v>u</v>
          </cell>
          <cell r="G136">
            <v>84800</v>
          </cell>
          <cell r="H136">
            <v>0</v>
          </cell>
          <cell r="I136">
            <v>84800</v>
          </cell>
          <cell r="J136" t="str">
            <v>ENSAMBLES Y DISTRIBUCIONES</v>
          </cell>
          <cell r="K136">
            <v>41640</v>
          </cell>
        </row>
        <row r="137">
          <cell r="D137" t="str">
            <v>1E625</v>
          </cell>
          <cell r="E137" t="str">
            <v>alambre desnudo n 6</v>
          </cell>
          <cell r="F137" t="str">
            <v>m</v>
          </cell>
          <cell r="G137">
            <v>3480</v>
          </cell>
          <cell r="H137">
            <v>0</v>
          </cell>
          <cell r="I137">
            <v>3480</v>
          </cell>
          <cell r="J137" t="str">
            <v>ENSAMBLES Y DISTRIBUCIONES</v>
          </cell>
          <cell r="K137">
            <v>41640</v>
          </cell>
        </row>
        <row r="138">
          <cell r="D138" t="str">
            <v>1E626</v>
          </cell>
          <cell r="E138" t="str">
            <v>tornillo de 5/8" 1-1/2</v>
          </cell>
          <cell r="F138" t="str">
            <v>u</v>
          </cell>
          <cell r="G138">
            <v>1180</v>
          </cell>
          <cell r="H138">
            <v>0</v>
          </cell>
          <cell r="I138">
            <v>1180</v>
          </cell>
          <cell r="J138" t="str">
            <v>ENSAMBLES Y DISTRIBUCIONES</v>
          </cell>
          <cell r="K138">
            <v>41640</v>
          </cell>
        </row>
        <row r="139">
          <cell r="D139" t="str">
            <v>1E630</v>
          </cell>
          <cell r="E139" t="str">
            <v>terminal campana de 2"</v>
          </cell>
          <cell r="F139" t="str">
            <v>u</v>
          </cell>
          <cell r="G139">
            <v>1149</v>
          </cell>
          <cell r="H139">
            <v>0</v>
          </cell>
          <cell r="I139">
            <v>1149</v>
          </cell>
          <cell r="J139" t="str">
            <v>ENSAMBLES Y DISTRIBUCIONES</v>
          </cell>
          <cell r="K139">
            <v>41640</v>
          </cell>
        </row>
        <row r="140">
          <cell r="D140" t="str">
            <v>1E633</v>
          </cell>
          <cell r="E140" t="str">
            <v>grapa galvanizada de 2" doble ala</v>
          </cell>
          <cell r="F140" t="str">
            <v>u</v>
          </cell>
          <cell r="G140">
            <v>2200</v>
          </cell>
          <cell r="H140">
            <v>0</v>
          </cell>
          <cell r="I140">
            <v>2200</v>
          </cell>
          <cell r="J140" t="str">
            <v>ENSAMBLES Y DISTRIBUCIONES</v>
          </cell>
          <cell r="K140">
            <v>41640</v>
          </cell>
        </row>
        <row r="141">
          <cell r="D141" t="str">
            <v>1E634</v>
          </cell>
          <cell r="E141" t="str">
            <v>perno expansivo</v>
          </cell>
          <cell r="F141" t="str">
            <v>u</v>
          </cell>
          <cell r="G141">
            <v>1200</v>
          </cell>
          <cell r="H141">
            <v>0</v>
          </cell>
          <cell r="I141">
            <v>1200</v>
          </cell>
          <cell r="J141" t="str">
            <v>ENSAMBLES Y DISTRIBUCIONES</v>
          </cell>
          <cell r="K141">
            <v>41640</v>
          </cell>
        </row>
        <row r="142">
          <cell r="D142" t="str">
            <v>1E635</v>
          </cell>
          <cell r="E142" t="str">
            <v>curva mg de 2"</v>
          </cell>
          <cell r="F142" t="str">
            <v>u</v>
          </cell>
          <cell r="G142">
            <v>34485</v>
          </cell>
          <cell r="H142">
            <v>0</v>
          </cell>
          <cell r="I142">
            <v>34485</v>
          </cell>
          <cell r="J142" t="str">
            <v>ENSAMBLES Y DISTRIBUCIONES</v>
          </cell>
          <cell r="K142">
            <v>41640</v>
          </cell>
        </row>
        <row r="143">
          <cell r="D143" t="str">
            <v>1E636</v>
          </cell>
          <cell r="E143" t="str">
            <v>tubo mg de 2" conduven</v>
          </cell>
          <cell r="F143" t="str">
            <v>u</v>
          </cell>
          <cell r="G143">
            <v>23348</v>
          </cell>
          <cell r="H143">
            <v>0</v>
          </cell>
          <cell r="I143">
            <v>23348</v>
          </cell>
          <cell r="J143" t="str">
            <v>ENSAMBLES Y DISTRIBUCIONES</v>
          </cell>
          <cell r="K143">
            <v>41640</v>
          </cell>
        </row>
        <row r="144">
          <cell r="D144" t="str">
            <v>1E637</v>
          </cell>
          <cell r="E144" t="str">
            <v>hebillas de 5/8"</v>
          </cell>
          <cell r="F144" t="str">
            <v>u</v>
          </cell>
          <cell r="G144">
            <v>449</v>
          </cell>
          <cell r="H144">
            <v>0</v>
          </cell>
          <cell r="I144">
            <v>449</v>
          </cell>
          <cell r="J144" t="str">
            <v>ENSAMBLES Y DISTRIBUCIONES</v>
          </cell>
          <cell r="K144">
            <v>41640</v>
          </cell>
        </row>
        <row r="145">
          <cell r="D145" t="str">
            <v>1E638</v>
          </cell>
          <cell r="E145" t="str">
            <v>cinta band-it de 5/8"</v>
          </cell>
          <cell r="F145" t="str">
            <v>u</v>
          </cell>
          <cell r="G145">
            <v>2624</v>
          </cell>
          <cell r="H145">
            <v>0</v>
          </cell>
          <cell r="I145">
            <v>2624</v>
          </cell>
          <cell r="J145" t="str">
            <v>ENSAMBLES Y DISTRIBUCIONES</v>
          </cell>
          <cell r="K145">
            <v>41640</v>
          </cell>
        </row>
        <row r="146">
          <cell r="D146" t="str">
            <v>1E639</v>
          </cell>
          <cell r="E146" t="str">
            <v>union mg de 3"</v>
          </cell>
          <cell r="F146" t="str">
            <v>u</v>
          </cell>
          <cell r="G146">
            <v>16701</v>
          </cell>
          <cell r="H146">
            <v>0</v>
          </cell>
          <cell r="I146">
            <v>16701</v>
          </cell>
          <cell r="J146" t="str">
            <v>ENSAMBLES Y DISTRIBUCIONES</v>
          </cell>
          <cell r="K146">
            <v>41640</v>
          </cell>
        </row>
        <row r="147">
          <cell r="D147" t="str">
            <v>1E640</v>
          </cell>
          <cell r="E147" t="str">
            <v>curva mg de 3"</v>
          </cell>
          <cell r="F147" t="str">
            <v>u</v>
          </cell>
          <cell r="G147">
            <v>93023</v>
          </cell>
          <cell r="H147">
            <v>0</v>
          </cell>
          <cell r="I147">
            <v>93023</v>
          </cell>
          <cell r="J147" t="str">
            <v>ENSAMBLES Y DISTRIBUCIONES</v>
          </cell>
          <cell r="K147">
            <v>41640</v>
          </cell>
        </row>
        <row r="148">
          <cell r="D148" t="str">
            <v>1E641</v>
          </cell>
          <cell r="E148" t="str">
            <v>tubo mg de 3" conduven</v>
          </cell>
          <cell r="F148" t="str">
            <v>u</v>
          </cell>
          <cell r="G148">
            <v>59070</v>
          </cell>
          <cell r="H148">
            <v>0</v>
          </cell>
          <cell r="I148">
            <v>59070</v>
          </cell>
          <cell r="J148" t="str">
            <v>ENSAMBLES Y DISTRIBUCIONES</v>
          </cell>
          <cell r="K148">
            <v>41640</v>
          </cell>
        </row>
        <row r="149">
          <cell r="D149" t="str">
            <v>1E645</v>
          </cell>
          <cell r="E149" t="str">
            <v>tapa circular norma tel nin-113</v>
          </cell>
          <cell r="F149" t="str">
            <v>u</v>
          </cell>
          <cell r="G149">
            <v>150000</v>
          </cell>
          <cell r="H149">
            <v>0</v>
          </cell>
          <cell r="I149">
            <v>150000</v>
          </cell>
          <cell r="J149" t="str">
            <v>ENSAMBLES Y DISTRIBUCIONES</v>
          </cell>
          <cell r="K149">
            <v>41640</v>
          </cell>
        </row>
        <row r="150">
          <cell r="D150" t="str">
            <v>1E652</v>
          </cell>
          <cell r="E150" t="str">
            <v>fusible cortacircuito tipo "t"</v>
          </cell>
          <cell r="F150" t="str">
            <v>u</v>
          </cell>
          <cell r="G150">
            <v>4500</v>
          </cell>
          <cell r="H150">
            <v>0</v>
          </cell>
          <cell r="I150">
            <v>4500</v>
          </cell>
          <cell r="J150" t="str">
            <v>ENSAMBLES Y DISTRIBUCIONES</v>
          </cell>
          <cell r="K150">
            <v>41640</v>
          </cell>
        </row>
        <row r="151">
          <cell r="D151" t="str">
            <v>1H122</v>
          </cell>
          <cell r="E151" t="str">
            <v>reja para sumidero tipo b</v>
          </cell>
          <cell r="F151" t="str">
            <v>u</v>
          </cell>
          <cell r="G151">
            <v>210000</v>
          </cell>
          <cell r="H151">
            <v>0.16</v>
          </cell>
          <cell r="I151">
            <v>243599.99999999997</v>
          </cell>
          <cell r="J151" t="str">
            <v>COLREJILLAS</v>
          </cell>
          <cell r="K151">
            <v>0</v>
          </cell>
        </row>
        <row r="152">
          <cell r="D152" t="str">
            <v>1HG12</v>
          </cell>
          <cell r="E152" t="str">
            <v>banda plastica de pvc norma rs6-010</v>
          </cell>
          <cell r="F152" t="str">
            <v>m</v>
          </cell>
          <cell r="G152">
            <v>1895</v>
          </cell>
          <cell r="H152">
            <v>0.16</v>
          </cell>
          <cell r="I152">
            <v>2198.1999999999998</v>
          </cell>
          <cell r="J152" t="str">
            <v>PAVCO</v>
          </cell>
          <cell r="K152">
            <v>41671</v>
          </cell>
        </row>
        <row r="153">
          <cell r="D153" t="str">
            <v>1HG13</v>
          </cell>
          <cell r="E153" t="str">
            <v>tuberia polietileno 32mm - pavco o equivalente</v>
          </cell>
          <cell r="F153" t="str">
            <v>m</v>
          </cell>
          <cell r="G153">
            <v>4188</v>
          </cell>
          <cell r="H153">
            <v>0.16</v>
          </cell>
          <cell r="I153">
            <v>4858.08</v>
          </cell>
          <cell r="J153" t="str">
            <v>PAVCO</v>
          </cell>
          <cell r="K153">
            <v>41671</v>
          </cell>
        </row>
        <row r="154">
          <cell r="D154" t="str">
            <v>1HG14</v>
          </cell>
          <cell r="E154" t="str">
            <v>tuberia polietileno 90mm - pavco o equivalente</v>
          </cell>
          <cell r="F154" t="str">
            <v>m</v>
          </cell>
          <cell r="G154">
            <v>19845</v>
          </cell>
          <cell r="H154">
            <v>0.16</v>
          </cell>
          <cell r="I154">
            <v>23020.199999999997</v>
          </cell>
          <cell r="J154" t="str">
            <v>PAVCO</v>
          </cell>
          <cell r="K154">
            <v>41671</v>
          </cell>
        </row>
        <row r="155">
          <cell r="D155" t="str">
            <v>1HG15</v>
          </cell>
          <cell r="E155" t="str">
            <v>union polietileno 32mm - pavco o equivalente</v>
          </cell>
          <cell r="F155" t="str">
            <v>u</v>
          </cell>
          <cell r="G155">
            <v>14333</v>
          </cell>
          <cell r="H155">
            <v>0.16</v>
          </cell>
          <cell r="I155">
            <v>16626.28</v>
          </cell>
          <cell r="J155" t="str">
            <v>PAVCO</v>
          </cell>
          <cell r="K155">
            <v>41671</v>
          </cell>
        </row>
        <row r="156">
          <cell r="D156" t="str">
            <v>1HG17</v>
          </cell>
          <cell r="E156" t="str">
            <v>polivalvula de 32mm tipo extrucol o equivalente</v>
          </cell>
          <cell r="F156" t="str">
            <v>u</v>
          </cell>
          <cell r="G156">
            <v>121310</v>
          </cell>
          <cell r="H156">
            <v>0.16</v>
          </cell>
          <cell r="I156">
            <v>140719.59999999998</v>
          </cell>
          <cell r="J156" t="str">
            <v>PAVCO</v>
          </cell>
          <cell r="K156">
            <v>41671</v>
          </cell>
        </row>
        <row r="157">
          <cell r="D157" t="str">
            <v>1HG18</v>
          </cell>
          <cell r="E157" t="str">
            <v>tapon polietileno 32mm</v>
          </cell>
          <cell r="F157" t="str">
            <v>u</v>
          </cell>
          <cell r="G157">
            <v>10410</v>
          </cell>
          <cell r="H157">
            <v>0.16</v>
          </cell>
          <cell r="I157">
            <v>12075.599999999999</v>
          </cell>
          <cell r="J157" t="str">
            <v>PAVCO</v>
          </cell>
          <cell r="K157">
            <v>41671</v>
          </cell>
        </row>
        <row r="158">
          <cell r="D158" t="str">
            <v>1HG21</v>
          </cell>
          <cell r="E158" t="str">
            <v>union polietileno reducida 32x25mm - pavco o equivalente</v>
          </cell>
          <cell r="F158" t="str">
            <v>u</v>
          </cell>
          <cell r="G158">
            <v>20810</v>
          </cell>
          <cell r="H158">
            <v>0.16</v>
          </cell>
          <cell r="I158">
            <v>24139.599999999999</v>
          </cell>
          <cell r="J158" t="str">
            <v>PAVCO</v>
          </cell>
          <cell r="K158">
            <v>41671</v>
          </cell>
        </row>
        <row r="159">
          <cell r="D159" t="str">
            <v>1HG25</v>
          </cell>
          <cell r="E159" t="str">
            <v>tee polietileno 32mm</v>
          </cell>
          <cell r="F159" t="str">
            <v>u</v>
          </cell>
          <cell r="G159">
            <v>25700</v>
          </cell>
          <cell r="H159">
            <v>0.16</v>
          </cell>
          <cell r="I159">
            <v>29811.999999999996</v>
          </cell>
          <cell r="J159" t="str">
            <v>PAVCO</v>
          </cell>
          <cell r="K159">
            <v>41671</v>
          </cell>
        </row>
        <row r="160">
          <cell r="D160" t="str">
            <v>1HS26</v>
          </cell>
          <cell r="E160" t="str">
            <v>pintura acondicionador de superficies tipo wash primer, componente a. presentación por 1/4 galón.</v>
          </cell>
          <cell r="F160" t="str">
            <v>u</v>
          </cell>
          <cell r="G160">
            <v>20600</v>
          </cell>
          <cell r="H160">
            <v>0.16</v>
          </cell>
          <cell r="I160">
            <v>23896</v>
          </cell>
          <cell r="J160" t="str">
            <v>PINTURAS URIBE</v>
          </cell>
          <cell r="K160">
            <v>41891</v>
          </cell>
        </row>
        <row r="161">
          <cell r="D161" t="str">
            <v>1HS27</v>
          </cell>
          <cell r="E161" t="str">
            <v>pintura anticorrosivo premium</v>
          </cell>
          <cell r="F161" t="str">
            <v>gl</v>
          </cell>
          <cell r="G161">
            <v>36500</v>
          </cell>
          <cell r="H161">
            <v>0.16</v>
          </cell>
          <cell r="I161">
            <v>42340</v>
          </cell>
          <cell r="J161" t="str">
            <v>CONSTRUCTOR 10 - PAG 438</v>
          </cell>
          <cell r="K161">
            <v>41771</v>
          </cell>
        </row>
        <row r="162">
          <cell r="D162" t="str">
            <v>1HG29</v>
          </cell>
          <cell r="E162" t="str">
            <v>union polietileno 90mm - pavco o equivalente</v>
          </cell>
          <cell r="F162" t="str">
            <v>u</v>
          </cell>
          <cell r="G162">
            <v>63109</v>
          </cell>
          <cell r="H162">
            <v>0.16</v>
          </cell>
          <cell r="I162">
            <v>73206.439999999988</v>
          </cell>
          <cell r="J162" t="str">
            <v>PAVCO</v>
          </cell>
          <cell r="K162">
            <v>41671</v>
          </cell>
        </row>
        <row r="163">
          <cell r="D163" t="str">
            <v>1HG30</v>
          </cell>
          <cell r="E163" t="str">
            <v>tee polietileno 90mm</v>
          </cell>
          <cell r="F163" t="str">
            <v>u</v>
          </cell>
          <cell r="G163">
            <v>53250</v>
          </cell>
          <cell r="H163">
            <v>0.16</v>
          </cell>
          <cell r="I163">
            <v>61769.999999999993</v>
          </cell>
          <cell r="J163" t="str">
            <v>PAVCO</v>
          </cell>
          <cell r="K163">
            <v>41671</v>
          </cell>
        </row>
        <row r="164">
          <cell r="D164" t="str">
            <v>1HG35</v>
          </cell>
          <cell r="E164" t="str">
            <v>tee polietileno 32x25mm</v>
          </cell>
          <cell r="F164" t="str">
            <v>u</v>
          </cell>
          <cell r="G164">
            <v>20800</v>
          </cell>
          <cell r="H164">
            <v>0.16</v>
          </cell>
          <cell r="I164">
            <v>24128</v>
          </cell>
          <cell r="J164" t="str">
            <v>PAVCO</v>
          </cell>
          <cell r="K164">
            <v>41671</v>
          </cell>
        </row>
        <row r="165">
          <cell r="D165" t="str">
            <v>1HS14</v>
          </cell>
          <cell r="E165" t="str">
            <v>lubricante para tubería 500 gr</v>
          </cell>
          <cell r="F165" t="str">
            <v>lb</v>
          </cell>
          <cell r="G165">
            <v>12980</v>
          </cell>
          <cell r="H165">
            <v>0.16</v>
          </cell>
          <cell r="I165">
            <v>15056.8</v>
          </cell>
          <cell r="J165" t="str">
            <v>PAVCO</v>
          </cell>
          <cell r="K165">
            <v>41671</v>
          </cell>
        </row>
        <row r="166">
          <cell r="D166" t="str">
            <v>1HS53</v>
          </cell>
          <cell r="E166" t="str">
            <v>valvula de compuerta diametro 75 mm</v>
          </cell>
          <cell r="F166" t="str">
            <v>u</v>
          </cell>
          <cell r="G166">
            <v>584640</v>
          </cell>
          <cell r="H166">
            <v>0</v>
          </cell>
          <cell r="I166">
            <v>584640</v>
          </cell>
          <cell r="J166" t="str">
            <v>COVAL</v>
          </cell>
          <cell r="K166">
            <v>41640</v>
          </cell>
        </row>
        <row r="167">
          <cell r="D167" t="str">
            <v>1HS55</v>
          </cell>
          <cell r="E167" t="str">
            <v>tubería pvc novafort ø= 250mm</v>
          </cell>
          <cell r="F167" t="str">
            <v>m</v>
          </cell>
          <cell r="G167">
            <v>42255.5</v>
          </cell>
          <cell r="H167">
            <v>0.16</v>
          </cell>
          <cell r="I167">
            <v>49016.38</v>
          </cell>
          <cell r="J167" t="str">
            <v>PAVCO</v>
          </cell>
          <cell r="K167">
            <v>41671</v>
          </cell>
        </row>
        <row r="168">
          <cell r="D168" t="str">
            <v>1HS56</v>
          </cell>
          <cell r="E168" t="str">
            <v>tubería pvc novafort ø= 350mm</v>
          </cell>
          <cell r="F168" t="str">
            <v>m</v>
          </cell>
          <cell r="G168">
            <v>72198.833333333328</v>
          </cell>
          <cell r="H168">
            <v>0.16</v>
          </cell>
          <cell r="I168">
            <v>83750.646666666653</v>
          </cell>
          <cell r="J168" t="str">
            <v>PAVCO</v>
          </cell>
          <cell r="K168">
            <v>41671</v>
          </cell>
        </row>
        <row r="169">
          <cell r="D169" t="str">
            <v>1HS57</v>
          </cell>
          <cell r="E169" t="str">
            <v>tubería pvc novafort ø= 450mm</v>
          </cell>
          <cell r="F169" t="str">
            <v>m</v>
          </cell>
          <cell r="G169">
            <v>135602.16666666666</v>
          </cell>
          <cell r="H169">
            <v>0.16</v>
          </cell>
          <cell r="I169">
            <v>157298.51333333331</v>
          </cell>
          <cell r="J169" t="str">
            <v>PAVCO</v>
          </cell>
          <cell r="K169">
            <v>41671</v>
          </cell>
        </row>
        <row r="170">
          <cell r="D170" t="str">
            <v>1HS59</v>
          </cell>
          <cell r="E170" t="str">
            <v>unión pvc novafort ø= 250mm</v>
          </cell>
          <cell r="F170" t="str">
            <v>u</v>
          </cell>
          <cell r="G170">
            <v>85154</v>
          </cell>
          <cell r="H170">
            <v>0.16</v>
          </cell>
          <cell r="I170">
            <v>98778.64</v>
          </cell>
          <cell r="J170" t="str">
            <v>PAVCO</v>
          </cell>
          <cell r="K170">
            <v>41671</v>
          </cell>
        </row>
        <row r="171">
          <cell r="D171" t="str">
            <v>1HS60</v>
          </cell>
          <cell r="E171" t="str">
            <v>unión pvc novafort ø= 350mm</v>
          </cell>
          <cell r="F171" t="str">
            <v>u</v>
          </cell>
          <cell r="G171">
            <v>193400</v>
          </cell>
          <cell r="H171">
            <v>0.16</v>
          </cell>
          <cell r="I171">
            <v>224343.99999999997</v>
          </cell>
          <cell r="J171" t="str">
            <v>PAVCO</v>
          </cell>
          <cell r="K171">
            <v>41671</v>
          </cell>
        </row>
        <row r="172">
          <cell r="D172" t="str">
            <v>1HS61</v>
          </cell>
          <cell r="E172" t="str">
            <v>tubería pvc novafort ø= 200mm</v>
          </cell>
          <cell r="F172" t="str">
            <v>m</v>
          </cell>
          <cell r="G172">
            <v>29979</v>
          </cell>
          <cell r="H172">
            <v>0.16</v>
          </cell>
          <cell r="I172">
            <v>34775.64</v>
          </cell>
          <cell r="J172" t="str">
            <v>PAVCO</v>
          </cell>
          <cell r="K172">
            <v>41671</v>
          </cell>
        </row>
        <row r="173">
          <cell r="D173" t="str">
            <v>1HS65</v>
          </cell>
          <cell r="E173" t="str">
            <v>codo pvc novafort ø= 250mm</v>
          </cell>
          <cell r="F173" t="str">
            <v>u</v>
          </cell>
          <cell r="G173">
            <v>177124</v>
          </cell>
          <cell r="H173">
            <v>0.16</v>
          </cell>
          <cell r="I173">
            <v>205463.84</v>
          </cell>
          <cell r="J173" t="str">
            <v>PAVCO</v>
          </cell>
          <cell r="K173">
            <v>41671</v>
          </cell>
        </row>
        <row r="174">
          <cell r="D174" t="str">
            <v>1HS72</v>
          </cell>
          <cell r="E174" t="str">
            <v>hidrosello pvc novafort ø= 200mm</v>
          </cell>
          <cell r="F174" t="str">
            <v>u</v>
          </cell>
          <cell r="G174">
            <v>4493</v>
          </cell>
          <cell r="H174">
            <v>0.16</v>
          </cell>
          <cell r="I174">
            <v>5211.8799999999992</v>
          </cell>
          <cell r="J174" t="str">
            <v>PAVCO</v>
          </cell>
          <cell r="K174">
            <v>41671</v>
          </cell>
        </row>
        <row r="175">
          <cell r="D175" t="str">
            <v>1HS73</v>
          </cell>
          <cell r="E175" t="str">
            <v>unión pvc novafort ø= 200mm</v>
          </cell>
          <cell r="F175" t="str">
            <v>u</v>
          </cell>
          <cell r="G175">
            <v>29979</v>
          </cell>
          <cell r="H175">
            <v>0.16</v>
          </cell>
          <cell r="I175">
            <v>34775.64</v>
          </cell>
          <cell r="J175" t="str">
            <v>PAVCO</v>
          </cell>
          <cell r="K175">
            <v>41671</v>
          </cell>
        </row>
        <row r="176">
          <cell r="D176" t="str">
            <v>1HS76</v>
          </cell>
          <cell r="E176" t="str">
            <v>hidrosello pvc novafort ø= 250mm</v>
          </cell>
          <cell r="F176" t="str">
            <v>u</v>
          </cell>
          <cell r="G176">
            <v>7849</v>
          </cell>
          <cell r="H176">
            <v>0.16</v>
          </cell>
          <cell r="I176">
            <v>9104.84</v>
          </cell>
          <cell r="J176" t="str">
            <v>PAVCO</v>
          </cell>
          <cell r="K176">
            <v>41671</v>
          </cell>
        </row>
        <row r="177">
          <cell r="D177" t="str">
            <v>1HS77</v>
          </cell>
          <cell r="E177" t="str">
            <v>hidrosello pvc novafort ø= 350mm</v>
          </cell>
          <cell r="F177" t="str">
            <v>u</v>
          </cell>
          <cell r="G177">
            <v>17282</v>
          </cell>
          <cell r="H177">
            <v>0.16</v>
          </cell>
          <cell r="I177">
            <v>20047.12</v>
          </cell>
          <cell r="J177" t="str">
            <v>PAVCO</v>
          </cell>
          <cell r="K177">
            <v>41671</v>
          </cell>
        </row>
        <row r="178">
          <cell r="D178" t="str">
            <v>1HS80</v>
          </cell>
          <cell r="E178" t="str">
            <v>acondicionador de superficie novafort x 250cc</v>
          </cell>
          <cell r="F178" t="str">
            <v>u</v>
          </cell>
          <cell r="G178">
            <v>77959</v>
          </cell>
          <cell r="H178">
            <v>0.16</v>
          </cell>
          <cell r="I178">
            <v>90432.439999999988</v>
          </cell>
          <cell r="J178" t="str">
            <v>PAVCO</v>
          </cell>
          <cell r="K178">
            <v>41671</v>
          </cell>
        </row>
        <row r="179">
          <cell r="D179" t="str">
            <v>1HS81</v>
          </cell>
          <cell r="E179" t="str">
            <v>adhesivo novafort x 310ml</v>
          </cell>
          <cell r="F179" t="str">
            <v>u</v>
          </cell>
          <cell r="G179">
            <v>39080</v>
          </cell>
          <cell r="H179">
            <v>0.16</v>
          </cell>
          <cell r="I179">
            <v>45332.799999999996</v>
          </cell>
          <cell r="J179" t="str">
            <v>PAVCO</v>
          </cell>
          <cell r="K179">
            <v>41671</v>
          </cell>
        </row>
        <row r="180">
          <cell r="D180" t="str">
            <v>1HS82</v>
          </cell>
          <cell r="E180" t="str">
            <v>tapa para camara de inspeccion</v>
          </cell>
          <cell r="F180" t="str">
            <v>u</v>
          </cell>
          <cell r="G180">
            <v>107500</v>
          </cell>
          <cell r="H180">
            <v>0.16</v>
          </cell>
          <cell r="I180">
            <v>124699.99999999999</v>
          </cell>
          <cell r="J180" t="str">
            <v>COLBLOQUES</v>
          </cell>
          <cell r="K180">
            <v>41671</v>
          </cell>
        </row>
        <row r="181">
          <cell r="D181" t="str">
            <v>1HS83</v>
          </cell>
          <cell r="E181" t="str">
            <v>cuello para camara de inspeccion</v>
          </cell>
          <cell r="F181" t="str">
            <v>u</v>
          </cell>
          <cell r="G181">
            <v>158450</v>
          </cell>
          <cell r="H181">
            <v>0.16</v>
          </cell>
          <cell r="I181">
            <v>183802</v>
          </cell>
          <cell r="J181" t="str">
            <v>COLBLOQUES</v>
          </cell>
          <cell r="K181">
            <v>41671</v>
          </cell>
        </row>
        <row r="182">
          <cell r="D182" t="str">
            <v>1HS84</v>
          </cell>
          <cell r="E182" t="str">
            <v>cono concéntrico Ø 1.20m</v>
          </cell>
          <cell r="F182" t="str">
            <v>u</v>
          </cell>
          <cell r="G182">
            <v>260000</v>
          </cell>
          <cell r="H182">
            <v>0.16</v>
          </cell>
          <cell r="I182">
            <v>301600</v>
          </cell>
          <cell r="J182" t="str">
            <v>COLBLOQUES</v>
          </cell>
          <cell r="K182">
            <v>41671</v>
          </cell>
        </row>
        <row r="183">
          <cell r="D183" t="str">
            <v>1HS85</v>
          </cell>
          <cell r="E183" t="str">
            <v>cilindro 0.20m x Ø 1.20m</v>
          </cell>
          <cell r="F183" t="str">
            <v>u</v>
          </cell>
          <cell r="G183">
            <v>105000</v>
          </cell>
          <cell r="H183">
            <v>0.16</v>
          </cell>
          <cell r="I183">
            <v>121799.99999999999</v>
          </cell>
          <cell r="J183" t="str">
            <v>COLBLOQUES</v>
          </cell>
          <cell r="K183">
            <v>41671</v>
          </cell>
        </row>
        <row r="184">
          <cell r="D184" t="str">
            <v>1HS86</v>
          </cell>
          <cell r="E184" t="str">
            <v>cilindro 0.50m x Ø 1.20m</v>
          </cell>
          <cell r="F184" t="str">
            <v>u</v>
          </cell>
          <cell r="G184">
            <v>192375</v>
          </cell>
          <cell r="H184">
            <v>0.16</v>
          </cell>
          <cell r="I184">
            <v>223154.99999999997</v>
          </cell>
          <cell r="J184" t="str">
            <v>COLBLOQUES</v>
          </cell>
          <cell r="K184">
            <v>41671</v>
          </cell>
        </row>
        <row r="185">
          <cell r="D185" t="str">
            <v>1HS87</v>
          </cell>
          <cell r="E185" t="str">
            <v>cilindro 1.00m x Ø 1.20m</v>
          </cell>
          <cell r="F185" t="str">
            <v>u</v>
          </cell>
          <cell r="G185">
            <v>339750</v>
          </cell>
          <cell r="H185">
            <v>0.16</v>
          </cell>
          <cell r="I185">
            <v>394110</v>
          </cell>
          <cell r="J185" t="str">
            <v>COLBLOQUES</v>
          </cell>
          <cell r="K185">
            <v>41671</v>
          </cell>
        </row>
        <row r="186">
          <cell r="D186" t="str">
            <v>1HS92</v>
          </cell>
          <cell r="E186" t="str">
            <v>union empaque caucho Ø 1.20m</v>
          </cell>
          <cell r="F186" t="str">
            <v>u</v>
          </cell>
          <cell r="G186">
            <v>25000</v>
          </cell>
          <cell r="H186">
            <v>0.16</v>
          </cell>
          <cell r="I186">
            <v>28999.999999999996</v>
          </cell>
          <cell r="J186" t="str">
            <v>COLBLOQUES</v>
          </cell>
          <cell r="K186">
            <v>41671</v>
          </cell>
        </row>
        <row r="187">
          <cell r="D187" t="str">
            <v>1HS94</v>
          </cell>
          <cell r="E187" t="str">
            <v>tubería unión platino rde 21 200 psi, ø= 3" - pavco o equivalente.</v>
          </cell>
          <cell r="F187" t="str">
            <v>m</v>
          </cell>
          <cell r="G187">
            <v>13921.166666666666</v>
          </cell>
          <cell r="H187">
            <v>0.16</v>
          </cell>
          <cell r="I187">
            <v>16148.553333333331</v>
          </cell>
          <cell r="J187" t="str">
            <v>PAVCO</v>
          </cell>
          <cell r="K187">
            <v>41671</v>
          </cell>
        </row>
        <row r="188">
          <cell r="D188" t="str">
            <v>1HS95</v>
          </cell>
          <cell r="E188" t="str">
            <v>unión platino ø= 3"</v>
          </cell>
          <cell r="F188" t="str">
            <v>u</v>
          </cell>
          <cell r="G188">
            <v>23105</v>
          </cell>
          <cell r="H188">
            <v>0.16</v>
          </cell>
          <cell r="I188">
            <v>26801.8</v>
          </cell>
          <cell r="J188" t="str">
            <v>PAVCO</v>
          </cell>
          <cell r="K188">
            <v>41671</v>
          </cell>
        </row>
        <row r="189">
          <cell r="D189" t="str">
            <v>1HS96</v>
          </cell>
          <cell r="E189" t="str">
            <v>unión platino de reparacion ø= 3"</v>
          </cell>
          <cell r="F189" t="str">
            <v>u</v>
          </cell>
          <cell r="G189">
            <v>24638</v>
          </cell>
          <cell r="H189">
            <v>0.16</v>
          </cell>
          <cell r="I189">
            <v>28580.079999999998</v>
          </cell>
          <cell r="J189" t="str">
            <v>PAVCO</v>
          </cell>
          <cell r="K189">
            <v>41671</v>
          </cell>
        </row>
        <row r="190">
          <cell r="D190" t="str">
            <v>1HS98</v>
          </cell>
          <cell r="E190" t="str">
            <v>hidrante Ø3"</v>
          </cell>
          <cell r="F190" t="str">
            <v>u</v>
          </cell>
          <cell r="G190">
            <v>1626000</v>
          </cell>
          <cell r="H190">
            <v>0.16</v>
          </cell>
          <cell r="I190">
            <v>1886159.9999999998</v>
          </cell>
          <cell r="J190" t="str">
            <v>COVAL</v>
          </cell>
          <cell r="K190">
            <v>41640</v>
          </cell>
        </row>
        <row r="191">
          <cell r="D191" t="str">
            <v>1HSA1</v>
          </cell>
          <cell r="E191" t="str">
            <v>válvula bridada de 3"</v>
          </cell>
          <cell r="F191" t="str">
            <v>u</v>
          </cell>
          <cell r="G191">
            <v>475400</v>
          </cell>
          <cell r="H191">
            <v>0.16</v>
          </cell>
          <cell r="I191">
            <v>551464</v>
          </cell>
          <cell r="J191" t="str">
            <v>COVAL</v>
          </cell>
          <cell r="K191">
            <v>41640</v>
          </cell>
        </row>
        <row r="192">
          <cell r="D192" t="str">
            <v>1HSA2</v>
          </cell>
          <cell r="E192" t="str">
            <v>codo 90º bridado de hierro ductil de ø= 3"</v>
          </cell>
          <cell r="F192" t="str">
            <v>u</v>
          </cell>
          <cell r="G192">
            <v>169400</v>
          </cell>
          <cell r="H192">
            <v>0.16</v>
          </cell>
          <cell r="I192">
            <v>196504</v>
          </cell>
          <cell r="J192" t="str">
            <v>COVAL</v>
          </cell>
          <cell r="K192">
            <v>41640</v>
          </cell>
        </row>
        <row r="193">
          <cell r="D193" t="str">
            <v>1HSA3</v>
          </cell>
          <cell r="E193" t="str">
            <v>tubería de hierro ductil de 3"</v>
          </cell>
          <cell r="F193" t="str">
            <v>m</v>
          </cell>
          <cell r="G193">
            <v>94300</v>
          </cell>
          <cell r="H193">
            <v>0.16</v>
          </cell>
          <cell r="I193">
            <v>109387.99999999999</v>
          </cell>
          <cell r="J193" t="str">
            <v>FERRO VALVULAS</v>
          </cell>
          <cell r="K193">
            <v>41892</v>
          </cell>
        </row>
        <row r="194">
          <cell r="D194" t="str">
            <v>1HSA4</v>
          </cell>
          <cell r="E194" t="str">
            <v>unión vitauli 3"</v>
          </cell>
          <cell r="F194" t="str">
            <v>u</v>
          </cell>
          <cell r="G194">
            <v>63200</v>
          </cell>
          <cell r="H194">
            <v>0.16</v>
          </cell>
          <cell r="I194">
            <v>73312</v>
          </cell>
          <cell r="J194" t="str">
            <v>COVAL</v>
          </cell>
          <cell r="K194">
            <v>41640</v>
          </cell>
        </row>
        <row r="195">
          <cell r="D195" t="str">
            <v>1HSA5</v>
          </cell>
          <cell r="E195" t="str">
            <v>tapa valvula con caja de concreto</v>
          </cell>
          <cell r="F195" t="str">
            <v>u</v>
          </cell>
          <cell r="G195">
            <v>174600</v>
          </cell>
          <cell r="H195">
            <v>0.16</v>
          </cell>
          <cell r="I195">
            <v>202536</v>
          </cell>
          <cell r="J195">
            <v>0</v>
          </cell>
          <cell r="K195">
            <v>0</v>
          </cell>
        </row>
        <row r="196">
          <cell r="D196" t="str">
            <v>1HSA6</v>
          </cell>
          <cell r="E196" t="str">
            <v>tubería pvc-s ø= 3"</v>
          </cell>
          <cell r="F196" t="str">
            <v>m</v>
          </cell>
          <cell r="G196">
            <v>11769.666666666666</v>
          </cell>
          <cell r="H196">
            <v>0.16</v>
          </cell>
          <cell r="I196">
            <v>13652.813333333332</v>
          </cell>
          <cell r="J196" t="str">
            <v>PAVCO</v>
          </cell>
          <cell r="K196">
            <v>41671</v>
          </cell>
        </row>
        <row r="197">
          <cell r="D197" t="str">
            <v>1HSA7</v>
          </cell>
          <cell r="E197" t="str">
            <v>tapón pvc registro 3"</v>
          </cell>
          <cell r="F197" t="str">
            <v>u</v>
          </cell>
          <cell r="G197">
            <v>995</v>
          </cell>
          <cell r="H197">
            <v>0.16</v>
          </cell>
          <cell r="I197">
            <v>1154.1999999999998</v>
          </cell>
          <cell r="J197" t="str">
            <v>PAVCO</v>
          </cell>
          <cell r="K197">
            <v>41671</v>
          </cell>
        </row>
        <row r="198">
          <cell r="D198" t="str">
            <v>1HSB3</v>
          </cell>
          <cell r="E198" t="str">
            <v>codo ø= 3"x90° - gran radio pavco o equivalente</v>
          </cell>
          <cell r="F198" t="str">
            <v>u</v>
          </cell>
          <cell r="G198">
            <v>39725</v>
          </cell>
          <cell r="H198">
            <v>0.16</v>
          </cell>
          <cell r="I198">
            <v>46081</v>
          </cell>
          <cell r="J198" t="str">
            <v>PAVCO</v>
          </cell>
          <cell r="K198">
            <v>41671</v>
          </cell>
        </row>
        <row r="199">
          <cell r="D199" t="str">
            <v>1HSB4</v>
          </cell>
          <cell r="E199" t="str">
            <v>codo ø= 3"x22.5° - gran radio pavco o equivalente</v>
          </cell>
          <cell r="F199" t="str">
            <v>u</v>
          </cell>
          <cell r="G199">
            <v>26271</v>
          </cell>
          <cell r="H199">
            <v>0.16</v>
          </cell>
          <cell r="I199">
            <v>30474.359999999997</v>
          </cell>
          <cell r="J199" t="str">
            <v>PAVCO</v>
          </cell>
          <cell r="K199">
            <v>41671</v>
          </cell>
        </row>
        <row r="200">
          <cell r="D200" t="str">
            <v>1HSB5</v>
          </cell>
          <cell r="E200" t="str">
            <v>codo ø= 3"x11.25° - gran radio pavco o equivalente</v>
          </cell>
          <cell r="F200" t="str">
            <v>u</v>
          </cell>
          <cell r="G200">
            <v>23944</v>
          </cell>
          <cell r="H200">
            <v>0.16</v>
          </cell>
          <cell r="I200">
            <v>27775.039999999997</v>
          </cell>
          <cell r="J200" t="str">
            <v>PAVCO</v>
          </cell>
          <cell r="K200">
            <v>41671</v>
          </cell>
        </row>
        <row r="201">
          <cell r="D201" t="str">
            <v>1HSB6</v>
          </cell>
          <cell r="E201" t="str">
            <v>tubería pvc novafort ø= 315mm</v>
          </cell>
          <cell r="F201" t="str">
            <v>m</v>
          </cell>
          <cell r="G201">
            <v>62476.333333333336</v>
          </cell>
          <cell r="H201">
            <v>0.16</v>
          </cell>
          <cell r="I201">
            <v>72472.546666666662</v>
          </cell>
          <cell r="J201" t="str">
            <v>PAVCO</v>
          </cell>
          <cell r="K201">
            <v>41671</v>
          </cell>
        </row>
        <row r="202">
          <cell r="D202" t="str">
            <v>1HSB7</v>
          </cell>
          <cell r="E202" t="str">
            <v>unión pvc novafort ø= 315mm</v>
          </cell>
          <cell r="F202" t="str">
            <v>u</v>
          </cell>
          <cell r="G202">
            <v>145699</v>
          </cell>
          <cell r="H202">
            <v>0.16</v>
          </cell>
          <cell r="I202">
            <v>169010.84</v>
          </cell>
          <cell r="J202" t="str">
            <v>PAVCO</v>
          </cell>
          <cell r="K202">
            <v>41671</v>
          </cell>
        </row>
        <row r="203">
          <cell r="D203" t="str">
            <v>1HSB8</v>
          </cell>
          <cell r="E203" t="str">
            <v>hidrosello pvc novafort ø= 315mm</v>
          </cell>
          <cell r="F203" t="str">
            <v>u</v>
          </cell>
          <cell r="G203">
            <v>16462</v>
          </cell>
          <cell r="H203">
            <v>0.16</v>
          </cell>
          <cell r="I203">
            <v>19095.919999999998</v>
          </cell>
          <cell r="J203" t="str">
            <v>PAVCO</v>
          </cell>
          <cell r="K203">
            <v>41671</v>
          </cell>
        </row>
        <row r="204">
          <cell r="D204" t="str">
            <v>1HSC3</v>
          </cell>
          <cell r="E204" t="str">
            <v>tuberia pvc presion ø2" rde 21</v>
          </cell>
          <cell r="F204" t="str">
            <v>u</v>
          </cell>
          <cell r="G204">
            <v>68039</v>
          </cell>
          <cell r="H204">
            <v>0.16</v>
          </cell>
          <cell r="I204">
            <v>78925.239999999991</v>
          </cell>
          <cell r="J204" t="str">
            <v>PAVCO</v>
          </cell>
          <cell r="K204">
            <v>41671</v>
          </cell>
        </row>
        <row r="205">
          <cell r="D205" t="str">
            <v>1HSF4</v>
          </cell>
          <cell r="E205" t="str">
            <v>tee ø= 3"x3" - pavco o equivalente</v>
          </cell>
          <cell r="F205" t="str">
            <v>u</v>
          </cell>
          <cell r="G205">
            <v>5427</v>
          </cell>
          <cell r="H205">
            <v>0.16</v>
          </cell>
          <cell r="I205">
            <v>6295.32</v>
          </cell>
          <cell r="J205" t="str">
            <v>PAVCO</v>
          </cell>
          <cell r="K205">
            <v>41671</v>
          </cell>
        </row>
        <row r="206">
          <cell r="D206" t="str">
            <v>1HSG9</v>
          </cell>
          <cell r="E206" t="str">
            <v>codo ø= 3"x45° - gran radio pavco o equivalente</v>
          </cell>
          <cell r="F206" t="str">
            <v>u</v>
          </cell>
          <cell r="G206">
            <v>26637</v>
          </cell>
          <cell r="H206">
            <v>0.16</v>
          </cell>
          <cell r="I206">
            <v>30898.92</v>
          </cell>
          <cell r="J206" t="str">
            <v>PAVCO</v>
          </cell>
          <cell r="K206">
            <v>41671</v>
          </cell>
        </row>
        <row r="207">
          <cell r="D207" t="str">
            <v>1HSH2</v>
          </cell>
          <cell r="E207" t="str">
            <v>tapon pvc Ø250x75mm</v>
          </cell>
          <cell r="F207" t="str">
            <v>u</v>
          </cell>
          <cell r="G207">
            <v>66472</v>
          </cell>
          <cell r="H207">
            <v>0.16</v>
          </cell>
          <cell r="I207">
            <v>77107.51999999999</v>
          </cell>
          <cell r="J207" t="str">
            <v>PAVCO</v>
          </cell>
          <cell r="K207">
            <v>41671</v>
          </cell>
        </row>
        <row r="208">
          <cell r="D208" t="str">
            <v>1O123</v>
          </cell>
          <cell r="E208" t="str">
            <v>emulsion asfaltica crl-1</v>
          </cell>
          <cell r="F208" t="str">
            <v>lt</v>
          </cell>
          <cell r="G208">
            <v>1500</v>
          </cell>
          <cell r="H208">
            <v>0.16</v>
          </cell>
          <cell r="I208">
            <v>1739.9999999999998</v>
          </cell>
          <cell r="J208" t="str">
            <v>CONASFALTOS</v>
          </cell>
          <cell r="K208">
            <v>41892</v>
          </cell>
        </row>
        <row r="209">
          <cell r="D209" t="str">
            <v>1O124</v>
          </cell>
          <cell r="E209" t="str">
            <v>riego de liga con emulsion asfaltica crr-1</v>
          </cell>
          <cell r="F209" t="str">
            <v>lt</v>
          </cell>
          <cell r="G209">
            <v>2000</v>
          </cell>
          <cell r="H209">
            <v>0.16</v>
          </cell>
          <cell r="I209">
            <v>2320</v>
          </cell>
          <cell r="J209" t="str">
            <v>CONASFALTOS</v>
          </cell>
          <cell r="K209">
            <v>41640</v>
          </cell>
        </row>
        <row r="210">
          <cell r="D210" t="str">
            <v>1O126</v>
          </cell>
          <cell r="E210" t="str">
            <v>mezcla asfaltica tipo msc-1 con asfalto 60-70, norma invias (1800kg/m3)</v>
          </cell>
          <cell r="F210" t="str">
            <v>ton</v>
          </cell>
          <cell r="G210">
            <v>192500</v>
          </cell>
          <cell r="H210">
            <v>0.16</v>
          </cell>
          <cell r="I210">
            <v>223299.99999999997</v>
          </cell>
          <cell r="J210" t="str">
            <v>CONASFALTOS</v>
          </cell>
          <cell r="K210">
            <v>41640</v>
          </cell>
        </row>
        <row r="211">
          <cell r="D211" t="str">
            <v>1O127</v>
          </cell>
          <cell r="E211" t="str">
            <v>mezcla asfaltica tipo mdc-2 con asfalto 60-70, norma invias (1800kg/m3)</v>
          </cell>
          <cell r="F211" t="str">
            <v>ton</v>
          </cell>
          <cell r="G211">
            <v>199500</v>
          </cell>
          <cell r="H211">
            <v>0.16</v>
          </cell>
          <cell r="I211">
            <v>231419.99999999997</v>
          </cell>
          <cell r="J211" t="str">
            <v>CONASFALTOS</v>
          </cell>
          <cell r="K211">
            <v>41640</v>
          </cell>
        </row>
        <row r="212">
          <cell r="D212" t="str">
            <v>1PVE5</v>
          </cell>
          <cell r="E212" t="str">
            <v>geotextil tr 4000</v>
          </cell>
          <cell r="F212" t="str">
            <v>m2</v>
          </cell>
          <cell r="G212">
            <v>7760</v>
          </cell>
          <cell r="H212">
            <v>0.16</v>
          </cell>
          <cell r="I212">
            <v>9001.5999999999985</v>
          </cell>
          <cell r="J212" t="str">
            <v>PAVCO</v>
          </cell>
          <cell r="K212">
            <v>41640</v>
          </cell>
        </row>
        <row r="213">
          <cell r="D213" t="str">
            <v>1PVZ4</v>
          </cell>
          <cell r="E213" t="str">
            <v>soldadura pvc 1/4</v>
          </cell>
          <cell r="F213" t="str">
            <v>u</v>
          </cell>
          <cell r="G213">
            <v>58980</v>
          </cell>
          <cell r="H213">
            <v>0.16</v>
          </cell>
          <cell r="I213">
            <v>68416.799999999988</v>
          </cell>
          <cell r="J213" t="str">
            <v>PAVCO</v>
          </cell>
          <cell r="K213">
            <v>41671</v>
          </cell>
        </row>
        <row r="214">
          <cell r="D214" t="str">
            <v>1PVZ5</v>
          </cell>
          <cell r="E214" t="str">
            <v>geodren planar 1.0 m</v>
          </cell>
          <cell r="F214" t="str">
            <v>m2</v>
          </cell>
          <cell r="G214">
            <v>21570</v>
          </cell>
          <cell r="H214">
            <v>0.16</v>
          </cell>
          <cell r="I214">
            <v>25021.199999999997</v>
          </cell>
          <cell r="J214" t="str">
            <v>PAVCO</v>
          </cell>
          <cell r="K214">
            <v>41640</v>
          </cell>
        </row>
        <row r="215">
          <cell r="D215" t="str">
            <v>1PVZ7</v>
          </cell>
          <cell r="E215" t="str">
            <v>geodren vial pavco, tb 100 mm 1.0 m. incluye tuberia de ø4"</v>
          </cell>
          <cell r="F215" t="str">
            <v>m</v>
          </cell>
          <cell r="G215">
            <v>32967</v>
          </cell>
          <cell r="H215">
            <v>0.16</v>
          </cell>
          <cell r="I215">
            <v>38241.719999999994</v>
          </cell>
          <cell r="J215" t="str">
            <v>PAVCO</v>
          </cell>
          <cell r="K215">
            <v>41640</v>
          </cell>
        </row>
        <row r="216">
          <cell r="D216" t="str">
            <v>1SK51</v>
          </cell>
          <cell r="E216" t="str">
            <v>antisol blanco 20 k</v>
          </cell>
          <cell r="F216" t="str">
            <v>kg</v>
          </cell>
          <cell r="G216">
            <v>3500</v>
          </cell>
          <cell r="H216">
            <v>0.16</v>
          </cell>
          <cell r="I216">
            <v>4059.9999999999995</v>
          </cell>
          <cell r="J216" t="str">
            <v>SIKA</v>
          </cell>
          <cell r="K216">
            <v>41687</v>
          </cell>
        </row>
        <row r="217">
          <cell r="D217" t="str">
            <v>1SK57</v>
          </cell>
          <cell r="E217" t="str">
            <v>separol- desformaleteante 25 k</v>
          </cell>
          <cell r="F217" t="str">
            <v>kg</v>
          </cell>
          <cell r="G217">
            <v>12000</v>
          </cell>
          <cell r="H217">
            <v>0.16</v>
          </cell>
          <cell r="I217">
            <v>13919.999999999998</v>
          </cell>
          <cell r="J217" t="str">
            <v>SIKA</v>
          </cell>
          <cell r="K217">
            <v>41687</v>
          </cell>
        </row>
        <row r="218">
          <cell r="D218" t="str">
            <v>1SKN4</v>
          </cell>
          <cell r="E218" t="str">
            <v>sika demoledor</v>
          </cell>
          <cell r="F218" t="str">
            <v>kg</v>
          </cell>
          <cell r="G218">
            <v>16500</v>
          </cell>
          <cell r="H218">
            <v>0.16</v>
          </cell>
          <cell r="I218">
            <v>19140</v>
          </cell>
          <cell r="J218" t="str">
            <v>SIKA</v>
          </cell>
          <cell r="K218">
            <v>41687</v>
          </cell>
        </row>
        <row r="219">
          <cell r="D219" t="str">
            <v>1SKN5</v>
          </cell>
          <cell r="E219" t="str">
            <v>cinta sika pvc 0-15 de 0.15m</v>
          </cell>
          <cell r="F219" t="str">
            <v>m</v>
          </cell>
          <cell r="G219">
            <v>27000</v>
          </cell>
          <cell r="H219">
            <v>0.16</v>
          </cell>
          <cell r="I219">
            <v>31319.999999999996</v>
          </cell>
          <cell r="J219" t="str">
            <v>SIKA</v>
          </cell>
          <cell r="K219">
            <v>41687</v>
          </cell>
        </row>
        <row r="220">
          <cell r="D220" t="str">
            <v>1SKP3</v>
          </cell>
          <cell r="E220" t="str">
            <v>sikamanto 3mm poliester x 10m2</v>
          </cell>
          <cell r="F220" t="str">
            <v>m2</v>
          </cell>
          <cell r="G220">
            <v>13000</v>
          </cell>
          <cell r="H220">
            <v>0.16</v>
          </cell>
          <cell r="I220">
            <v>15079.999999999998</v>
          </cell>
          <cell r="J220" t="str">
            <v>SIKA</v>
          </cell>
          <cell r="K220">
            <v>41687</v>
          </cell>
        </row>
        <row r="221">
          <cell r="D221" t="str">
            <v>21111</v>
          </cell>
          <cell r="E221" t="str">
            <v>mo ayudante</v>
          </cell>
          <cell r="F221" t="str">
            <v>h</v>
          </cell>
          <cell r="G221">
            <v>2834.6153846153848</v>
          </cell>
          <cell r="H221">
            <v>0.86399999999999999</v>
          </cell>
          <cell r="I221">
            <v>5283.7230769230764</v>
          </cell>
          <cell r="J221" t="str">
            <v>SALARIO MINIMO</v>
          </cell>
          <cell r="K221">
            <v>41640</v>
          </cell>
        </row>
        <row r="222">
          <cell r="D222" t="str">
            <v>21116</v>
          </cell>
          <cell r="E222" t="str">
            <v>mo transporte interno cemento</v>
          </cell>
          <cell r="F222" t="str">
            <v>blt</v>
          </cell>
          <cell r="G222">
            <v>242.44</v>
          </cell>
          <cell r="H222">
            <v>0</v>
          </cell>
          <cell r="I222">
            <v>242.44</v>
          </cell>
          <cell r="J222" t="str">
            <v>CONTRATISTA MENOR</v>
          </cell>
          <cell r="K222">
            <v>41640</v>
          </cell>
        </row>
        <row r="223">
          <cell r="D223" t="str">
            <v>21117</v>
          </cell>
          <cell r="E223" t="str">
            <v>mo descargue de cemento</v>
          </cell>
          <cell r="F223" t="str">
            <v>blt</v>
          </cell>
          <cell r="G223">
            <v>250</v>
          </cell>
          <cell r="H223">
            <v>0</v>
          </cell>
          <cell r="I223">
            <v>250</v>
          </cell>
          <cell r="J223" t="str">
            <v>CONTRATISTA MENOR</v>
          </cell>
          <cell r="K223">
            <v>41640</v>
          </cell>
        </row>
        <row r="224">
          <cell r="D224" t="str">
            <v>21118</v>
          </cell>
          <cell r="E224" t="str">
            <v>mo acarreo interno de material de playa y agregados</v>
          </cell>
          <cell r="F224" t="str">
            <v>m3</v>
          </cell>
          <cell r="G224">
            <v>5275.2227000000003</v>
          </cell>
          <cell r="H224">
            <v>0</v>
          </cell>
          <cell r="I224">
            <v>5275.2227000000003</v>
          </cell>
          <cell r="J224" t="str">
            <v>CONTRATISTA MENOR</v>
          </cell>
          <cell r="K224">
            <v>41640</v>
          </cell>
        </row>
        <row r="225">
          <cell r="D225" t="str">
            <v>21119</v>
          </cell>
          <cell r="E225" t="str">
            <v>mo salario minimo</v>
          </cell>
          <cell r="F225" t="str">
            <v>mes</v>
          </cell>
          <cell r="G225">
            <v>616000</v>
          </cell>
          <cell r="H225">
            <v>0</v>
          </cell>
          <cell r="I225">
            <v>616000</v>
          </cell>
          <cell r="J225" t="str">
            <v>SALARIO MINIMO</v>
          </cell>
          <cell r="K225">
            <v>41640</v>
          </cell>
        </row>
        <row r="226">
          <cell r="D226" t="str">
            <v>21121</v>
          </cell>
          <cell r="E226" t="str">
            <v>mo oficial obra negra</v>
          </cell>
          <cell r="F226" t="str">
            <v>h</v>
          </cell>
          <cell r="G226">
            <v>4445.7274826789835</v>
          </cell>
          <cell r="H226">
            <v>0.86399999999999999</v>
          </cell>
          <cell r="I226">
            <v>8286.8360277136253</v>
          </cell>
          <cell r="J226" t="str">
            <v>CONTRATISTA MENOR</v>
          </cell>
          <cell r="K226">
            <v>41640</v>
          </cell>
        </row>
        <row r="227">
          <cell r="D227" t="str">
            <v>21139</v>
          </cell>
          <cell r="E227" t="str">
            <v>comision de topografia</v>
          </cell>
          <cell r="F227" t="str">
            <v>d</v>
          </cell>
          <cell r="G227">
            <v>485000</v>
          </cell>
          <cell r="H227">
            <v>0.16</v>
          </cell>
          <cell r="I227">
            <v>562600</v>
          </cell>
          <cell r="J227" t="str">
            <v>MDT SAS</v>
          </cell>
          <cell r="K227">
            <v>41886</v>
          </cell>
        </row>
        <row r="228">
          <cell r="D228" t="str">
            <v>22129</v>
          </cell>
          <cell r="E228" t="str">
            <v>mo transporte interno mortero</v>
          </cell>
          <cell r="F228" t="str">
            <v>m3</v>
          </cell>
          <cell r="G228">
            <v>6270</v>
          </cell>
          <cell r="H228">
            <v>0</v>
          </cell>
          <cell r="I228">
            <v>6270</v>
          </cell>
          <cell r="J228" t="str">
            <v>CONTRATISTA MENOR</v>
          </cell>
          <cell r="K228">
            <v>41640</v>
          </cell>
        </row>
        <row r="229">
          <cell r="D229" t="str">
            <v>22132</v>
          </cell>
          <cell r="E229" t="str">
            <v>mo preparacion concreto</v>
          </cell>
          <cell r="F229" t="str">
            <v>m3</v>
          </cell>
          <cell r="G229">
            <v>17740</v>
          </cell>
          <cell r="H229">
            <v>0</v>
          </cell>
          <cell r="I229">
            <v>17740</v>
          </cell>
          <cell r="J229" t="str">
            <v>CONTRATISTA MENOR</v>
          </cell>
          <cell r="K229">
            <v>41640</v>
          </cell>
        </row>
        <row r="230">
          <cell r="D230" t="str">
            <v>22561</v>
          </cell>
          <cell r="E230" t="str">
            <v>mo curador concreto</v>
          </cell>
          <cell r="F230" t="str">
            <v>m2</v>
          </cell>
          <cell r="G230">
            <v>216</v>
          </cell>
          <cell r="H230">
            <v>0</v>
          </cell>
          <cell r="I230">
            <v>216</v>
          </cell>
          <cell r="J230" t="str">
            <v>CONTRATISTA MENOR</v>
          </cell>
          <cell r="K230">
            <v>41640</v>
          </cell>
        </row>
        <row r="231">
          <cell r="D231" t="str">
            <v>22711</v>
          </cell>
          <cell r="E231" t="str">
            <v>mo desmoldante</v>
          </cell>
          <cell r="F231" t="str">
            <v>m2</v>
          </cell>
          <cell r="G231">
            <v>248.45</v>
          </cell>
          <cell r="H231">
            <v>0</v>
          </cell>
          <cell r="I231">
            <v>248.45</v>
          </cell>
          <cell r="J231" t="str">
            <v>CONTRATISTA MENOR</v>
          </cell>
          <cell r="K231">
            <v>41640</v>
          </cell>
        </row>
        <row r="232">
          <cell r="D232" t="str">
            <v>24151</v>
          </cell>
          <cell r="E232" t="str">
            <v>mo operario concretadora</v>
          </cell>
          <cell r="F232" t="str">
            <v>m3</v>
          </cell>
          <cell r="G232">
            <v>7000</v>
          </cell>
          <cell r="H232">
            <v>0</v>
          </cell>
          <cell r="I232">
            <v>7000</v>
          </cell>
          <cell r="J232" t="str">
            <v>CONTRATISTA MENOR</v>
          </cell>
          <cell r="K232">
            <v>41640</v>
          </cell>
        </row>
        <row r="233">
          <cell r="D233" t="str">
            <v>2512A</v>
          </cell>
          <cell r="E233" t="str">
            <v>mo transporte interno hierro horizontal o vertical</v>
          </cell>
          <cell r="F233" t="str">
            <v>kg</v>
          </cell>
          <cell r="G233">
            <v>37.619999999999997</v>
          </cell>
          <cell r="H233">
            <v>0</v>
          </cell>
          <cell r="I233">
            <v>37.619999999999997</v>
          </cell>
          <cell r="J233" t="str">
            <v>CONTRATISTA MENOR</v>
          </cell>
          <cell r="K233">
            <v>41640</v>
          </cell>
        </row>
        <row r="234">
          <cell r="D234" t="str">
            <v>29211</v>
          </cell>
          <cell r="E234" t="str">
            <v>mo prestaciones sociales</v>
          </cell>
          <cell r="F234" t="str">
            <v>%</v>
          </cell>
          <cell r="G234">
            <v>0.86399999999999999</v>
          </cell>
          <cell r="H234">
            <v>0</v>
          </cell>
          <cell r="I234">
            <v>0.86399999999999999</v>
          </cell>
          <cell r="J234" t="str">
            <v>CALCULO PRESTACIONES</v>
          </cell>
          <cell r="K234">
            <v>41640</v>
          </cell>
        </row>
        <row r="235">
          <cell r="D235" t="str">
            <v>2A411</v>
          </cell>
          <cell r="E235" t="str">
            <v>mo excavacion manual 0-2m</v>
          </cell>
          <cell r="F235" t="str">
            <v>m3</v>
          </cell>
          <cell r="G235">
            <v>11500</v>
          </cell>
          <cell r="H235">
            <v>0</v>
          </cell>
          <cell r="I235">
            <v>11500</v>
          </cell>
          <cell r="J235" t="str">
            <v>CONTRATISTA MENOR</v>
          </cell>
          <cell r="K235">
            <v>41640</v>
          </cell>
        </row>
        <row r="236">
          <cell r="D236" t="str">
            <v>2A461</v>
          </cell>
          <cell r="E236" t="str">
            <v>mo transporte interno de material proveniente de las excavaciones</v>
          </cell>
          <cell r="F236" t="str">
            <v>m3</v>
          </cell>
          <cell r="G236">
            <v>6165.5</v>
          </cell>
          <cell r="H236">
            <v>0</v>
          </cell>
          <cell r="I236">
            <v>6165.5</v>
          </cell>
          <cell r="J236" t="str">
            <v>CONTRATISTA MENOR</v>
          </cell>
          <cell r="K236">
            <v>41640</v>
          </cell>
        </row>
        <row r="237">
          <cell r="D237" t="str">
            <v>2A851</v>
          </cell>
          <cell r="E237" t="str">
            <v>mo instalacion cerramiento provisional en tela verde</v>
          </cell>
          <cell r="F237" t="str">
            <v>m</v>
          </cell>
          <cell r="G237">
            <v>3400</v>
          </cell>
          <cell r="H237">
            <v>0</v>
          </cell>
          <cell r="I237">
            <v>3400</v>
          </cell>
          <cell r="J237" t="str">
            <v>CONTRATISTA MENOR</v>
          </cell>
          <cell r="K237">
            <v>41640</v>
          </cell>
        </row>
        <row r="238">
          <cell r="D238" t="str">
            <v>2B311</v>
          </cell>
          <cell r="E238" t="str">
            <v>excavacion pilas 00-02 m</v>
          </cell>
          <cell r="F238" t="str">
            <v>m3</v>
          </cell>
          <cell r="G238">
            <v>21000</v>
          </cell>
          <cell r="I238">
            <v>21000</v>
          </cell>
          <cell r="J238" t="str">
            <v>CONTRATISTA MENOR</v>
          </cell>
          <cell r="K238">
            <v>41640</v>
          </cell>
        </row>
        <row r="239">
          <cell r="D239" t="str">
            <v>2B312</v>
          </cell>
          <cell r="E239" t="str">
            <v>excavacion pilas 02-04 m</v>
          </cell>
          <cell r="F239" t="str">
            <v>m3</v>
          </cell>
          <cell r="G239">
            <v>29700</v>
          </cell>
          <cell r="I239">
            <v>29700</v>
          </cell>
          <cell r="J239" t="str">
            <v>CONTRATISTA MENOR</v>
          </cell>
          <cell r="K239">
            <v>41640</v>
          </cell>
        </row>
        <row r="240">
          <cell r="D240" t="str">
            <v>2B313</v>
          </cell>
          <cell r="E240" t="str">
            <v>excavacion pilas 04-06 m</v>
          </cell>
          <cell r="F240" t="str">
            <v>m3</v>
          </cell>
          <cell r="G240">
            <v>39000</v>
          </cell>
          <cell r="I240">
            <v>39000</v>
          </cell>
          <cell r="J240" t="str">
            <v>CONTRATISTA MENOR</v>
          </cell>
          <cell r="K240">
            <v>41640</v>
          </cell>
        </row>
        <row r="241">
          <cell r="D241" t="str">
            <v>2B314</v>
          </cell>
          <cell r="E241" t="str">
            <v>excavacion pilas 06-08 m</v>
          </cell>
          <cell r="F241" t="str">
            <v>m3</v>
          </cell>
          <cell r="G241">
            <v>48900</v>
          </cell>
          <cell r="I241">
            <v>48900</v>
          </cell>
          <cell r="J241" t="str">
            <v>CONTRATISTA MENOR</v>
          </cell>
          <cell r="K241">
            <v>41640</v>
          </cell>
        </row>
        <row r="242">
          <cell r="D242" t="str">
            <v>2B315</v>
          </cell>
          <cell r="E242" t="str">
            <v>excavacion pilas 08-10 m</v>
          </cell>
          <cell r="F242" t="str">
            <v>m3</v>
          </cell>
          <cell r="G242">
            <v>59400</v>
          </cell>
          <cell r="I242">
            <v>59400</v>
          </cell>
          <cell r="J242" t="str">
            <v>CONTRATISTA MENOR</v>
          </cell>
          <cell r="K242">
            <v>41640</v>
          </cell>
        </row>
        <row r="243">
          <cell r="D243" t="str">
            <v>2B316</v>
          </cell>
          <cell r="E243" t="str">
            <v>excavacion pilas 10-12 m</v>
          </cell>
          <cell r="F243" t="str">
            <v>m3</v>
          </cell>
          <cell r="G243">
            <v>70500</v>
          </cell>
          <cell r="I243">
            <v>70500</v>
          </cell>
          <cell r="J243" t="str">
            <v>CONTRATISTA MENOR</v>
          </cell>
          <cell r="K243">
            <v>41640</v>
          </cell>
        </row>
        <row r="244">
          <cell r="D244" t="str">
            <v>2B317</v>
          </cell>
          <cell r="E244" t="str">
            <v>excavacion pilas 12-14 m</v>
          </cell>
          <cell r="F244" t="str">
            <v>m3</v>
          </cell>
          <cell r="G244">
            <v>82200</v>
          </cell>
          <cell r="I244">
            <v>82200</v>
          </cell>
          <cell r="J244" t="str">
            <v>CONTRATISTA MENOR</v>
          </cell>
          <cell r="K244">
            <v>41640</v>
          </cell>
        </row>
        <row r="245">
          <cell r="D245" t="str">
            <v>2B318</v>
          </cell>
          <cell r="E245" t="str">
            <v>excavacion pilas 14-16 m</v>
          </cell>
          <cell r="F245" t="str">
            <v>m3</v>
          </cell>
          <cell r="G245">
            <v>94500</v>
          </cell>
          <cell r="I245">
            <v>94500</v>
          </cell>
          <cell r="J245" t="str">
            <v>CONTRATISTA MENOR</v>
          </cell>
          <cell r="K245">
            <v>41640</v>
          </cell>
        </row>
        <row r="246">
          <cell r="D246" t="str">
            <v>2B372</v>
          </cell>
          <cell r="E246" t="str">
            <v>mo vaciado anillos en pilas</v>
          </cell>
          <cell r="F246" t="str">
            <v>m3</v>
          </cell>
          <cell r="G246">
            <v>70000</v>
          </cell>
          <cell r="I246">
            <v>70000</v>
          </cell>
          <cell r="J246" t="str">
            <v>CONTRATISTA MENOR</v>
          </cell>
          <cell r="K246">
            <v>41640</v>
          </cell>
        </row>
        <row r="247">
          <cell r="D247" t="str">
            <v>2C111</v>
          </cell>
          <cell r="E247" t="str">
            <v>mo cuadrilla (1 of + 1 ay)</v>
          </cell>
          <cell r="F247" t="str">
            <v>d</v>
          </cell>
          <cell r="G247">
            <v>108564.47283709361</v>
          </cell>
          <cell r="H247">
            <v>0</v>
          </cell>
          <cell r="I247">
            <v>108564.47283709361</v>
          </cell>
          <cell r="J247" t="str">
            <v>CONTRATISTA MENOR</v>
          </cell>
          <cell r="K247">
            <v>41640</v>
          </cell>
        </row>
        <row r="248">
          <cell r="D248" t="str">
            <v>2C112</v>
          </cell>
          <cell r="E248" t="str">
            <v>mo cuadrilla (1 of + 2 ay)</v>
          </cell>
          <cell r="F248" t="str">
            <v>d</v>
          </cell>
          <cell r="G248">
            <v>150834.25745247822</v>
          </cell>
          <cell r="H248">
            <v>0</v>
          </cell>
          <cell r="I248">
            <v>150834.25745247822</v>
          </cell>
          <cell r="J248" t="str">
            <v>CONTRATISTA MENOR</v>
          </cell>
          <cell r="K248">
            <v>41640</v>
          </cell>
        </row>
        <row r="249">
          <cell r="D249" t="str">
            <v>2C113</v>
          </cell>
          <cell r="E249" t="str">
            <v>mo cuadrilla (2 of + 3 ay)</v>
          </cell>
          <cell r="F249" t="str">
            <v>d</v>
          </cell>
          <cell r="G249">
            <v>259398.73028957183</v>
          </cell>
          <cell r="H249">
            <v>0</v>
          </cell>
          <cell r="I249">
            <v>259398.73028957183</v>
          </cell>
          <cell r="J249" t="str">
            <v>CONTRATISTA MENOR</v>
          </cell>
          <cell r="K249">
            <v>41640</v>
          </cell>
        </row>
        <row r="250">
          <cell r="D250" t="str">
            <v>2C114</v>
          </cell>
          <cell r="E250" t="str">
            <v>mo cuadrilla (2 of + 4 ay)</v>
          </cell>
          <cell r="F250" t="str">
            <v>d</v>
          </cell>
          <cell r="G250">
            <v>301668.51490495645</v>
          </cell>
          <cell r="H250">
            <v>0</v>
          </cell>
          <cell r="I250">
            <v>301668.51490495645</v>
          </cell>
          <cell r="J250" t="str">
            <v>CONTRATISTA MENOR</v>
          </cell>
          <cell r="K250">
            <v>41640</v>
          </cell>
        </row>
        <row r="251">
          <cell r="D251" t="str">
            <v>2C115</v>
          </cell>
          <cell r="E251" t="str">
            <v>mo cuadrilla (3 of + 5 ay)</v>
          </cell>
          <cell r="F251" t="str">
            <v>d</v>
          </cell>
          <cell r="G251">
            <v>410232.98774205009</v>
          </cell>
          <cell r="I251">
            <v>410232.98774205009</v>
          </cell>
          <cell r="J251" t="str">
            <v>CONTRATISTA MENOR</v>
          </cell>
          <cell r="K251">
            <v>41640</v>
          </cell>
        </row>
        <row r="252">
          <cell r="D252" t="str">
            <v>2D92A</v>
          </cell>
          <cell r="E252" t="str">
            <v>mo colocacion acero refuerzo</v>
          </cell>
          <cell r="F252" t="str">
            <v>kg</v>
          </cell>
          <cell r="G252">
            <v>434.71999999999997</v>
          </cell>
          <cell r="I252">
            <v>434.71999999999997</v>
          </cell>
          <cell r="J252" t="str">
            <v>CONTRATISTA MENOR</v>
          </cell>
          <cell r="K252">
            <v>41640</v>
          </cell>
        </row>
        <row r="253">
          <cell r="D253" t="str">
            <v>2E133</v>
          </cell>
          <cell r="E253" t="str">
            <v>cuadrilla electrica acometida n° 6 a 2 awg</v>
          </cell>
          <cell r="F253" t="str">
            <v>m</v>
          </cell>
          <cell r="G253">
            <v>7148.13</v>
          </cell>
          <cell r="H253">
            <v>0</v>
          </cell>
          <cell r="I253">
            <v>7148.13</v>
          </cell>
          <cell r="J253" t="str">
            <v>ENSAMBLES Y DISTRIBUCIONES</v>
          </cell>
          <cell r="K253">
            <v>41640</v>
          </cell>
        </row>
        <row r="254">
          <cell r="D254" t="str">
            <v>2E134</v>
          </cell>
          <cell r="E254" t="str">
            <v>cuadrilla electrica dia</v>
          </cell>
          <cell r="F254" t="str">
            <v>dia</v>
          </cell>
          <cell r="G254">
            <v>212586.45</v>
          </cell>
          <cell r="H254">
            <v>0</v>
          </cell>
          <cell r="I254">
            <v>212586.45</v>
          </cell>
          <cell r="J254" t="str">
            <v>CONTRATISTA MENOR</v>
          </cell>
          <cell r="K254">
            <v>41640</v>
          </cell>
        </row>
        <row r="255">
          <cell r="D255" t="str">
            <v>2HG16</v>
          </cell>
          <cell r="E255" t="str">
            <v>termofusion de 2 pegas para union de tuberia de gas</v>
          </cell>
          <cell r="F255" t="str">
            <v>u</v>
          </cell>
          <cell r="G255">
            <v>64130</v>
          </cell>
          <cell r="H255">
            <v>0.16</v>
          </cell>
          <cell r="I255">
            <v>74390.799999999988</v>
          </cell>
          <cell r="J255" t="str">
            <v>ENSAMBLES Y DISTRIBUCIONES</v>
          </cell>
          <cell r="K255">
            <v>41640</v>
          </cell>
        </row>
        <row r="256">
          <cell r="D256" t="str">
            <v>2HG19</v>
          </cell>
          <cell r="E256" t="str">
            <v>termofusion de 5 pegas para polivalvula red de gas</v>
          </cell>
          <cell r="F256" t="str">
            <v>u</v>
          </cell>
          <cell r="G256">
            <v>96190</v>
          </cell>
          <cell r="H256">
            <v>0.16</v>
          </cell>
          <cell r="I256">
            <v>111580.4</v>
          </cell>
          <cell r="J256" t="str">
            <v>ENSAMBLES Y DISTRIBUCIONES</v>
          </cell>
          <cell r="K256">
            <v>41640</v>
          </cell>
        </row>
        <row r="257">
          <cell r="D257" t="str">
            <v>2HG23</v>
          </cell>
          <cell r="E257" t="str">
            <v>termofusion de 3 pegas para polivalvula red de gas</v>
          </cell>
          <cell r="F257" t="str">
            <v>u</v>
          </cell>
          <cell r="G257">
            <v>74810</v>
          </cell>
          <cell r="H257">
            <v>0.16</v>
          </cell>
          <cell r="I257">
            <v>86779.599999999991</v>
          </cell>
          <cell r="J257" t="str">
            <v>ENSAMBLES Y DISTRIBUCIONES</v>
          </cell>
          <cell r="K257">
            <v>41640</v>
          </cell>
        </row>
        <row r="258">
          <cell r="D258" t="str">
            <v>2HG28</v>
          </cell>
          <cell r="E258" t="str">
            <v>termofusion de 1 pega para red de gas</v>
          </cell>
          <cell r="F258" t="str">
            <v>u</v>
          </cell>
          <cell r="G258">
            <v>64120</v>
          </cell>
          <cell r="H258">
            <v>0.16</v>
          </cell>
          <cell r="I258">
            <v>74379.199999999997</v>
          </cell>
          <cell r="J258" t="str">
            <v>ENSAMBLES Y DISTRIBUCIONES</v>
          </cell>
          <cell r="K258">
            <v>41640</v>
          </cell>
        </row>
        <row r="259">
          <cell r="D259" t="str">
            <v>2Z111</v>
          </cell>
          <cell r="E259" t="str">
            <v>mo transporte interno de material general</v>
          </cell>
          <cell r="F259" t="str">
            <v>m3</v>
          </cell>
          <cell r="G259">
            <v>7276.2860000000001</v>
          </cell>
          <cell r="H259">
            <v>0</v>
          </cell>
          <cell r="I259">
            <v>7276.2860000000001</v>
          </cell>
          <cell r="J259" t="str">
            <v>CONTRATISTA MENOR</v>
          </cell>
          <cell r="K259">
            <v>41640</v>
          </cell>
        </row>
        <row r="260">
          <cell r="D260" t="str">
            <v>3A111</v>
          </cell>
          <cell r="E260" t="str">
            <v>ensayo de toma de densidades</v>
          </cell>
          <cell r="F260" t="str">
            <v>u</v>
          </cell>
          <cell r="G260">
            <v>27150</v>
          </cell>
          <cell r="H260">
            <v>0.16</v>
          </cell>
          <cell r="I260">
            <v>31493.999999999996</v>
          </cell>
          <cell r="J260" t="str">
            <v>SUELOS Y PAVIMENTOS</v>
          </cell>
          <cell r="K260">
            <v>41640</v>
          </cell>
        </row>
        <row r="261">
          <cell r="D261" t="str">
            <v>3A112</v>
          </cell>
          <cell r="E261" t="str">
            <v>ensayo de resistencia de cilindros a la compresion</v>
          </cell>
          <cell r="F261" t="str">
            <v>u</v>
          </cell>
          <cell r="G261">
            <v>7550</v>
          </cell>
          <cell r="H261">
            <v>0.16</v>
          </cell>
          <cell r="I261">
            <v>8758</v>
          </cell>
          <cell r="J261" t="str">
            <v>SUELOS Y PAVIMENTOS</v>
          </cell>
          <cell r="K261">
            <v>41640</v>
          </cell>
        </row>
        <row r="262">
          <cell r="D262" t="str">
            <v>3A242</v>
          </cell>
          <cell r="E262" t="str">
            <v>subcontrato de cargue y botada de materiales varios</v>
          </cell>
          <cell r="F262" t="str">
            <v>m3</v>
          </cell>
          <cell r="G262">
            <v>28000</v>
          </cell>
          <cell r="H262">
            <v>0</v>
          </cell>
          <cell r="I262">
            <v>28000</v>
          </cell>
          <cell r="J262" t="str">
            <v>RUBEN DARIO FRANCO</v>
          </cell>
          <cell r="K262">
            <v>41725</v>
          </cell>
        </row>
        <row r="263">
          <cell r="D263" t="str">
            <v>3HG20</v>
          </cell>
          <cell r="E263" t="str">
            <v>suministro y construccion de caja para polivalvula de 40x40x15cm en concreto</v>
          </cell>
          <cell r="F263" t="str">
            <v>u</v>
          </cell>
          <cell r="G263">
            <v>97700</v>
          </cell>
          <cell r="H263">
            <v>0</v>
          </cell>
          <cell r="I263">
            <v>97700</v>
          </cell>
        </row>
        <row r="264">
          <cell r="D264" t="str">
            <v>3Z163</v>
          </cell>
          <cell r="E264" t="str">
            <v>subcontrato perforacion roca</v>
          </cell>
          <cell r="F264" t="str">
            <v>pul</v>
          </cell>
          <cell r="G264">
            <v>300</v>
          </cell>
          <cell r="H264">
            <v>0</v>
          </cell>
          <cell r="I264">
            <v>300</v>
          </cell>
          <cell r="J264" t="str">
            <v>CONTRATISTA MENOR</v>
          </cell>
          <cell r="K264">
            <v>41640</v>
          </cell>
        </row>
        <row r="265">
          <cell r="D265" t="str">
            <v>3Z165</v>
          </cell>
          <cell r="E265" t="str">
            <v>subcontrato perforacion y anclaje con epoxico tipo hit-re500 de hilti o equivalente. - ø 5/8"</v>
          </cell>
          <cell r="F265" t="str">
            <v>cm</v>
          </cell>
          <cell r="G265">
            <v>576</v>
          </cell>
          <cell r="H265">
            <v>0.16</v>
          </cell>
          <cell r="I265">
            <v>668.16</v>
          </cell>
          <cell r="J265" t="str">
            <v>IDEAS CIVILES</v>
          </cell>
          <cell r="K265">
            <v>41771</v>
          </cell>
        </row>
        <row r="266">
          <cell r="D266" t="str">
            <v>41321</v>
          </cell>
          <cell r="E266" t="str">
            <v>vibrocompactador (canguro)</v>
          </cell>
          <cell r="F266" t="str">
            <v>d</v>
          </cell>
          <cell r="G266">
            <v>42000</v>
          </cell>
          <cell r="H266">
            <v>0.16</v>
          </cell>
          <cell r="I266">
            <v>48720</v>
          </cell>
          <cell r="J266" t="str">
            <v>GLEASON</v>
          </cell>
          <cell r="K266">
            <v>41802</v>
          </cell>
        </row>
        <row r="267">
          <cell r="D267" t="str">
            <v>42511</v>
          </cell>
          <cell r="E267" t="str">
            <v>coche de una llanta</v>
          </cell>
          <cell r="F267" t="str">
            <v>d</v>
          </cell>
          <cell r="G267">
            <v>1863</v>
          </cell>
          <cell r="H267">
            <v>0.16</v>
          </cell>
          <cell r="I267">
            <v>2161.08</v>
          </cell>
          <cell r="J267" t="str">
            <v>GLEASON</v>
          </cell>
          <cell r="K267">
            <v>41802</v>
          </cell>
        </row>
        <row r="268">
          <cell r="D268" t="str">
            <v>43MCH</v>
          </cell>
          <cell r="E268" t="str">
            <v>corbata 600 mm</v>
          </cell>
          <cell r="F268" t="str">
            <v>d</v>
          </cell>
          <cell r="G268">
            <v>57</v>
          </cell>
          <cell r="H268">
            <v>0.16</v>
          </cell>
          <cell r="I268">
            <v>66.11999999999999</v>
          </cell>
          <cell r="J268" t="str">
            <v>GLEASON</v>
          </cell>
          <cell r="K268">
            <v>41802</v>
          </cell>
        </row>
        <row r="269">
          <cell r="D269" t="str">
            <v>43MCI</v>
          </cell>
          <cell r="E269" t="str">
            <v>chapeta tensora 3/8"</v>
          </cell>
          <cell r="F269" t="str">
            <v>d</v>
          </cell>
          <cell r="G269">
            <v>23</v>
          </cell>
          <cell r="H269">
            <v>0.16</v>
          </cell>
          <cell r="I269">
            <v>26.68</v>
          </cell>
          <cell r="J269" t="str">
            <v>GLEASON</v>
          </cell>
          <cell r="K269">
            <v>41802</v>
          </cell>
        </row>
        <row r="270">
          <cell r="D270" t="str">
            <v>43MCJ</v>
          </cell>
          <cell r="E270" t="str">
            <v>gato tensor de 3/8"</v>
          </cell>
          <cell r="F270" t="str">
            <v>d</v>
          </cell>
          <cell r="G270">
            <v>600</v>
          </cell>
          <cell r="H270">
            <v>0.16</v>
          </cell>
          <cell r="I270">
            <v>696</v>
          </cell>
          <cell r="J270" t="str">
            <v>GLEASON</v>
          </cell>
          <cell r="K270">
            <v>41802</v>
          </cell>
        </row>
        <row r="271">
          <cell r="D271" t="str">
            <v>44115</v>
          </cell>
          <cell r="E271" t="str">
            <v xml:space="preserve">andamio con tijera tramo completo 1.50 x 1.50 </v>
          </cell>
          <cell r="F271" t="str">
            <v>d</v>
          </cell>
          <cell r="G271">
            <v>690</v>
          </cell>
          <cell r="H271">
            <v>0.16</v>
          </cell>
          <cell r="I271">
            <v>800.4</v>
          </cell>
          <cell r="J271" t="str">
            <v>EQUIPOS Y EQUIPOS</v>
          </cell>
          <cell r="K271">
            <v>41640</v>
          </cell>
        </row>
        <row r="272">
          <cell r="D272" t="str">
            <v>4411F</v>
          </cell>
          <cell r="E272" t="str">
            <v>molinetes con base y freno de mano</v>
          </cell>
          <cell r="F272" t="str">
            <v>d</v>
          </cell>
          <cell r="G272">
            <v>2400</v>
          </cell>
          <cell r="H272">
            <v>0.16</v>
          </cell>
          <cell r="I272">
            <v>2784</v>
          </cell>
          <cell r="J272" t="str">
            <v>EQUIPOS Y EQUIPOS</v>
          </cell>
          <cell r="K272">
            <v>41640</v>
          </cell>
        </row>
        <row r="273">
          <cell r="D273" t="str">
            <v>44121</v>
          </cell>
          <cell r="E273" t="str">
            <v>vibrador electrico para concreto</v>
          </cell>
          <cell r="F273" t="str">
            <v>d</v>
          </cell>
          <cell r="G273">
            <v>34000</v>
          </cell>
          <cell r="H273">
            <v>0.16</v>
          </cell>
          <cell r="I273">
            <v>39440</v>
          </cell>
          <cell r="J273" t="str">
            <v>EQUIPOS Y EQUIPOS</v>
          </cell>
          <cell r="K273">
            <v>41640</v>
          </cell>
        </row>
        <row r="274">
          <cell r="D274" t="str">
            <v>44153</v>
          </cell>
          <cell r="E274" t="str">
            <v>bascula de 500kg</v>
          </cell>
          <cell r="F274" t="str">
            <v>d</v>
          </cell>
          <cell r="G274">
            <v>12000</v>
          </cell>
          <cell r="H274">
            <v>0.16</v>
          </cell>
          <cell r="I274">
            <v>13919.999999999998</v>
          </cell>
          <cell r="J274" t="str">
            <v>EQUIPOS Y EQUIPOS</v>
          </cell>
          <cell r="K274">
            <v>41640</v>
          </cell>
        </row>
        <row r="275">
          <cell r="D275" t="str">
            <v>44159</v>
          </cell>
          <cell r="E275" t="str">
            <v>concretadora 2 sacos</v>
          </cell>
          <cell r="F275" t="str">
            <v>d</v>
          </cell>
          <cell r="G275">
            <v>38166</v>
          </cell>
          <cell r="H275">
            <v>0.16</v>
          </cell>
          <cell r="I275">
            <v>44272.56</v>
          </cell>
          <cell r="J275" t="str">
            <v>GLEASON</v>
          </cell>
          <cell r="K275">
            <v>41802</v>
          </cell>
        </row>
        <row r="276">
          <cell r="D276" t="str">
            <v>44242</v>
          </cell>
          <cell r="E276" t="str">
            <v>taco metalico corto 2,00 a 3,30 m</v>
          </cell>
          <cell r="F276" t="str">
            <v>d</v>
          </cell>
          <cell r="G276">
            <v>230</v>
          </cell>
          <cell r="H276">
            <v>0.16</v>
          </cell>
          <cell r="I276">
            <v>266.79999999999995</v>
          </cell>
          <cell r="J276" t="str">
            <v>EQUIPOS Y EQUIPOS</v>
          </cell>
          <cell r="K276">
            <v>41640</v>
          </cell>
        </row>
        <row r="277">
          <cell r="D277" t="str">
            <v>44243</v>
          </cell>
          <cell r="E277" t="str">
            <v>taco metalico largo de 2,20 a 3,80 m</v>
          </cell>
          <cell r="F277" t="str">
            <v>d</v>
          </cell>
          <cell r="G277">
            <v>380</v>
          </cell>
          <cell r="H277">
            <v>0.16</v>
          </cell>
          <cell r="I277">
            <v>440.79999999999995</v>
          </cell>
          <cell r="J277" t="str">
            <v>EQUIPOS Y EQUIPOS</v>
          </cell>
          <cell r="K277">
            <v>41640</v>
          </cell>
        </row>
        <row r="278">
          <cell r="D278" t="str">
            <v>44253</v>
          </cell>
          <cell r="E278" t="str">
            <v>cercha 3,00 m</v>
          </cell>
          <cell r="F278" t="str">
            <v>d</v>
          </cell>
          <cell r="G278">
            <v>120</v>
          </cell>
          <cell r="H278">
            <v>0.16</v>
          </cell>
          <cell r="I278">
            <v>139.19999999999999</v>
          </cell>
          <cell r="J278" t="str">
            <v>GLEASON</v>
          </cell>
          <cell r="K278">
            <v>41802</v>
          </cell>
        </row>
        <row r="279">
          <cell r="D279" t="str">
            <v>45911</v>
          </cell>
          <cell r="E279" t="str">
            <v>estacion total geodesica con laser</v>
          </cell>
          <cell r="F279" t="str">
            <v>d</v>
          </cell>
          <cell r="G279">
            <v>95000</v>
          </cell>
          <cell r="H279">
            <v>0.16</v>
          </cell>
          <cell r="I279">
            <v>110199.99999999999</v>
          </cell>
          <cell r="J279" t="str">
            <v>MDT SAS</v>
          </cell>
          <cell r="K279">
            <v>41887</v>
          </cell>
        </row>
        <row r="280">
          <cell r="D280" t="str">
            <v>46111</v>
          </cell>
          <cell r="E280" t="str">
            <v>herramienta y equipo menor</v>
          </cell>
          <cell r="F280" t="str">
            <v>%</v>
          </cell>
          <cell r="G280">
            <v>0.05</v>
          </cell>
          <cell r="H280">
            <v>0</v>
          </cell>
          <cell r="I280">
            <v>0.05</v>
          </cell>
          <cell r="J280" t="str">
            <v>CALCULO</v>
          </cell>
          <cell r="K280">
            <v>41640</v>
          </cell>
        </row>
        <row r="281">
          <cell r="D281" t="str">
            <v>47111</v>
          </cell>
          <cell r="E281" t="str">
            <v>elementos de consumo y proteccion</v>
          </cell>
          <cell r="F281" t="str">
            <v>%</v>
          </cell>
          <cell r="G281">
            <v>1.2455000000000001E-2</v>
          </cell>
          <cell r="H281">
            <v>0</v>
          </cell>
          <cell r="I281">
            <v>1.2455000000000001E-2</v>
          </cell>
          <cell r="J281" t="str">
            <v>CALCULO</v>
          </cell>
          <cell r="K281">
            <v>41640</v>
          </cell>
        </row>
        <row r="282">
          <cell r="D282" t="str">
            <v>48Z19</v>
          </cell>
          <cell r="E282" t="str">
            <v>can madera abarco de 2.80-3.00 m</v>
          </cell>
          <cell r="F282" t="str">
            <v>d</v>
          </cell>
          <cell r="G282">
            <v>300</v>
          </cell>
          <cell r="H282">
            <v>0.16</v>
          </cell>
          <cell r="I282">
            <v>348</v>
          </cell>
          <cell r="J282" t="str">
            <v>GLEASON</v>
          </cell>
          <cell r="K282">
            <v>41802</v>
          </cell>
        </row>
        <row r="283">
          <cell r="D283" t="str">
            <v>4H122</v>
          </cell>
          <cell r="E283" t="str">
            <v>formaleta para sumidero tipo b</v>
          </cell>
          <cell r="F283" t="str">
            <v>u</v>
          </cell>
          <cell r="G283">
            <v>3000</v>
          </cell>
          <cell r="H283">
            <v>0.16</v>
          </cell>
          <cell r="I283">
            <v>3479.9999999999995</v>
          </cell>
          <cell r="J283" t="str">
            <v>CONALQUIPOS</v>
          </cell>
          <cell r="K283">
            <v>41718</v>
          </cell>
        </row>
        <row r="284">
          <cell r="D284" t="str">
            <v>4HS15</v>
          </cell>
          <cell r="E284" t="str">
            <v>bomba hidrostática para presurización de redes de abasto o acueducto.</v>
          </cell>
          <cell r="F284" t="str">
            <v>d</v>
          </cell>
          <cell r="G284">
            <v>26300</v>
          </cell>
          <cell r="H284">
            <v>0.16</v>
          </cell>
          <cell r="I284">
            <v>30507.999999999996</v>
          </cell>
          <cell r="J284" t="str">
            <v>EQUIPOS Y EQUIPOS</v>
          </cell>
          <cell r="K284">
            <v>41640</v>
          </cell>
        </row>
        <row r="285">
          <cell r="D285" t="str">
            <v>4V311</v>
          </cell>
          <cell r="E285" t="str">
            <v xml:space="preserve">finisher volvo blaw knox pf 161 </v>
          </cell>
          <cell r="F285" t="str">
            <v>h</v>
          </cell>
          <cell r="G285">
            <v>101000</v>
          </cell>
          <cell r="H285">
            <v>0.16</v>
          </cell>
          <cell r="I285">
            <v>117159.99999999999</v>
          </cell>
          <cell r="J285" t="str">
            <v>PROCOPAL</v>
          </cell>
          <cell r="K285">
            <v>41740</v>
          </cell>
        </row>
        <row r="286">
          <cell r="D286" t="str">
            <v>4V511</v>
          </cell>
          <cell r="E286" t="str">
            <v>motoniveladora cat 120g</v>
          </cell>
          <cell r="F286" t="str">
            <v>h</v>
          </cell>
          <cell r="G286">
            <v>142000</v>
          </cell>
          <cell r="H286">
            <v>0.16</v>
          </cell>
          <cell r="I286">
            <v>164720</v>
          </cell>
          <cell r="J286" t="str">
            <v>PROCOPAL</v>
          </cell>
          <cell r="K286">
            <v>41740</v>
          </cell>
        </row>
        <row r="287">
          <cell r="D287" t="str">
            <v>4V611</v>
          </cell>
          <cell r="E287" t="str">
            <v>carrotanque para agua</v>
          </cell>
          <cell r="F287" t="str">
            <v>h</v>
          </cell>
          <cell r="G287">
            <v>58400</v>
          </cell>
          <cell r="H287">
            <v>0.16</v>
          </cell>
          <cell r="I287">
            <v>67744</v>
          </cell>
          <cell r="J287" t="str">
            <v>PROCOPAL</v>
          </cell>
          <cell r="K287">
            <v>41740</v>
          </cell>
        </row>
        <row r="288">
          <cell r="D288" t="str">
            <v>4V612</v>
          </cell>
          <cell r="E288" t="str">
            <v>carrotanque irrigador de asfalto</v>
          </cell>
          <cell r="F288" t="str">
            <v>h</v>
          </cell>
          <cell r="G288">
            <v>102500</v>
          </cell>
          <cell r="H288">
            <v>0.16</v>
          </cell>
          <cell r="I288">
            <v>118899.99999999999</v>
          </cell>
          <cell r="J288" t="str">
            <v>PROCOPAL</v>
          </cell>
          <cell r="K288">
            <v>41740</v>
          </cell>
        </row>
        <row r="289">
          <cell r="D289" t="str">
            <v>4V711</v>
          </cell>
          <cell r="E289" t="str">
            <v>compresor ingersoll rand p185wjd</v>
          </cell>
          <cell r="F289" t="str">
            <v>h</v>
          </cell>
          <cell r="G289">
            <v>55000</v>
          </cell>
          <cell r="H289">
            <v>0.16</v>
          </cell>
          <cell r="I289">
            <v>63799.999999999993</v>
          </cell>
          <cell r="J289" t="str">
            <v>EQUIPOS Y EQUIPOS</v>
          </cell>
          <cell r="K289">
            <v>41640</v>
          </cell>
        </row>
        <row r="290">
          <cell r="D290" t="str">
            <v>4V811</v>
          </cell>
          <cell r="E290" t="str">
            <v>compactador vibratorio</v>
          </cell>
          <cell r="F290" t="str">
            <v>h</v>
          </cell>
          <cell r="G290">
            <v>84400</v>
          </cell>
          <cell r="H290">
            <v>0.16</v>
          </cell>
          <cell r="I290">
            <v>97904</v>
          </cell>
          <cell r="J290" t="str">
            <v>PROCOPAL</v>
          </cell>
          <cell r="K290">
            <v>41740</v>
          </cell>
        </row>
        <row r="291">
          <cell r="D291" t="str">
            <v>4V812</v>
          </cell>
          <cell r="E291" t="str">
            <v>compactador de llantas</v>
          </cell>
          <cell r="F291" t="str">
            <v>h</v>
          </cell>
          <cell r="G291">
            <v>49700</v>
          </cell>
          <cell r="H291">
            <v>0.16</v>
          </cell>
          <cell r="I291">
            <v>57651.999999999993</v>
          </cell>
          <cell r="J291" t="str">
            <v>PROCOPAL</v>
          </cell>
          <cell r="K291">
            <v>41740</v>
          </cell>
        </row>
        <row r="292">
          <cell r="D292" t="str">
            <v>4V912</v>
          </cell>
          <cell r="E292" t="str">
            <v>retroexcavadora cat 416-b</v>
          </cell>
          <cell r="F292" t="str">
            <v>h</v>
          </cell>
          <cell r="G292">
            <v>90000</v>
          </cell>
          <cell r="H292">
            <v>0.16</v>
          </cell>
          <cell r="I292">
            <v>104400</v>
          </cell>
          <cell r="J292" t="str">
            <v>PROCOPAL</v>
          </cell>
          <cell r="K292">
            <v>41740</v>
          </cell>
        </row>
        <row r="293">
          <cell r="D293" t="str">
            <v>4V913</v>
          </cell>
          <cell r="E293" t="str">
            <v>grua 20 ton</v>
          </cell>
          <cell r="F293" t="str">
            <v>h</v>
          </cell>
          <cell r="G293">
            <v>130000</v>
          </cell>
          <cell r="H293">
            <v>0.16</v>
          </cell>
          <cell r="I293">
            <v>150800</v>
          </cell>
          <cell r="J293" t="str">
            <v>FAISON</v>
          </cell>
          <cell r="K293">
            <v>41865</v>
          </cell>
        </row>
        <row r="294">
          <cell r="D294" t="str">
            <v>4V914</v>
          </cell>
          <cell r="E294" t="str">
            <v>vehiculo delineador</v>
          </cell>
          <cell r="F294" t="str">
            <v>h</v>
          </cell>
          <cell r="G294">
            <v>60000</v>
          </cell>
          <cell r="H294">
            <v>0.16</v>
          </cell>
          <cell r="I294">
            <v>69600</v>
          </cell>
          <cell r="J294" t="str">
            <v>PROCOPAL</v>
          </cell>
          <cell r="K294">
            <v>41740</v>
          </cell>
        </row>
        <row r="295">
          <cell r="D295" t="str">
            <v>4V915</v>
          </cell>
          <cell r="E295" t="str">
            <v>camioneta</v>
          </cell>
          <cell r="F295" t="str">
            <v>h</v>
          </cell>
          <cell r="G295">
            <v>40000</v>
          </cell>
          <cell r="H295">
            <v>0.16</v>
          </cell>
          <cell r="I295">
            <v>46400</v>
          </cell>
          <cell r="J295" t="str">
            <v>PROCOPAL</v>
          </cell>
          <cell r="K295">
            <v>41740</v>
          </cell>
        </row>
        <row r="296">
          <cell r="D296" t="str">
            <v>61213</v>
          </cell>
          <cell r="E296" t="str">
            <v>transporte a envigado</v>
          </cell>
          <cell r="F296" t="str">
            <v>t</v>
          </cell>
          <cell r="G296">
            <v>7040</v>
          </cell>
          <cell r="H296">
            <v>0.16</v>
          </cell>
          <cell r="I296">
            <v>8166.4</v>
          </cell>
          <cell r="J296" t="str">
            <v>VOLQUETERO</v>
          </cell>
          <cell r="K296">
            <v>41886</v>
          </cell>
        </row>
        <row r="297">
          <cell r="D297" t="str">
            <v>71111</v>
          </cell>
          <cell r="E297" t="str">
            <v>aux mo ayudante</v>
          </cell>
          <cell r="F297" t="str">
            <v>h</v>
          </cell>
          <cell r="G297">
            <v>5520.3076923076933</v>
          </cell>
          <cell r="I297">
            <v>5520.3076923076933</v>
          </cell>
          <cell r="L297">
            <v>2</v>
          </cell>
        </row>
        <row r="298">
          <cell r="D298" t="str">
            <v>71A13</v>
          </cell>
          <cell r="E298" t="str">
            <v>aux mortero de pega 1:3</v>
          </cell>
          <cell r="F298" t="str">
            <v>m3</v>
          </cell>
          <cell r="G298">
            <v>359986.94425218244</v>
          </cell>
          <cell r="I298">
            <v>359986.94425218244</v>
          </cell>
        </row>
        <row r="299">
          <cell r="D299" t="str">
            <v>71A14</v>
          </cell>
          <cell r="E299" t="str">
            <v>aux mortero de pega 1:4</v>
          </cell>
          <cell r="F299" t="str">
            <v>m3</v>
          </cell>
          <cell r="G299">
            <v>305660.30854178657</v>
          </cell>
          <cell r="I299">
            <v>305660.30854178657</v>
          </cell>
        </row>
        <row r="300">
          <cell r="D300" t="str">
            <v>72132</v>
          </cell>
          <cell r="E300" t="str">
            <v>aux concreto 3000 psi (21.1 MPa) -obra- 3/4"</v>
          </cell>
          <cell r="F300" t="str">
            <v>m3</v>
          </cell>
          <cell r="G300">
            <v>397371.06598046987</v>
          </cell>
          <cell r="I300">
            <v>397371.06598046987</v>
          </cell>
        </row>
        <row r="301">
          <cell r="D301" t="str">
            <v>72134</v>
          </cell>
          <cell r="E301" t="str">
            <v>aux concreto 3500 psi (24.1 MPa) -obra- 3/4"</v>
          </cell>
          <cell r="F301" t="str">
            <v>m3</v>
          </cell>
          <cell r="G301">
            <v>436323.67346056399</v>
          </cell>
          <cell r="I301">
            <v>436323.67346056399</v>
          </cell>
        </row>
        <row r="302">
          <cell r="D302" t="str">
            <v>72139</v>
          </cell>
          <cell r="E302" t="str">
            <v>aux concreto 2500 psi (17.5 MPa) -obra- 3/4"</v>
          </cell>
          <cell r="F302" t="str">
            <v>m3</v>
          </cell>
          <cell r="G302">
            <v>368333.38020325993</v>
          </cell>
          <cell r="I302">
            <v>368333.38020325993</v>
          </cell>
        </row>
        <row r="303">
          <cell r="D303" t="str">
            <v>7213B</v>
          </cell>
          <cell r="E303" t="str">
            <v>aux concreto 3000 psi (21.1 MPa) -obra- 3/8"</v>
          </cell>
          <cell r="F303" t="str">
            <v>m3</v>
          </cell>
          <cell r="G303">
            <v>449919.06073488999</v>
          </cell>
          <cell r="I303">
            <v>449919.06073488999</v>
          </cell>
        </row>
        <row r="304">
          <cell r="D304" t="str">
            <v>72561</v>
          </cell>
          <cell r="E304" t="str">
            <v>aux curado concreto</v>
          </cell>
          <cell r="F304" t="str">
            <v>m2</v>
          </cell>
          <cell r="G304">
            <v>1109.2</v>
          </cell>
          <cell r="I304">
            <v>1109.2</v>
          </cell>
        </row>
        <row r="305">
          <cell r="D305" t="str">
            <v>72711</v>
          </cell>
          <cell r="E305" t="str">
            <v>aux desmoldante -separol-</v>
          </cell>
          <cell r="F305" t="str">
            <v>m2</v>
          </cell>
          <cell r="G305">
            <v>1182.6869447499998</v>
          </cell>
          <cell r="I305">
            <v>1182.6869447499998</v>
          </cell>
        </row>
        <row r="306">
          <cell r="D306" t="str">
            <v>74F11</v>
          </cell>
          <cell r="E306" t="str">
            <v>aux formaleta losa tradicional hasta h=3 m</v>
          </cell>
          <cell r="F306" t="str">
            <v>m2</v>
          </cell>
          <cell r="G306">
            <v>4324.5563786008215</v>
          </cell>
          <cell r="I306">
            <v>4324.5563786008215</v>
          </cell>
        </row>
        <row r="307">
          <cell r="D307" t="str">
            <v>74F24</v>
          </cell>
          <cell r="E307" t="str">
            <v>aux formaleta lateral para anillos pilas</v>
          </cell>
          <cell r="F307" t="str">
            <v>m2</v>
          </cell>
          <cell r="G307">
            <v>13738.466679956919</v>
          </cell>
          <cell r="I307">
            <v>13738.466679956919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SUMEN "/>
      <sheetName val="CRONOGRAMA"/>
      <sheetName val="ARU DEFINITIVO"/>
      <sheetName val="CALCULO PRESTACIONES Y SALA "/>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SEÑALIZACION Y DEMARCACION"/>
      <sheetName val="INDICES CAMACOL"/>
      <sheetName val="Base Indices Camacol"/>
      <sheetName val="Memorias de calculo"/>
      <sheetName val="RESUMEN"/>
      <sheetName val="CALCULO PRESTACIONES Y SALARIOS"/>
    </sheetNames>
    <sheetDataSet>
      <sheetData sheetId="0">
        <row r="1">
          <cell r="B1" t="str">
            <v>PRESUPUESTO OFICIAL
ANEXO No.1</v>
          </cell>
        </row>
        <row r="2">
          <cell r="B2">
            <v>0</v>
          </cell>
        </row>
        <row r="3">
          <cell r="B3">
            <v>0</v>
          </cell>
        </row>
        <row r="4">
          <cell r="B4" t="str">
            <v>CONSTRUCCION DE OBRAS COMPLEMENTARIAS Y DE ACCESO AL PUENTE DE LA TRANSVERSAL DE LA MONTAÑA, EN EL MUNICIPIO DE ENVIGADO, DEPARTAMENTO DE ANTIOQUIA</v>
          </cell>
        </row>
        <row r="5">
          <cell r="B5">
            <v>0</v>
          </cell>
        </row>
        <row r="6">
          <cell r="B6" t="str">
            <v>DESCRIPCION</v>
          </cell>
        </row>
        <row r="7">
          <cell r="B7" t="str">
            <v xml:space="preserve">   PRELIMINARES</v>
          </cell>
        </row>
        <row r="8">
          <cell r="B8" t="str">
            <v>CERRAMIENTOS</v>
          </cell>
        </row>
        <row r="9">
          <cell r="B9" t="str">
            <v xml:space="preserve"> CERRAMIENTO PROVISIONAL EN TELA DE VERDE H: 2.10 M. INCLUYE ESTRUCTURA DE MADERA COMÚN, ANCLAJES DE PARALES AL PISO Y TELA VERDE.</v>
          </cell>
        </row>
        <row r="10">
          <cell r="B10" t="str">
            <v xml:space="preserve">      LOCALIZACION Y REPLANTEO</v>
          </cell>
        </row>
        <row r="11">
          <cell r="B11" t="str">
            <v>LOCALIZACION, TRAZADO Y REPLANTEO</v>
          </cell>
        </row>
        <row r="12">
          <cell r="B12" t="str">
            <v>DEMOLICIONES</v>
          </cell>
        </row>
        <row r="13">
          <cell r="B13" t="str">
            <v>Demolición de pavimento espesor entre 5 a 10 cm, incluye transporte botada</v>
          </cell>
        </row>
        <row r="14">
          <cell r="B14" t="str">
            <v>Demolicion de cunetas en concreto, incluye botada</v>
          </cell>
        </row>
        <row r="15">
          <cell r="B15" t="str">
            <v>EXPLANACIONES,TERRAPLENES, EXCAVACIONES Y LLENOS</v>
          </cell>
        </row>
        <row r="16">
          <cell r="B16" t="str">
            <v xml:space="preserve">      EXCAVACIONES</v>
          </cell>
        </row>
        <row r="17">
          <cell r="B17" t="str">
            <v>EXCAVACION SIN CLASIFICAR DE LA EXPLANACION,CANALES Y PRESTAMOS. NO INCLUYE BOTADA</v>
          </cell>
        </row>
        <row r="18">
          <cell r="B18" t="str">
            <v>TERRAPLEN</v>
          </cell>
        </row>
        <row r="19">
          <cell r="B19" t="str">
            <v>EXCAVACIONES VARIAS SIN CLASIFICAR. NO INCLUYE BOTADA</v>
          </cell>
        </row>
        <row r="20">
          <cell r="B20" t="str">
            <v>EXCAVACIONES EN ROCA CON CEMENTO DEMOLEDOR TIPO CRASH</v>
          </cell>
        </row>
        <row r="21">
          <cell r="B21" t="str">
            <v>REMOCION DE DERRUMBES. NO INCLUYE BOTADA</v>
          </cell>
        </row>
        <row r="22">
          <cell r="B22" t="str">
            <v xml:space="preserve">      LLENOS</v>
          </cell>
        </row>
        <row r="23">
          <cell r="B23" t="str">
            <v>LLENOS MANUALES COMPACTADOS CON MATERIAL DE LA EXCAVACION</v>
          </cell>
        </row>
        <row r="24">
          <cell r="B24" t="str">
            <v xml:space="preserve"> LLENOS COMPACTADOS  EN MATERIAL SELECCIONADO DE PRESTAMO (BASE GRANULAR). incluye suministro de material, conformación, compactación y transporte</v>
          </cell>
        </row>
        <row r="25">
          <cell r="B25" t="str">
            <v>TRANSPORTES Y DISPOSICION FINAL</v>
          </cell>
        </row>
        <row r="26">
          <cell r="B26" t="str">
            <v>TRANSPORTE DE MATERIAL PROVENIENTE DE DERRUMBES</v>
          </cell>
        </row>
        <row r="27">
          <cell r="B27" t="str">
            <v>TRANSPORTE DE MATERIALES PROVENIENTES DE LA EXPLAN, CANAL, PRESTA ENTRE 100 Y 1000 M</v>
          </cell>
        </row>
        <row r="28">
          <cell r="B28" t="str">
            <v xml:space="preserve"> DISPOSICION DE MATERIAL SOBRANTE DE EXAVACIONES, INCLUYE CARGUE, TRANSPORTE Y BOTADA</v>
          </cell>
        </row>
        <row r="29">
          <cell r="B29" t="str">
            <v xml:space="preserve">   CONCRETOS Y OBRAS VARIAS</v>
          </cell>
        </row>
        <row r="30">
          <cell r="B30" t="str">
            <v xml:space="preserve">CONCRETO CLASE D (210 kg/cm2 ó 3000 PSI) PARA MUROS, CABEZOTES , BOTADEROS O DISIPADORES, BOX COULVERT, ZAPATAS, MICROPILOTES </v>
          </cell>
        </row>
        <row r="31">
          <cell r="B31" t="str">
            <v>CONCRETO CLASE F (140 kg/cm2 ó 2000 PSI)PARA CIMENTACION TIPO SOLADO</v>
          </cell>
        </row>
        <row r="32">
          <cell r="B32" t="str">
            <v>CONCRETO CLASE E (cunetas 175 kg/cm2)</v>
          </cell>
        </row>
        <row r="33">
          <cell r="B33" t="str">
            <v>MICROPILOTES CON BARRA AREQUIPA 32 MM. INCLUYE LECHADA</v>
          </cell>
        </row>
        <row r="34">
          <cell r="B34" t="str">
            <v>CONCRETO CLASE C (280 Kg/cm2 o 4000 psi) PARA LOSAS DE APROXIMACIÓN Y BARRERAS</v>
          </cell>
        </row>
        <row r="35">
          <cell r="B35" t="str">
            <v xml:space="preserve">   ACERO DE REFUERZO </v>
          </cell>
        </row>
        <row r="36">
          <cell r="B36" t="str">
            <v xml:space="preserve">      ACERO DE REFUERZO PARA ESTRUCTURAS</v>
          </cell>
        </row>
        <row r="37">
          <cell r="B37" t="str">
            <v>Suministro, transporte y colocación de Acero de refuerzo fy=420 Mpa (Grado 60)</v>
          </cell>
        </row>
        <row r="38">
          <cell r="B38" t="str">
            <v>FILTROS</v>
          </cell>
        </row>
        <row r="39">
          <cell r="B39" t="str">
            <v>Suministro, transporte e instalación de Geodren planar H=2-5 mt</v>
          </cell>
        </row>
        <row r="40">
          <cell r="B40" t="str">
            <v>Suministro, transporte e instalación de drenes horizontales tubería perforada 2", incluye geotextil
NT1600</v>
          </cell>
        </row>
        <row r="41">
          <cell r="B41" t="str">
            <v>Suministro, transporte y colocación de Tubería de 4" perforada para drenaje y filtros</v>
          </cell>
        </row>
        <row r="42">
          <cell r="B42" t="str">
            <v>PAVIMENTO</v>
          </cell>
        </row>
        <row r="43">
          <cell r="B43" t="str">
            <v>Suministro, colocación y compactación de Mezcla Densa en Caliente Tipo MDC-19, no incluye transporte.</v>
          </cell>
        </row>
        <row r="44">
          <cell r="B44" t="str">
            <v>Suministro, colocación, conformación y compactación de Base granular</v>
          </cell>
        </row>
        <row r="45">
          <cell r="B45" t="str">
            <v>Suministro, colocación, conformación y compactación de Sub-base granular</v>
          </cell>
        </row>
        <row r="46">
          <cell r="B46" t="str">
            <v>Imprimación</v>
          </cell>
        </row>
        <row r="47">
          <cell r="B47" t="str">
            <v>OBRAS COMPLEMENTARIAS</v>
          </cell>
        </row>
        <row r="48">
          <cell r="B48" t="str">
            <v>Línea de demarcación con pintura acrilica en frio</v>
          </cell>
        </row>
        <row r="49">
          <cell r="B49" t="str">
            <v>Demarcacion vial con pintura acrílica en frio para resaltos</v>
          </cell>
        </row>
        <row r="50">
          <cell r="B50" t="str">
            <v>Suministro, transporte y colocación de Señales verticales de tránsito</v>
          </cell>
        </row>
        <row r="51">
          <cell r="B51" t="str">
            <v>Suministro, transporte y colocación de Defensa metálica Galvanizado.Incluye seccion de tope, seccion final y captafaros</v>
          </cell>
        </row>
        <row r="52">
          <cell r="B52" t="str">
            <v>SEÑALES HORIZONTALES (FLECHAS, PARES, ETC.)</v>
          </cell>
        </row>
        <row r="53">
          <cell r="B53" t="str">
            <v>SUMINISTRO E INSTALACION DE TACHAS VIALES</v>
          </cell>
        </row>
        <row r="54">
          <cell r="B54" t="str">
            <v>ANCLAJES DYWIDAG 32NR</v>
          </cell>
        </row>
        <row r="55">
          <cell r="B55" t="str">
            <v>BARANDA METÁLICA Y PASAMANOS PEATONAL , INCLUYE TRANSPORTE , INSTALACION Y PINTURA .</v>
          </cell>
        </row>
        <row r="56">
          <cell r="B56" t="str">
            <v>CONSTRUCCION DE ESTRUCTURA DE PROTECCION DE TUBERIA</v>
          </cell>
        </row>
        <row r="57">
          <cell r="B57" t="str">
            <v xml:space="preserve"> ALUMBRADO PÚBLICO</v>
          </cell>
        </row>
        <row r="58">
          <cell r="B58" t="str">
            <v>Suministro transporte y Mano de obra de montaje de transformador monofásico de 10kVA 7620/480/240V. Incluye: todas las protecciones barras primarias y secundarias, vestida primaria de acuerdo a norma de EPM RA3-026 y todo lo necesario para su correcto funcionamiento. Y requerimientos para la  legalización con EPM de Medellín.</v>
          </cell>
        </row>
        <row r="59">
          <cell r="B59" t="str">
            <v xml:space="preserve">Suministro e instalación de equipo de medida a 480 voltios en Gabinete tipo intemperie. Incluye  medidor y totalizador, puesta a tierra. Todos los elementos necesarios para su correcto funcionamiento tales como acometidas protecciones, marcación. </v>
          </cell>
        </row>
        <row r="60">
          <cell r="B60" t="str">
            <v xml:space="preserve">Suministro e instalación de pedestal para quipo de medida. Incluye obra civil, y botada de escombros. Y todo lo necesario para su correcta instalación. </v>
          </cell>
        </row>
        <row r="61">
          <cell r="B61" t="str">
            <v>Suministro e instalación de Bajante metálico galvanizado de 2" x 3m, con capacete. Incluye cinta de acero y todos los elementos para su correcta instalación.</v>
          </cell>
        </row>
        <row r="62">
          <cell r="B62" t="str">
            <v>Suministro e instalación de caja para red de distribución/Caja unión para Alumbrado Público, De acuerdo a la norma RS3-001 Incluye Marcación.</v>
          </cell>
        </row>
        <row r="63">
          <cell r="B63" t="str">
            <v>Suministro e instalación de acometida  en 2No. 2AWG + 1No. 4AWG del transformador al equipo de medida. Incluye los elementos para su correcta instalación.</v>
          </cell>
        </row>
        <row r="64">
          <cell r="B64" t="str">
            <v>SUMINISTRO  E  INSTALACIÓN  DE  LUMINARIA  LED  DE 120W 12300LM,  LED, IP66, TEMPERATURA DE COLOR ENTRE 4000K Y 4500K, FACTOR DE POTENCIA 0,95, CON VALOR OBJETIVO Y DE TOLERANCIA DE 3985 ± 275 K y 4503 ± 243K RESPECTIVAMENTE, CRI MAYOR AL 70%, RANGO DE TENSIÓN DE FUNCIONAMIENTO 120V - 277V, VIDA ÚTIL MÍNIMA DE 100.000 (CIEN MIL ) HORAS, SISTEMA DE CONTROL DE ILUMINACIÓN CON REGULACIÓN 0 - 10V O DALÍ (DIGITAL ADDRESSABLE LIGHTING INTERFACE), RECEPTÁCULO PARA INSTALAR FOTOCELDA DE 5 O DE 7 PINES, PARA QUE SEAN COMPATIBLE CON EL SISTEMA DE TELEGESTIÓN QUE TIENE IMPLEMENTADO EL MUNICIPIO EN SU SISTEMA DE ALUMBRADO PÚBLICO, TEMPERATURA DE FUNCIONAMIENTO ENTRE 5°C Y 45°C. INCLUYE: DISPOSITIVO DE PROTECCIÓN CONTRA SOBRE TENSIONES, INSTALACIÓN, TRANSPORTE, KIT ELÉCTRICO, ELEMENTOS DE ANCLAJE Y FIJACIÓN AL BRAZO Y TODOS LOS ELEMENTOS NECESARIOS PARA SU CORRECTO FUNCIONAMIENTO. ESTA LUMINARIA DEBE CUMPLIR CON EL RETILAP Y EL RETIE.  LA LUMINARIA SE DEBE INSTALAR ROTULADA (SOLICITAR EL ROTULO A LA SECRETARIA DE OBRAS PÚBLICAS).</v>
          </cell>
        </row>
        <row r="65">
          <cell r="B65" t="str">
            <v>SUMINISTRO  E INSTALACIÓN  DE  BRAZO METÁLICO DE 1,65m  PARA ALUMBRADO  PUBLICO  DE 11/2" - 52°/0°, INCLUYE BRAZO, INSTALACIÓN, TRANSPORTE, ELEMENTOS DE ANCLAJE Y FIJACIÓN, Y TODOS LOS ELEMENTOS NECESARIOS PARA SU CORRECTA INSTALACIÓN.</v>
          </cell>
        </row>
        <row r="66">
          <cell r="B66" t="str">
            <v>SUMINISTRO, TRANSPORTE E INSTALACIÓN DE CABLE ENCAUCHETADO 3x12AWG. INCLUYE:  CABLE ENCAUCHETADO, ELEMENTOS DE EMPALME, TRANSPORTE E INSTALACIÓN.</v>
          </cell>
        </row>
        <row r="67">
          <cell r="B67" t="str">
            <v>SUMINISTRO, TRANSPORTE E INSTALACIÓN DE PUESTA A TIERRA. INCLUYE:  VARILLA DE COBRE DE 2.4 MT, CABLE # 6 DESNUDO, CONECTOR O SOLDADURA, TRANSPORTE E INSTALACIÓN.</v>
          </cell>
        </row>
        <row r="68">
          <cell r="B68" t="str">
            <v>SUMINISTRO, TRANSPORTE E INSTALACIÓN DE CABLE DE ALUMINIO TRIPLEX  2xNo 2AWG (F) +  1xNo. 2AWG (N).</v>
          </cell>
        </row>
        <row r="69">
          <cell r="B69" t="str">
            <v>CERTIFICACIÓN PLENA DE CONFORMIDAD CON EL RETIE.</v>
          </cell>
        </row>
        <row r="70">
          <cell r="B70" t="str">
            <v>CERTIFICACIÓN PLENA DE CONFORMIDAD CON EL RETILAP.</v>
          </cell>
        </row>
        <row r="71">
          <cell r="B71" t="str">
            <v>Suministro, transporte e instalación de poste de fibra de vidrio de 12m, 510kgf. Incluye:  excavación  en  zona  verde,  anden  o piso según corresponda,  nivelación,  lleno,  botada  de  escombros  y  concreto  en  la base de 210 kg/cm2, pintura 3 franjas, colocación  de vientos necesarios para la estabilidad del poste y la acometida, transporte en grúa desde la fábrica hasta el sitio de instalación.</v>
          </cell>
        </row>
        <row r="72">
          <cell r="B72" t="str">
            <v>Suministro, transporte e instalación de poste de fibra de vidrio de 14m, 510kgf. Incluye:  excavación  en  zona  verde,  anden  o piso según corresponda,  nivelación,  lleno,  botada  de  escombros  y  concreto  en  la base de 210 kg/cm2, pintura 3 franjas, colocación  de vientos necesarios para la estabilidad del poste y la acometida, transporte en grúa desde la fábrica hasta el sitio de instalación.</v>
          </cell>
        </row>
        <row r="73">
          <cell r="B73" t="str">
            <v>Suministro, transporte e instalación de poste de fibra de vidrio de 10m, 510kgf. Incluye:  excavación  en  zona  verde,  anden  o piso según corresponda,  nivelación,  lleno,  botada  de  escombros  y  concreto  en  la base de 210 kg/cm2, pintura 3 franjas, colocación  de vientos necesarios para la estabilidad del poste y la acometida, transporte en grúa desde la fábrica hasta el sitio de instalación.</v>
          </cell>
        </row>
        <row r="74">
          <cell r="B74" t="str">
            <v>Suministro, transporte e instalación de poste de fibra de vidrio de 9m, 510kgf. Incluye:  excavación  en  zona  verde,  anden  o piso según corresponda,  nivelación,  lleno,  botada  de  escombros  y  concreto  en  la base de 210 kg/cm2, pintura 3 franjas, colocación  de vientos necesarios para la estabilidad del poste y la acometida, transporte en grúa desde la fábrica hasta el sitio de instalación.</v>
          </cell>
        </row>
        <row r="75">
          <cell r="B75" t="str">
            <v>Instalación de vestida secundaria, según Norma de EPM RA4 - 001, RA4 - 002, RA4 - 003. Incluye: percha, yoyo y tornilla maquina.</v>
          </cell>
        </row>
        <row r="76">
          <cell r="B76" t="str">
            <v>Suministro e instalación de viento convencional para poste secundaio, según la norma RA6 - 001 de EPM.</v>
          </cell>
        </row>
        <row r="77">
          <cell r="B77">
            <v>0</v>
          </cell>
        </row>
        <row r="78">
          <cell r="B78">
            <v>0</v>
          </cell>
        </row>
        <row r="79">
          <cell r="B79">
            <v>0</v>
          </cell>
        </row>
        <row r="80">
          <cell r="B80">
            <v>0</v>
          </cell>
        </row>
        <row r="81">
          <cell r="B81">
            <v>0</v>
          </cell>
        </row>
        <row r="82">
          <cell r="B82">
            <v>0</v>
          </cell>
        </row>
        <row r="83">
          <cell r="B83">
            <v>0</v>
          </cell>
        </row>
        <row r="85">
          <cell r="B85">
            <v>0</v>
          </cell>
        </row>
        <row r="86">
          <cell r="B86">
            <v>0</v>
          </cell>
        </row>
        <row r="87">
          <cell r="B87">
            <v>0</v>
          </cell>
        </row>
        <row r="88">
          <cell r="B88">
            <v>0</v>
          </cell>
        </row>
        <row r="89">
          <cell r="B89">
            <v>43215</v>
          </cell>
        </row>
        <row r="90">
          <cell r="B90">
            <v>0</v>
          </cell>
        </row>
        <row r="91">
          <cell r="B91" t="str">
            <v>MONICA LUCIA PEREZ HENAO</v>
          </cell>
        </row>
        <row r="92">
          <cell r="B92" t="str">
            <v>Directora de Infraestructura</v>
          </cell>
        </row>
        <row r="93">
          <cell r="B93">
            <v>0</v>
          </cell>
        </row>
        <row r="94">
          <cell r="B94">
            <v>0</v>
          </cell>
        </row>
        <row r="95">
          <cell r="B95">
            <v>43215</v>
          </cell>
        </row>
        <row r="96">
          <cell r="B96">
            <v>0</v>
          </cell>
        </row>
        <row r="97">
          <cell r="B97">
            <v>0</v>
          </cell>
        </row>
        <row r="98">
          <cell r="B98">
            <v>0</v>
          </cell>
        </row>
        <row r="99">
          <cell r="B99">
            <v>0</v>
          </cell>
        </row>
        <row r="100">
          <cell r="B100">
            <v>0</v>
          </cell>
        </row>
        <row r="101">
          <cell r="B101">
            <v>43215</v>
          </cell>
        </row>
        <row r="102">
          <cell r="B102">
            <v>0</v>
          </cell>
        </row>
        <row r="103">
          <cell r="B10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SUMEN "/>
      <sheetName val="CRONOGRAMA"/>
      <sheetName val="ARU DEFINITIVO"/>
      <sheetName val="CALCULO PRESTACIONES Y SALA "/>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SEÑALIZACION Y DEMARCACION"/>
      <sheetName val="INDICES CAMACOL"/>
      <sheetName val="RESUMEN"/>
      <sheetName val="CALCULO PRESTACIONES Y SALARIOS"/>
    </sheetNames>
    <sheetDataSet>
      <sheetData sheetId="0">
        <row r="1">
          <cell r="B1" t="str">
            <v>PRESUPUESTO OFICIAL
ANEXO No.1</v>
          </cell>
        </row>
        <row r="2">
          <cell r="B2">
            <v>0</v>
          </cell>
        </row>
        <row r="3">
          <cell r="B3">
            <v>0</v>
          </cell>
        </row>
        <row r="4">
          <cell r="B4" t="str">
            <v>ADECUACION, MANTENIMIENTO Y OBRAS DE EMBELLECIMIENTO EN ZONAS VERDES Y AREAS DE ESPACIO PUBLICO URBANO EN DIFERENTES SITIOS DEL MUNICIPIO DE ENVIGADO</v>
          </cell>
        </row>
        <row r="5">
          <cell r="B5">
            <v>0</v>
          </cell>
        </row>
        <row r="6">
          <cell r="B6" t="str">
            <v>DESCRIPCION</v>
          </cell>
        </row>
        <row r="7">
          <cell r="B7" t="str">
            <v xml:space="preserve">   PRELIMINARES</v>
          </cell>
        </row>
        <row r="8">
          <cell r="B8" t="str">
            <v>CERRAMIENTOS</v>
          </cell>
        </row>
        <row r="9">
          <cell r="B9" t="str">
            <v xml:space="preserve"> CERRAMIENTO PROVISIONAL EN TELA DE VERDE H: 2.10 M. INCLUYE ESTRUCTURA DE MADERA COMÚN, ANCLAJES DE PARALES AL PISO Y TELA VERDE.</v>
          </cell>
        </row>
        <row r="10">
          <cell r="B10" t="str">
            <v>DEMOLICIONES Y RETIROS</v>
          </cell>
        </row>
        <row r="11">
          <cell r="B11" t="str">
            <v xml:space="preserve">DEMOLICIONES  </v>
          </cell>
        </row>
        <row r="12">
          <cell r="B12" t="str">
            <v>DEMOLICIÓN ANDENES O PISOS, cargue, transporte y botada de escombros de ESPESOR MÁXIMO 0.20m,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row>
        <row r="13">
          <cell r="B13" t="str">
            <v>RETIROS</v>
          </cell>
        </row>
        <row r="14">
          <cell r="B14" t="str">
            <v>Retiro de polvo y piedra de ladrillo existente en zonas verdes, incluye cargue, transporte y botada del material</v>
          </cell>
        </row>
        <row r="15">
          <cell r="B15" t="str">
            <v>EXCAVACIONES</v>
          </cell>
        </row>
        <row r="16">
          <cell r="B16" t="str">
            <v xml:space="preserve"> EXCAVACION MANUAL DE O-2, INCLUYE  CARGUE, TRANSPORTE INTERNO HASTA SITIO DE ACOPIO, TRANSPORTE Y EN BOTADEROS OFICIALES O DONDE LA INTERVENTORIA DE OBRA LO INDIQUE</v>
          </cell>
        </row>
        <row r="17">
          <cell r="B17" t="str">
            <v>URBANISMO</v>
          </cell>
        </row>
        <row r="18">
          <cell r="B18" t="str">
            <v>LOSA FUNDIDA 21 MPa E: 0.10 M - ANDENES. INCLUYE ESTRUCTURA DE ENTRESUELO PIEDRA E=15 cm y Arenilla E= 5cm</v>
          </cell>
        </row>
        <row r="19">
          <cell r="B19" t="str">
            <v>Suministro, transporte e instalacion de bordillo prefabricado redondo de 7 x 35 x 60 para jardinera, incluye mortero de pega, mortero para revite y todos los lementos para su correcta instalacion</v>
          </cell>
        </row>
        <row r="20">
          <cell r="B20" t="str">
            <v>BORDILLOS BARRERA RECTO, CUADRANTE BARRERA, REBAJE, ESQUINERO BARRERA 90° Y RECTANGULAR RECTO (350)</v>
          </cell>
        </row>
        <row r="21">
          <cell r="B21" t="str">
            <v>TABLETA DEMARCADORA</v>
          </cell>
        </row>
        <row r="22">
          <cell r="B22" t="str">
            <v>LOSETA TACTIL, ALERTA Y GUIA 20 X 20</v>
          </cell>
        </row>
        <row r="23">
          <cell r="B23" t="str">
            <v>AMOBLAMIENTO URBANO</v>
          </cell>
        </row>
        <row r="24">
          <cell r="B24" t="str">
            <v>Suministro e instalacion de basurero en acero inoxidable referencia T304 cal 20 contenedor batiente altura 1mt y diametro 39 cm, capacidad 75lts, incluye anclaje a piso, y logo san blasting de Enviaseo</v>
          </cell>
        </row>
        <row r="25">
          <cell r="B25" t="str">
            <v>Suministro e instalacion de jardinera  Pottde 80 x 80 x 80 en concreto HPC (Concreto de alto desempeño) de dominiopublico.co o similar en color verde, naranja y blanco, incluye logo en alro relieve de Enviaseo</v>
          </cell>
        </row>
        <row r="26">
          <cell r="B26" t="str">
            <v>Suministro e instalacion de jardinera  Pott de  120 x 40 x 60 en concreto HPC (Concreto de alto desempeño) de dominiopublico.co o similar en color verde, naranja y blanco, incluye logo en alro relieve de Enviaseo</v>
          </cell>
        </row>
        <row r="27">
          <cell r="B27" t="str">
            <v>Suministro e instalacion de jardinera  Pott de 40 x 40 x 40 en concreto HPC (Concreto de alto desempeño) de dominiopublico.co o similar en color verde, naranja y blanco, incluye logo en alro relieve de Enviaseo</v>
          </cell>
        </row>
        <row r="28">
          <cell r="B28" t="str">
            <v>Suministro e instalacion de butaco Vigga de 55 x 45 x 55 cm concreto HPC (Concreto de Alto Desempeño) color verde, naranja y blanco de dominiopublico.co o similar, incluye logo en alto relieve de Enviaseo.</v>
          </cell>
        </row>
        <row r="29">
          <cell r="B29" t="str">
            <v xml:space="preserve">Suministro e instalacion de  poltrona Vigga de  61 x 79 x 61 cm concreto HPC (Concreto de Alto Desempeño) color verde, naranja y blanco de dominiopublico.co similar, incluye logo en alto relieve de Enviaseo. </v>
          </cell>
        </row>
        <row r="30">
          <cell r="B30" t="str">
            <v xml:space="preserve">Suministro e instalacion de  totem de marcacion  institucional de  60 x  10 x 180 cm concreto HPC (Concreto de Alto Desempeño) color verde, naranja y blanco de dominiopublico.co similar, incluye logo en alto relieve de Enviaseo. </v>
          </cell>
        </row>
        <row r="31">
          <cell r="B31" t="str">
            <v>OBRAS COMPLEMENTARIAS</v>
          </cell>
        </row>
        <row r="32">
          <cell r="B32" t="str">
            <v>Revoque liso sobre fachada de muros, incluye: Canchada y picada de muros, llenos de nivelacion, ranuras, filetes, armada y desarmada de andamios, y todos los elementos necesariuos para su correcta instalacion</v>
          </cell>
        </row>
        <row r="33">
          <cell r="B33" t="str">
            <v>Suministro, transporte y aplicación de pintura en pasamanos, icnluye base anticorrosiva y acabado color a definir en campo a dos manos</v>
          </cell>
        </row>
        <row r="34">
          <cell r="B34" t="str">
            <v>Suministro, transporte y aplicación de pintura en defensas metalicas, incluye base  anticorrosiva y pintura de acabado color a definir en campo a dos manos</v>
          </cell>
        </row>
        <row r="35">
          <cell r="B35" t="str">
            <v>BARANDA METÁLICA  PASAMANOS PEATONAL , INCLUYE TRANSPORTE , INSTALACION Y PINTURA .</v>
          </cell>
        </row>
        <row r="36">
          <cell r="B36" t="str">
            <v>EMBELLECIMIENTO DE ZONAS VERDES Y MURALES</v>
          </cell>
        </row>
        <row r="37">
          <cell r="B37" t="str">
            <v>PAISAJISMO</v>
          </cell>
        </row>
        <row r="38">
          <cell r="B38" t="str">
            <v>Suministro, transporte y colocacion de grama tipo macana. Incluye tierra organica y todo lo necesario para su correcta instalacion</v>
          </cell>
        </row>
        <row r="39">
          <cell r="B39" t="str">
            <v>Suministro, transporte e instalacion de triturado Grano Negro Nº3, para decoracion de jardines.</v>
          </cell>
        </row>
        <row r="40">
          <cell r="B40" t="str">
            <v>Suministro, transporte e instalacion de piedra huevo de palomo roja para decoracion de jardines</v>
          </cell>
        </row>
        <row r="41">
          <cell r="B41" t="str">
            <v>Suministro, transporte e instalacion de piedra plana huevo de palomo negro), para decoracion de jardines</v>
          </cell>
        </row>
        <row r="42">
          <cell r="B42" t="str">
            <v>Resiembra de material existente: sacar planta existente , tapar hueco con la tierra extraida, hacer hueco en la nueva ubicación dentro de la misma zona, sembrar planta extraida con tierra nueva.</v>
          </cell>
        </row>
        <row r="43">
          <cell r="B43" t="str">
            <v>Suministro, transporte e instalacion de compostaje de tierra abonada. Incluye tierra negra, cisco, abono organico, triple 15, arena</v>
          </cell>
        </row>
        <row r="44">
          <cell r="B44" t="str">
            <v>FLORICULTURA Y SIEMBRA</v>
          </cell>
        </row>
        <row r="45">
          <cell r="B45" t="str">
            <v>Asesoria y direccion de intervenciones paisajisticas de embellecimiento Incluye: Conceptualizacion del proyecto, asesoria en la selección de sitios a intervenir, asesoria en la selección de material vegetal, mineral y mobiliario urbano, DISEÑO EN SITIO que incluye: reubicacion de material existente, registro fotografico de alta definicion aereo y de detalle de zonas intervenidas, informe final y digital de las intervenciones</v>
          </cell>
        </row>
        <row r="46">
          <cell r="B46" t="str">
            <v>Suministro, transorte e instalacion de especies ornamentales para obras de Floricultura Y Siembra como obras de embellecimiento de zonas verdes, incluye:  material de abono, desmalezado, siembra,plateo, transporte de las especies  descritas a continuacion:</v>
          </cell>
        </row>
        <row r="47">
          <cell r="B47" t="str">
            <v>Agave angustifolia 30cm</v>
          </cell>
        </row>
        <row r="48">
          <cell r="B48" t="str">
            <v xml:space="preserve">Corales Enanos ( amarillo) 30 centimetros </v>
          </cell>
        </row>
        <row r="49">
          <cell r="B49" t="str">
            <v>Ajuga  18 cm</v>
          </cell>
        </row>
        <row r="50">
          <cell r="B50" t="str">
            <v xml:space="preserve">Calateas Multicolor 30 cm </v>
          </cell>
        </row>
        <row r="51">
          <cell r="B51" t="str">
            <v>Anigosanto 35</v>
          </cell>
        </row>
        <row r="52">
          <cell r="B52" t="str">
            <v>Calatea Cebrina 40 cm</v>
          </cell>
        </row>
        <row r="53">
          <cell r="B53" t="str">
            <v>Coralillo 30 cm</v>
          </cell>
        </row>
        <row r="54">
          <cell r="B54" t="str">
            <v>Clivias 30 cm</v>
          </cell>
        </row>
        <row r="55">
          <cell r="B55" t="str">
            <v>Cadillo 30cm</v>
          </cell>
        </row>
        <row r="56">
          <cell r="B56" t="str">
            <v>Helecho Boston 30 cm</v>
          </cell>
        </row>
        <row r="57">
          <cell r="B57" t="str">
            <v>Calatea makoyana 26 cm</v>
          </cell>
        </row>
        <row r="58">
          <cell r="B58" t="str">
            <v>Ixora naranja - Coralillo 30 cm</v>
          </cell>
        </row>
        <row r="59">
          <cell r="B59" t="str">
            <v>Corona de Cristo 30 cm</v>
          </cell>
        </row>
        <row r="60">
          <cell r="B60" t="str">
            <v>Carey 30 cm</v>
          </cell>
        </row>
        <row r="61">
          <cell r="B61" t="str">
            <v>Calatea ornata 12 cm</v>
          </cell>
        </row>
        <row r="62">
          <cell r="B62" t="str">
            <v>Curazao 30 cm</v>
          </cell>
        </row>
        <row r="63">
          <cell r="B63" t="str">
            <v>Abrolijos 30 cm</v>
          </cell>
        </row>
        <row r="64">
          <cell r="B64" t="str">
            <v>Palma sika 60cm</v>
          </cell>
        </row>
        <row r="65">
          <cell r="B65" t="str">
            <v>Mafafa 30 cm</v>
          </cell>
        </row>
        <row r="66">
          <cell r="B66" t="str">
            <v xml:space="preserve">Tango rastrero </v>
          </cell>
        </row>
        <row r="67">
          <cell r="B67" t="str">
            <v>Azalea 30 cm</v>
          </cell>
        </row>
        <row r="68">
          <cell r="B68" t="str">
            <v>Biflora 30 cm</v>
          </cell>
        </row>
        <row r="69">
          <cell r="B69" t="str">
            <v>Penisethum morado 26 cm</v>
          </cell>
        </row>
        <row r="70">
          <cell r="B70" t="str">
            <v>Penisethum verde  Pampa 26 cm</v>
          </cell>
        </row>
        <row r="71">
          <cell r="B71" t="str">
            <v>Corona de espinas gigante</v>
          </cell>
        </row>
        <row r="72">
          <cell r="B72" t="str">
            <v>Coral  amarillo 30 cm</v>
          </cell>
        </row>
        <row r="73">
          <cell r="B73" t="str">
            <v>Filoendro Congo 1.2m</v>
          </cell>
        </row>
        <row r="74">
          <cell r="B74" t="str">
            <v>Pampa 26 cm</v>
          </cell>
        </row>
        <row r="75">
          <cell r="B75" t="str">
            <v>Carex (18 cm</v>
          </cell>
        </row>
        <row r="76">
          <cell r="B76" t="str">
            <v>Stipa 23 cm</v>
          </cell>
        </row>
        <row r="77">
          <cell r="B77" t="str">
            <v>Iris africano, brasil 23 cm</v>
          </cell>
        </row>
        <row r="78">
          <cell r="B78" t="str">
            <v>Tango 30 cm</v>
          </cell>
        </row>
        <row r="79">
          <cell r="B79" t="str">
            <v>Lino morado, verde 35 cm</v>
          </cell>
        </row>
        <row r="80">
          <cell r="B80" t="str">
            <v>Helecho cola pescado 35 cm</v>
          </cell>
        </row>
        <row r="81">
          <cell r="B81" t="str">
            <v>Helecho peine 26 cm</v>
          </cell>
        </row>
        <row r="82">
          <cell r="B82" t="str">
            <v>Helecho costeño 40 cm</v>
          </cell>
        </row>
        <row r="83">
          <cell r="B83" t="str">
            <v>Toscana 40 cm</v>
          </cell>
        </row>
        <row r="84">
          <cell r="B84" t="str">
            <v>Sansevieria variegada 26 cm</v>
          </cell>
        </row>
        <row r="85">
          <cell r="B85" t="str">
            <v>Boton de oro 28 cm</v>
          </cell>
        </row>
        <row r="86">
          <cell r="B86" t="str">
            <v>Dracenas: Reflexa, Marginata ( Que presentacion viene?)</v>
          </cell>
        </row>
        <row r="87">
          <cell r="B87" t="str">
            <v>Festuca 18 cm</v>
          </cell>
        </row>
        <row r="88">
          <cell r="B88" t="str">
            <v>Anturio Maunaloa 30 cm</v>
          </cell>
        </row>
        <row r="89">
          <cell r="B89" t="str">
            <v>MURALES</v>
          </cell>
        </row>
        <row r="90">
          <cell r="B90" t="str">
            <v>Murales Incluye: Diseño, Socializacion y video, materiales, entrega de manual de operación, pintada del mural, personal capacitado en alturas, y todos los elementos para su correcta instalacion.</v>
          </cell>
        </row>
        <row r="91">
          <cell r="B91" t="str">
            <v>ALUMBRADO PUBLICO</v>
          </cell>
        </row>
        <row r="92">
          <cell r="B92" t="str">
            <v>Canalizacion en tuberia de PVC 2pulgadas tipo DB a 0.5mt de profundidad</v>
          </cell>
        </row>
        <row r="93">
          <cell r="B93" t="str">
            <v>cajas de paso incluye marco y tapa tipo antifraude de 40 x 40 cm interior, y obra civil.</v>
          </cell>
        </row>
        <row r="94">
          <cell r="B94" t="str">
            <v>Construccion de pedestal para instalacion de proyector, incluye jaula metalica para proteccion de proyector contra bandalismo</v>
          </cell>
        </row>
        <row r="95">
          <cell r="B95" t="str">
            <v>Suminstro, trasnporte e intalación de cable concentrico Cu en 2x8+8, incluye conectores OBB, cinta autofundente y vinilo, elementos de fijación para sus corecta instalación.</v>
          </cell>
        </row>
        <row r="96">
          <cell r="B96" t="str">
            <v>Suministro, transporte e instalación de circuito electrico en cable Cu THHN 4No.12 AWG para aliemtación reflectores SCHREDER tipo RGB en la zona de arboles del parque de San José, incluye cintas, coneectores, elementos de fijación para su correcta intalación.</v>
          </cell>
        </row>
        <row r="97">
          <cell r="B97" t="str">
            <v>Suministro, transporte e instalación de cable de control DMX  de 2x18 AWG apantallado para proyector SCHREDER tipo RGB. Esto incluye conectores, cintas, placa de marcación y elementos de fijación para su correcta instalación.</v>
          </cell>
        </row>
        <row r="98">
          <cell r="B98" t="str">
            <v>Suministro, transporte e instalación de equipo de control para iluminación arboles (dos fuentes de poder con salida de voltaje a 24 Vdc, un control de ilumincaión para reflectores RGB)</v>
          </cell>
        </row>
        <row r="99">
          <cell r="B99" t="str">
            <v>Suministro, transporte e instalación de proyector SCHREDER tipo CHROMALED RGB 12ºX50º 27LED 300MM. Esto incluye conectores, cintas, elementos de fijación, cable encauchetado 3x12 hasta (6 ml) para su correcta instalación.</v>
          </cell>
        </row>
        <row r="100">
          <cell r="B100" t="str">
            <v>Suministro, transporte e instalacion de controlador, fuente de tension y proyector LQ 10 para luminarias de los arboles.</v>
          </cell>
        </row>
        <row r="101">
          <cell r="B101">
            <v>0</v>
          </cell>
        </row>
        <row r="102">
          <cell r="B102">
            <v>0</v>
          </cell>
        </row>
        <row r="103">
          <cell r="B103">
            <v>0</v>
          </cell>
        </row>
        <row r="104">
          <cell r="B104">
            <v>0</v>
          </cell>
        </row>
        <row r="105">
          <cell r="B105">
            <v>0</v>
          </cell>
        </row>
        <row r="106">
          <cell r="B106">
            <v>0</v>
          </cell>
        </row>
        <row r="107">
          <cell r="B107">
            <v>0</v>
          </cell>
        </row>
        <row r="109">
          <cell r="B109">
            <v>0</v>
          </cell>
        </row>
        <row r="110">
          <cell r="B110">
            <v>0</v>
          </cell>
        </row>
        <row r="111">
          <cell r="B111">
            <v>0</v>
          </cell>
        </row>
        <row r="112">
          <cell r="B112">
            <v>0</v>
          </cell>
        </row>
        <row r="113">
          <cell r="B113">
            <v>43272</v>
          </cell>
        </row>
        <row r="114">
          <cell r="B114">
            <v>0</v>
          </cell>
        </row>
        <row r="115">
          <cell r="B115" t="str">
            <v>ANDRES FELIPE ARISTIZABAL HERRERA</v>
          </cell>
        </row>
        <row r="116">
          <cell r="B116" t="str">
            <v>Profesional Universitario</v>
          </cell>
        </row>
        <row r="117">
          <cell r="B117">
            <v>0</v>
          </cell>
        </row>
        <row r="118">
          <cell r="B118">
            <v>0</v>
          </cell>
        </row>
        <row r="119">
          <cell r="B119">
            <v>43272</v>
          </cell>
        </row>
        <row r="120">
          <cell r="B120">
            <v>0</v>
          </cell>
        </row>
        <row r="121">
          <cell r="B121">
            <v>0</v>
          </cell>
        </row>
        <row r="122">
          <cell r="B122">
            <v>0</v>
          </cell>
        </row>
        <row r="123">
          <cell r="B123">
            <v>0</v>
          </cell>
        </row>
        <row r="124">
          <cell r="B124">
            <v>0</v>
          </cell>
        </row>
        <row r="125">
          <cell r="B125">
            <v>43272</v>
          </cell>
        </row>
        <row r="126">
          <cell r="B126">
            <v>0</v>
          </cell>
        </row>
        <row r="127">
          <cell r="B12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RESUMEN"/>
      <sheetName val="PRESUPUESTO"/>
      <sheetName val="Apu"/>
      <sheetName val="Aux"/>
      <sheetName val="Insumos"/>
      <sheetName val="CO_LAS_ANTILLAS"/>
      <sheetName val="CO_Acero"/>
      <sheetName val="CO_Pilas"/>
      <sheetName val="can1"/>
      <sheetName val="can2"/>
      <sheetName val="can3"/>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 val="ARU_DEFINITIVO"/>
      <sheetName val="CALCULO_PRESTACIONES_Y_SALARIOS"/>
      <sheetName val="flujo_de_caja"/>
      <sheetName val="2_POLITICA"/>
      <sheetName val="3_ECONOMICO"/>
      <sheetName val="3_1_Calculo_economico"/>
      <sheetName val="4_OPERACIONALES"/>
      <sheetName val="4_1_Calculo_operacionales"/>
      <sheetName val="5__FINANCIEROS"/>
      <sheetName val="5_1_Calculo_FINANCIERO"/>
      <sheetName val="6_NATURALEZA"/>
      <sheetName val="6_1_CalculoNATURALEZA"/>
      <sheetName val="6_2_CalculoNATURALEZA"/>
      <sheetName val="7_AMBIENTALES"/>
      <sheetName val="7_1_GESTION_SOCIO_AMBIENTAL"/>
      <sheetName val="7_2_SEÑALIZACION_Y_DEMARCACION"/>
      <sheetName val="ARU_DEFINITIVO1"/>
      <sheetName val="CALCULO_PRESTACIONES_Y_SALARIO1"/>
      <sheetName val="flujo_de_caja1"/>
      <sheetName val="2_POLITICA1"/>
      <sheetName val="3_ECONOMICO1"/>
      <sheetName val="3_1_Calculo_economico1"/>
      <sheetName val="4_OPERACIONALES1"/>
      <sheetName val="4_1_Calculo_operacionales1"/>
      <sheetName val="5__FINANCIEROS1"/>
      <sheetName val="5_1_Calculo_FINANCIERO1"/>
      <sheetName val="6_NATURALEZA1"/>
      <sheetName val="6_1_CalculoNATURALEZA1"/>
      <sheetName val="6_2_CalculoNATURALEZA1"/>
      <sheetName val="7_AMBIENTALES1"/>
      <sheetName val="7_1_GESTION_SOCIO_AMBIENTAL1"/>
      <sheetName val="7_2_SEÑALIZACION_Y_DEMARCACION1"/>
      <sheetName val="ARU_DEFINITIVO2"/>
      <sheetName val="CALCULO_PRESTACIONES_Y_SALARIO2"/>
      <sheetName val="flujo_de_caja2"/>
      <sheetName val="2_POLITICA2"/>
      <sheetName val="3_ECONOMICO2"/>
      <sheetName val="3_1_Calculo_economico2"/>
      <sheetName val="4_OPERACIONALES2"/>
      <sheetName val="4_1_Calculo_operacionales2"/>
      <sheetName val="5__FINANCIEROS2"/>
      <sheetName val="5_1_Calculo_FINANCIERO2"/>
      <sheetName val="6_NATURALEZA2"/>
      <sheetName val="6_1_CalculoNATURALEZA2"/>
      <sheetName val="6_2_CalculoNATURALEZA2"/>
      <sheetName val="7_AMBIENTALES2"/>
      <sheetName val="7_1_GESTION_SOCIO_AMBIENTAL2"/>
      <sheetName val="7_2_SEÑALIZACION_Y_DEMARCACION2"/>
      <sheetName val="ARU_DEFINITIVO3"/>
      <sheetName val="CALCULO_PRESTACIONES_Y_SALARIO3"/>
      <sheetName val="flujo_de_caja3"/>
      <sheetName val="2_POLITICA3"/>
      <sheetName val="3_ECONOMICO3"/>
      <sheetName val="3_1_Calculo_economico3"/>
      <sheetName val="4_OPERACIONALES3"/>
      <sheetName val="4_1_Calculo_operacionales3"/>
      <sheetName val="5__FINANCIEROS3"/>
      <sheetName val="5_1_Calculo_FINANCIERO3"/>
      <sheetName val="6_NATURALEZA3"/>
      <sheetName val="6_1_CalculoNATURALEZA3"/>
      <sheetName val="6_2_CalculoNATURALEZA3"/>
      <sheetName val="7_AMBIENTALES3"/>
      <sheetName val="7_1_GESTION_SOCIO_AMBIENTAL3"/>
      <sheetName val="7_2_SEÑALIZACION_Y_DEMARCACION3"/>
      <sheetName val="ARU_DEFINITIVO4"/>
      <sheetName val="CALCULO_PRESTACIONES_Y_SALARIO4"/>
      <sheetName val="flujo_de_caja4"/>
      <sheetName val="2_POLITICA4"/>
      <sheetName val="3_ECONOMICO4"/>
      <sheetName val="3_1_Calculo_economico4"/>
      <sheetName val="4_OPERACIONALES4"/>
      <sheetName val="4_1_Calculo_operacionales4"/>
      <sheetName val="5__FINANCIEROS4"/>
      <sheetName val="5_1_Calculo_FINANCIERO4"/>
      <sheetName val="6_NATURALEZA4"/>
      <sheetName val="6_1_CalculoNATURALEZA4"/>
      <sheetName val="6_2_CalculoNATURALEZA4"/>
      <sheetName val="7_AMBIENTALES4"/>
      <sheetName val="7_1_GESTION_SOCIO_AMBIENTAL4"/>
      <sheetName val="7_2_SEÑALIZACION_Y_DEMARCACION4"/>
      <sheetName val="ARU_DEFINITIVO5"/>
      <sheetName val="CALCULO_PRESTACIONES_Y_SALARIO5"/>
      <sheetName val="flujo_de_caja5"/>
      <sheetName val="2_POLITICA5"/>
      <sheetName val="3_ECONOMICO5"/>
      <sheetName val="3_1_Calculo_economico5"/>
      <sheetName val="4_OPERACIONALES5"/>
      <sheetName val="4_1_Calculo_operacionales5"/>
      <sheetName val="5__FINANCIEROS5"/>
      <sheetName val="5_1_Calculo_FINANCIERO5"/>
      <sheetName val="6_NATURALEZA5"/>
      <sheetName val="6_1_CalculoNATURALEZA5"/>
      <sheetName val="6_2_CalculoNATURALEZA5"/>
      <sheetName val="7_AMBIENTALES5"/>
      <sheetName val="7_1_GESTION_SOCIO_AMBIENTAL5"/>
      <sheetName val="7_2_SEÑALIZACION_Y_DEMARCACION5"/>
      <sheetName val="ARU_DEFINITIVO6"/>
      <sheetName val="CALCULO_PRESTACIONES_Y_SALARIO6"/>
      <sheetName val="flujo_de_caja6"/>
      <sheetName val="2_POLITICA6"/>
      <sheetName val="3_ECONOMICO6"/>
      <sheetName val="3_1_Calculo_economico6"/>
      <sheetName val="4_OPERACIONALES6"/>
      <sheetName val="4_1_Calculo_operacionales6"/>
      <sheetName val="5__FINANCIEROS6"/>
      <sheetName val="5_1_Calculo_FINANCIERO6"/>
      <sheetName val="6_NATURALEZA6"/>
      <sheetName val="6_1_CalculoNATURALEZA6"/>
      <sheetName val="6_2_CalculoNATURALEZA6"/>
      <sheetName val="7_AMBIENTALES6"/>
      <sheetName val="7_1_GESTION_SOCIO_AMBIENTAL6"/>
      <sheetName val="7_2_SEÑALIZACION_Y_DEMARCACION6"/>
      <sheetName val="ARU_DEFINITIVO7"/>
      <sheetName val="CALCULO_PRESTACIONES_Y_SALARIO7"/>
      <sheetName val="flujo_de_caja7"/>
      <sheetName val="2_POLITICA7"/>
      <sheetName val="3_ECONOMICO7"/>
      <sheetName val="3_1_Calculo_economico7"/>
      <sheetName val="4_OPERACIONALES7"/>
      <sheetName val="4_1_Calculo_operacionales7"/>
      <sheetName val="5__FINANCIEROS7"/>
      <sheetName val="5_1_Calculo_FINANCIERO7"/>
      <sheetName val="6_NATURALEZA7"/>
      <sheetName val="6_1_CalculoNATURALEZA7"/>
      <sheetName val="6_2_CalculoNATURALEZA7"/>
      <sheetName val="7_AMBIENTALES7"/>
      <sheetName val="7_1_GESTION_SOCIO_AMBIENTAL7"/>
      <sheetName val="7_2_SEÑALIZACION_Y_DEMARCACION7"/>
      <sheetName val="ARU_DEFINITIVO9"/>
      <sheetName val="CALCULO_PRESTACIONES_Y_SALARIO9"/>
      <sheetName val="flujo_de_caja9"/>
      <sheetName val="2_POLITICA9"/>
      <sheetName val="3_ECONOMICO9"/>
      <sheetName val="3_1_Calculo_economico9"/>
      <sheetName val="4_OPERACIONALES9"/>
      <sheetName val="4_1_Calculo_operacionales9"/>
      <sheetName val="5__FINANCIEROS9"/>
      <sheetName val="5_1_Calculo_FINANCIERO9"/>
      <sheetName val="6_NATURALEZA9"/>
      <sheetName val="6_1_CalculoNATURALEZA9"/>
      <sheetName val="6_2_CalculoNATURALEZA9"/>
      <sheetName val="7_AMBIENTALES9"/>
      <sheetName val="7_1_GESTION_SOCIO_AMBIENTAL9"/>
      <sheetName val="7_2_SEÑALIZACION_Y_DEMARCACION9"/>
      <sheetName val="ARU_DEFINITIVO8"/>
      <sheetName val="CALCULO_PRESTACIONES_Y_SALARIO8"/>
      <sheetName val="flujo_de_caja8"/>
      <sheetName val="2_POLITICA8"/>
      <sheetName val="3_ECONOMICO8"/>
      <sheetName val="3_1_Calculo_economico8"/>
      <sheetName val="4_OPERACIONALES8"/>
      <sheetName val="4_1_Calculo_operacionales8"/>
      <sheetName val="5__FINANCIEROS8"/>
      <sheetName val="5_1_Calculo_FINANCIERO8"/>
      <sheetName val="6_NATURALEZA8"/>
      <sheetName val="6_1_CalculoNATURALEZA8"/>
      <sheetName val="6_2_CalculoNATURALEZA8"/>
      <sheetName val="7_AMBIENTALES8"/>
      <sheetName val="7_1_GESTION_SOCIO_AMBIENTAL8"/>
      <sheetName val="7_2_SEÑALIZACION_Y_DEMARCACION8"/>
      <sheetName val="ARU_DEFINITIVO10"/>
      <sheetName val="CALCULO_PRESTACIONES_Y_SALARI10"/>
      <sheetName val="flujo_de_caja10"/>
      <sheetName val="2_POLITICA10"/>
      <sheetName val="3_ECONOMICO10"/>
      <sheetName val="3_1_Calculo_economico10"/>
      <sheetName val="4_OPERACIONALES10"/>
      <sheetName val="4_1_Calculo_operacionales10"/>
      <sheetName val="5__FINANCIEROS10"/>
      <sheetName val="5_1_Calculo_FINANCIERO10"/>
      <sheetName val="6_NATURALEZA10"/>
      <sheetName val="6_1_CalculoNATURALEZA10"/>
      <sheetName val="6_2_CalculoNATURALEZA10"/>
      <sheetName val="7_AMBIENTALES10"/>
      <sheetName val="7_1_GESTION_SOCIO_AMBIENTAL10"/>
      <sheetName val="7_2_SEÑALIZACION_Y_DEMARCACIO10"/>
      <sheetName val="ARU_DEFINITIVO11"/>
      <sheetName val="CALCULO_PRESTACIONES_Y_SALARI11"/>
      <sheetName val="flujo_de_caja11"/>
      <sheetName val="2_POLITICA11"/>
      <sheetName val="3_ECONOMICO11"/>
      <sheetName val="3_1_Calculo_economico11"/>
      <sheetName val="4_OPERACIONALES11"/>
      <sheetName val="4_1_Calculo_operacionales11"/>
      <sheetName val="5__FINANCIEROS11"/>
      <sheetName val="5_1_Calculo_FINANCIERO11"/>
      <sheetName val="6_NATURALEZA11"/>
      <sheetName val="6_1_CalculoNATURALEZA11"/>
      <sheetName val="6_2_CalculoNATURALEZA11"/>
      <sheetName val="7_AMBIENTALES11"/>
      <sheetName val="7_1_GESTION_SOCIO_AMBIENTAL11"/>
      <sheetName val="7_2_SEÑALIZACION_Y_DEMARCACIO11"/>
      <sheetName val="ARU_DEFINITIVO12"/>
      <sheetName val="CALCULO_PRESTACIONES_Y_SALARI12"/>
      <sheetName val="flujo_de_caja12"/>
      <sheetName val="2_POLITICA12"/>
      <sheetName val="3_ECONOMICO12"/>
      <sheetName val="3_1_Calculo_economico12"/>
      <sheetName val="4_OPERACIONALES12"/>
      <sheetName val="4_1_Calculo_operacionales12"/>
      <sheetName val="5__FINANCIEROS12"/>
      <sheetName val="5_1_Calculo_FINANCIERO12"/>
      <sheetName val="6_NATURALEZA12"/>
      <sheetName val="6_1_CalculoNATURALEZA12"/>
      <sheetName val="6_2_CalculoNATURALEZA12"/>
      <sheetName val="7_AMBIENTALES12"/>
      <sheetName val="7_1_GESTION_SOCIO_AMBIENTAL12"/>
      <sheetName val="7_2_SEÑALIZACION_Y_DEMARCACIO12"/>
      <sheetName val="ARU_DEFINITIVO13"/>
      <sheetName val="CALCULO_PRESTACIONES_Y_SALARI13"/>
      <sheetName val="flujo_de_caja13"/>
      <sheetName val="2_POLITICA13"/>
      <sheetName val="3_ECONOMICO13"/>
      <sheetName val="3_1_Calculo_economico13"/>
      <sheetName val="4_OPERACIONALES13"/>
      <sheetName val="4_1_Calculo_operacionales13"/>
      <sheetName val="5__FINANCIEROS13"/>
      <sheetName val="5_1_Calculo_FINANCIERO13"/>
      <sheetName val="6_NATURALEZA13"/>
      <sheetName val="6_1_CalculoNATURALEZA13"/>
      <sheetName val="6_2_CalculoNATURALEZA13"/>
      <sheetName val="7_AMBIENTALES13"/>
      <sheetName val="7_1_GESTION_SOCIO_AMBIENTAL13"/>
      <sheetName val="7_2_SEÑALIZACION_Y_DEMARCACIO13"/>
      <sheetName val="APUS"/>
      <sheetName val="GASTOS GENERALES"/>
      <sheetName val="TENOR DE MATERIALES"/>
      <sheetName val="MEMORIAS DE CANTIDADES"/>
      <sheetName val="CALCULO PRESTACIONES Y SALA "/>
      <sheetName val="CRONOGRAMA"/>
      <sheetName val="1 RIESGOS"/>
      <sheetName val="INDICES CAMACOL"/>
      <sheetName val="4.1 Calculos Operacionales"/>
      <sheetName val="5 FINANCIEROS"/>
      <sheetName val="6.1 Calculo Naturaleza"/>
      <sheetName val="6.2 Calculo Naturaleza"/>
      <sheetName val="7.1 GESTION SOCIAMBIENTAL"/>
      <sheetName val="7.2 PLAN DE MANEJO DE TRANSITO"/>
      <sheetName val="7.3 BIOSEGURIDAD COVID-19"/>
      <sheetName val="Memorias de calculo"/>
    </sheetNames>
    <sheetDataSet>
      <sheetData sheetId="0"/>
      <sheetData sheetId="1"/>
      <sheetData sheetId="2"/>
      <sheetData sheetId="3">
        <row r="1">
          <cell r="A1">
            <v>0</v>
          </cell>
        </row>
        <row r="180">
          <cell r="N180">
            <v>8900586486.9674416</v>
          </cell>
        </row>
      </sheetData>
      <sheetData sheetId="4">
        <row r="1">
          <cell r="B1" t="str">
            <v>ANALISIS DE PRECIOS UNITARIOS - ESTUDIOS Y DISEÑOS VIALES DEFINITIVOS PARA LA CONSTRUCCIÓN DEL EJE VIAL LAS ANTILLAS EN EL MUNICIPIO DE ENVIGADO</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v>0</v>
          </cell>
          <cell r="G3">
            <v>0</v>
          </cell>
          <cell r="H3">
            <v>0</v>
          </cell>
        </row>
        <row r="4">
          <cell r="A4" t="str">
            <v>01-01-010</v>
          </cell>
          <cell r="B4" t="str">
            <v>01-01-010</v>
          </cell>
          <cell r="C4" t="str">
            <v>CERRAMIENTO PROVISIONAL EN TELA DE CERRAMIENTO VERDE H: 2.10 M. INCLUYE ESTRUCTURA DE MADERA COMUN, ANCLAJES DE PARALES AL PISO Y TELA VERDE</v>
          </cell>
          <cell r="D4" t="str">
            <v>M</v>
          </cell>
          <cell r="E4">
            <v>2406.25</v>
          </cell>
          <cell r="G4">
            <v>0</v>
          </cell>
          <cell r="H4">
            <v>14482.555166798631</v>
          </cell>
        </row>
        <row r="5">
          <cell r="A5" t="str">
            <v>01-01-010</v>
          </cell>
          <cell r="B5" t="str">
            <v>18Z18</v>
          </cell>
          <cell r="C5" t="str">
            <v>estacon madera comun 3" de 3m</v>
          </cell>
          <cell r="D5" t="str">
            <v>u</v>
          </cell>
          <cell r="E5">
            <v>0.1111111111111111</v>
          </cell>
          <cell r="G5">
            <v>20868.399999999998</v>
          </cell>
          <cell r="H5">
            <v>2318.7111111111108</v>
          </cell>
        </row>
        <row r="6">
          <cell r="A6" t="str">
            <v>01-01-010</v>
          </cell>
          <cell r="B6" t="str">
            <v>72132</v>
          </cell>
          <cell r="C6" t="str">
            <v>aux concreto 3000 psi (21.1 MPa) -obra- 3/4"</v>
          </cell>
          <cell r="D6" t="str">
            <v>m3</v>
          </cell>
          <cell r="E6">
            <v>1.6000000000000004E-2</v>
          </cell>
          <cell r="G6">
            <v>397371.06598046987</v>
          </cell>
          <cell r="H6">
            <v>6357.9370556875192</v>
          </cell>
        </row>
        <row r="7">
          <cell r="A7" t="str">
            <v>01-01-010</v>
          </cell>
          <cell r="B7" t="str">
            <v>17511</v>
          </cell>
          <cell r="C7" t="str">
            <v>tela verde cerramiento h: 2.10 m</v>
          </cell>
          <cell r="D7" t="str">
            <v>m</v>
          </cell>
          <cell r="E7">
            <v>1</v>
          </cell>
          <cell r="F7">
            <v>0.1</v>
          </cell>
          <cell r="G7">
            <v>1971.9999999999998</v>
          </cell>
          <cell r="H7">
            <v>2169.1999999999998</v>
          </cell>
        </row>
        <row r="8">
          <cell r="A8" t="str">
            <v>01-01-010</v>
          </cell>
          <cell r="B8" t="str">
            <v>15421</v>
          </cell>
          <cell r="C8" t="str">
            <v>clavo corriente 1-1/2" a 5"</v>
          </cell>
          <cell r="D8" t="str">
            <v>lb</v>
          </cell>
          <cell r="E8">
            <v>1.4999999999999999E-2</v>
          </cell>
          <cell r="G8">
            <v>1624</v>
          </cell>
          <cell r="H8">
            <v>24.36</v>
          </cell>
        </row>
        <row r="9">
          <cell r="A9" t="str">
            <v>01-01-010</v>
          </cell>
          <cell r="B9" t="str">
            <v>2A851</v>
          </cell>
          <cell r="C9" t="str">
            <v>mo instalacion cerramiento provisional en tela verde</v>
          </cell>
          <cell r="D9" t="str">
            <v>m</v>
          </cell>
          <cell r="E9">
            <v>1</v>
          </cell>
          <cell r="G9">
            <v>3400</v>
          </cell>
          <cell r="H9">
            <v>3400</v>
          </cell>
        </row>
        <row r="10">
          <cell r="A10" t="str">
            <v>01-01-010</v>
          </cell>
          <cell r="B10" t="str">
            <v>47111</v>
          </cell>
          <cell r="C10" t="str">
            <v>elementos de consumo y proteccion</v>
          </cell>
          <cell r="D10" t="str">
            <v>%</v>
          </cell>
          <cell r="E10">
            <v>3400</v>
          </cell>
          <cell r="G10">
            <v>1.2455000000000001E-2</v>
          </cell>
          <cell r="H10">
            <v>42.347000000000001</v>
          </cell>
        </row>
        <row r="11">
          <cell r="A11" t="str">
            <v>01-01-010</v>
          </cell>
          <cell r="B11" t="str">
            <v>46111</v>
          </cell>
          <cell r="C11" t="str">
            <v>herramienta y equipo menor</v>
          </cell>
          <cell r="D11" t="str">
            <v>%</v>
          </cell>
          <cell r="E11">
            <v>3400</v>
          </cell>
          <cell r="G11">
            <v>0.05</v>
          </cell>
          <cell r="H11">
            <v>170</v>
          </cell>
        </row>
        <row r="12">
          <cell r="A12">
            <v>0</v>
          </cell>
          <cell r="C12" t="str">
            <v>DIRECTO:  14483,0 / M</v>
          </cell>
          <cell r="D12">
            <v>0</v>
          </cell>
          <cell r="E12" t="str">
            <v xml:space="preserve">  </v>
          </cell>
          <cell r="G12">
            <v>0</v>
          </cell>
          <cell r="H12">
            <v>0</v>
          </cell>
        </row>
        <row r="13">
          <cell r="A13">
            <v>0</v>
          </cell>
          <cell r="C13">
            <v>0</v>
          </cell>
          <cell r="D13">
            <v>0</v>
          </cell>
          <cell r="G13">
            <v>0</v>
          </cell>
          <cell r="H13">
            <v>0</v>
          </cell>
        </row>
        <row r="14">
          <cell r="A14" t="str">
            <v>01-01-020</v>
          </cell>
          <cell r="B14" t="str">
            <v>01-01-020</v>
          </cell>
          <cell r="C14" t="str">
            <v>CAMPAMENTOS, ALMACENES Y OFICINAS. INCLUYE TODO LO NECESARIO PARA SU CORRECTO FUNCIONAMIENTO</v>
          </cell>
          <cell r="D14" t="str">
            <v>MES</v>
          </cell>
          <cell r="E14">
            <v>10.35</v>
          </cell>
          <cell r="G14">
            <v>0</v>
          </cell>
          <cell r="H14">
            <v>1739999.9999999998</v>
          </cell>
        </row>
        <row r="15">
          <cell r="A15" t="str">
            <v>01-01-020</v>
          </cell>
          <cell r="B15" t="str">
            <v>1A911</v>
          </cell>
          <cell r="C15" t="str">
            <v xml:space="preserve">oficina tipo campamento de 6mx2,40x2,40m </v>
          </cell>
          <cell r="D15" t="str">
            <v>mes</v>
          </cell>
          <cell r="E15">
            <v>1</v>
          </cell>
          <cell r="G15">
            <v>1739999.9999999998</v>
          </cell>
          <cell r="H15">
            <v>1739999.9999999998</v>
          </cell>
        </row>
        <row r="16">
          <cell r="A16" t="str">
            <v>01-01-020</v>
          </cell>
          <cell r="B16" t="str">
            <v>47111</v>
          </cell>
          <cell r="C16" t="str">
            <v>elementos de consumo y proteccion</v>
          </cell>
          <cell r="D16" t="str">
            <v>%</v>
          </cell>
          <cell r="E16">
            <v>0</v>
          </cell>
          <cell r="G16">
            <v>1.2455000000000001E-2</v>
          </cell>
          <cell r="H16">
            <v>0</v>
          </cell>
        </row>
        <row r="17">
          <cell r="A17" t="str">
            <v>01-01-020</v>
          </cell>
          <cell r="B17" t="str">
            <v>46111</v>
          </cell>
          <cell r="C17" t="str">
            <v>herramienta y equipo menor</v>
          </cell>
          <cell r="D17" t="str">
            <v>%</v>
          </cell>
          <cell r="E17">
            <v>0</v>
          </cell>
          <cell r="G17">
            <v>0.05</v>
          </cell>
          <cell r="H17">
            <v>0</v>
          </cell>
        </row>
        <row r="18">
          <cell r="A18">
            <v>0</v>
          </cell>
          <cell r="C18" t="str">
            <v>DIRECTO:  1740000,0 / MES</v>
          </cell>
          <cell r="D18">
            <v>0</v>
          </cell>
          <cell r="E18" t="str">
            <v xml:space="preserve">  </v>
          </cell>
          <cell r="G18">
            <v>0</v>
          </cell>
          <cell r="H18">
            <v>0</v>
          </cell>
        </row>
        <row r="19">
          <cell r="A19">
            <v>0</v>
          </cell>
          <cell r="C19">
            <v>0</v>
          </cell>
          <cell r="D19">
            <v>0</v>
          </cell>
          <cell r="G19">
            <v>0</v>
          </cell>
          <cell r="H19">
            <v>0</v>
          </cell>
        </row>
        <row r="20">
          <cell r="A20" t="str">
            <v>01-02-010</v>
          </cell>
          <cell r="B20" t="str">
            <v>01-02-010</v>
          </cell>
          <cell r="C20" t="str">
            <v>LOCALIZACION, TRAZADO Y REPLANTEO. INCLUYE HILADEROS Y SEÑALIZACION NECESARIA</v>
          </cell>
          <cell r="D20" t="str">
            <v>DIA</v>
          </cell>
          <cell r="E20">
            <v>33</v>
          </cell>
          <cell r="G20">
            <v>0</v>
          </cell>
          <cell r="H20">
            <v>723481.18299999996</v>
          </cell>
        </row>
        <row r="21">
          <cell r="A21" t="str">
            <v>01-02-010</v>
          </cell>
          <cell r="B21" t="str">
            <v>21139</v>
          </cell>
          <cell r="C21" t="str">
            <v>comision de topografia</v>
          </cell>
          <cell r="D21" t="str">
            <v>d</v>
          </cell>
          <cell r="E21">
            <v>1</v>
          </cell>
          <cell r="G21">
            <v>562600</v>
          </cell>
          <cell r="H21">
            <v>562600</v>
          </cell>
        </row>
        <row r="22">
          <cell r="A22" t="str">
            <v>01-02-010</v>
          </cell>
          <cell r="B22" t="str">
            <v>18Z16</v>
          </cell>
          <cell r="C22" t="str">
            <v>larguero madera comun 2"x4" de 3m</v>
          </cell>
          <cell r="D22" t="str">
            <v>u</v>
          </cell>
          <cell r="E22">
            <v>2</v>
          </cell>
          <cell r="G22">
            <v>6959.9999999999991</v>
          </cell>
          <cell r="H22">
            <v>13919.999999999998</v>
          </cell>
        </row>
        <row r="23">
          <cell r="A23" t="str">
            <v>01-02-010</v>
          </cell>
          <cell r="B23" t="str">
            <v>15421</v>
          </cell>
          <cell r="C23" t="str">
            <v>clavo corriente 1-1/2" a 5"</v>
          </cell>
          <cell r="D23" t="str">
            <v>lb</v>
          </cell>
          <cell r="E23">
            <v>1</v>
          </cell>
          <cell r="G23">
            <v>1624</v>
          </cell>
          <cell r="H23">
            <v>1624</v>
          </cell>
        </row>
        <row r="24">
          <cell r="A24" t="str">
            <v>01-02-010</v>
          </cell>
          <cell r="B24" t="str">
            <v>45911</v>
          </cell>
          <cell r="C24" t="str">
            <v>estacion total geodesica con laser</v>
          </cell>
          <cell r="D24" t="str">
            <v>d</v>
          </cell>
          <cell r="E24">
            <v>1</v>
          </cell>
          <cell r="G24">
            <v>110199.99999999999</v>
          </cell>
          <cell r="H24">
            <v>110199.99999999999</v>
          </cell>
        </row>
        <row r="25">
          <cell r="A25" t="str">
            <v>01-02-010</v>
          </cell>
          <cell r="B25" t="str">
            <v>47111</v>
          </cell>
          <cell r="C25" t="str">
            <v>elementos de consumo y proteccion</v>
          </cell>
          <cell r="D25" t="str">
            <v>%</v>
          </cell>
          <cell r="E25">
            <v>562600</v>
          </cell>
          <cell r="G25">
            <v>1.2455000000000001E-2</v>
          </cell>
          <cell r="H25">
            <v>7007.183</v>
          </cell>
        </row>
        <row r="26">
          <cell r="A26" t="str">
            <v>01-02-010</v>
          </cell>
          <cell r="B26" t="str">
            <v>46111</v>
          </cell>
          <cell r="C26" t="str">
            <v>herramienta y equipo menor</v>
          </cell>
          <cell r="D26" t="str">
            <v>%</v>
          </cell>
          <cell r="E26">
            <v>562600</v>
          </cell>
          <cell r="G26">
            <v>0.05</v>
          </cell>
          <cell r="H26">
            <v>28130</v>
          </cell>
        </row>
        <row r="27">
          <cell r="A27">
            <v>0</v>
          </cell>
          <cell r="C27" t="str">
            <v>DIRECTO:  723482,0 / DIA</v>
          </cell>
          <cell r="D27">
            <v>0</v>
          </cell>
          <cell r="E27" t="str">
            <v xml:space="preserve">  </v>
          </cell>
          <cell r="G27">
            <v>0</v>
          </cell>
          <cell r="H27">
            <v>0</v>
          </cell>
        </row>
        <row r="28">
          <cell r="A28">
            <v>0</v>
          </cell>
          <cell r="B28" t="str">
            <v>02</v>
          </cell>
          <cell r="C28" t="str">
            <v>RETIROS Y DEMOLICIONES</v>
          </cell>
          <cell r="D28">
            <v>0</v>
          </cell>
          <cell r="G28">
            <v>0</v>
          </cell>
          <cell r="H28">
            <v>0</v>
          </cell>
        </row>
        <row r="29">
          <cell r="A29" t="str">
            <v>02-01-010</v>
          </cell>
          <cell r="B29" t="str">
            <v>02-01-010</v>
          </cell>
          <cell r="C29" t="str">
            <v>PROVISION PARA TRASLADO DE OTRAS ESTRUCTURAS EXISTENTES. INCLUYE TRANSPORTE INTERNO, CARGUE Y DISPOSICION FINAL DE MATERIAL SOBRANTE EN BOTADERO OFICIAL</v>
          </cell>
          <cell r="D29" t="str">
            <v>U</v>
          </cell>
          <cell r="E29">
            <v>1</v>
          </cell>
          <cell r="G29">
            <v>0</v>
          </cell>
          <cell r="H29">
            <v>2998936.7207997642</v>
          </cell>
        </row>
        <row r="30">
          <cell r="A30" t="str">
            <v>02-01-010</v>
          </cell>
          <cell r="B30" t="str">
            <v>4V711</v>
          </cell>
          <cell r="C30" t="str">
            <v>compresor ingersoll rand p185wjd</v>
          </cell>
          <cell r="D30" t="str">
            <v>h</v>
          </cell>
          <cell r="E30">
            <v>4</v>
          </cell>
          <cell r="G30">
            <v>63799.999999999993</v>
          </cell>
          <cell r="H30">
            <v>255199.99999999997</v>
          </cell>
        </row>
        <row r="31">
          <cell r="A31" t="str">
            <v>02-01-010</v>
          </cell>
          <cell r="B31" t="str">
            <v>2C114</v>
          </cell>
          <cell r="C31" t="str">
            <v>mo cuadrilla (2 of + 4 ay)</v>
          </cell>
          <cell r="D31" t="str">
            <v>d</v>
          </cell>
          <cell r="E31">
            <v>8</v>
          </cell>
          <cell r="G31">
            <v>301668.51490495645</v>
          </cell>
          <cell r="H31">
            <v>2413348.1192396516</v>
          </cell>
        </row>
        <row r="32">
          <cell r="A32" t="str">
            <v>02-01-010</v>
          </cell>
          <cell r="B32" t="str">
            <v>2A461</v>
          </cell>
          <cell r="C32" t="str">
            <v>mo transporte interno de material proveniente de las excavaciones</v>
          </cell>
          <cell r="D32" t="str">
            <v>m3</v>
          </cell>
          <cell r="E32">
            <v>4</v>
          </cell>
          <cell r="F32">
            <v>0.3</v>
          </cell>
          <cell r="G32">
            <v>6165.5</v>
          </cell>
          <cell r="H32">
            <v>32060.600000000002</v>
          </cell>
        </row>
        <row r="33">
          <cell r="A33" t="str">
            <v>02-01-010</v>
          </cell>
          <cell r="B33" t="str">
            <v>3A242</v>
          </cell>
          <cell r="C33" t="str">
            <v>subcontrato de cargue y botada de materiales varios</v>
          </cell>
          <cell r="D33" t="str">
            <v>m3</v>
          </cell>
          <cell r="E33">
            <v>5.2</v>
          </cell>
          <cell r="G33">
            <v>28000</v>
          </cell>
          <cell r="H33">
            <v>145600</v>
          </cell>
        </row>
        <row r="34">
          <cell r="A34" t="str">
            <v>02-01-010</v>
          </cell>
          <cell r="B34" t="str">
            <v>47111</v>
          </cell>
          <cell r="C34" t="str">
            <v>elementos de consumo y proteccion</v>
          </cell>
          <cell r="D34" t="str">
            <v>%</v>
          </cell>
          <cell r="E34">
            <v>2445408.7192396517</v>
          </cell>
          <cell r="G34">
            <v>1.2455000000000001E-2</v>
          </cell>
          <cell r="H34">
            <v>30457.565598129862</v>
          </cell>
        </row>
        <row r="35">
          <cell r="A35" t="str">
            <v>02-01-010</v>
          </cell>
          <cell r="B35" t="str">
            <v>46111</v>
          </cell>
          <cell r="C35" t="str">
            <v>herramienta y equipo menor</v>
          </cell>
          <cell r="D35" t="str">
            <v>%</v>
          </cell>
          <cell r="E35">
            <v>2445408.7192396517</v>
          </cell>
          <cell r="G35">
            <v>0.05</v>
          </cell>
          <cell r="H35">
            <v>122270.43596198258</v>
          </cell>
        </row>
        <row r="36">
          <cell r="A36">
            <v>0</v>
          </cell>
          <cell r="C36" t="str">
            <v>DIRECTO:  2998937,0 / U</v>
          </cell>
          <cell r="D36">
            <v>0</v>
          </cell>
          <cell r="G36">
            <v>0</v>
          </cell>
          <cell r="H36">
            <v>0</v>
          </cell>
        </row>
        <row r="37">
          <cell r="A37">
            <v>0</v>
          </cell>
          <cell r="C37">
            <v>0</v>
          </cell>
          <cell r="D37">
            <v>0</v>
          </cell>
          <cell r="G37">
            <v>0</v>
          </cell>
          <cell r="H37">
            <v>0</v>
          </cell>
        </row>
        <row r="38">
          <cell r="A38" t="str">
            <v>02-02-030</v>
          </cell>
          <cell r="B38" t="str">
            <v>02-02-030</v>
          </cell>
          <cell r="C38" t="str">
            <v>DEMOLICION MANUAL Y/O MECANICA DE VIVIENDAS EXISTENTES MEDIDO EN SITIO COMO AREA CONSTRUIDA POR NIVELES. INCLUYE TRANSPORTE INTERNO, CARGUE Y DISPOSICION FINAL DE MATERIAL SOBRANTE EN BOTADERO OFICIAL.</v>
          </cell>
          <cell r="D38" t="str">
            <v>M2</v>
          </cell>
          <cell r="E38">
            <v>2361.636</v>
          </cell>
          <cell r="G38">
            <v>0</v>
          </cell>
          <cell r="H38">
            <v>40738.204505230613</v>
          </cell>
        </row>
        <row r="39">
          <cell r="A39" t="str">
            <v>02-02-030</v>
          </cell>
          <cell r="B39" t="str">
            <v>4V711</v>
          </cell>
          <cell r="C39" t="str">
            <v>compresor ingersoll rand p185wjd</v>
          </cell>
          <cell r="D39" t="str">
            <v>h</v>
          </cell>
          <cell r="E39">
            <v>0.05</v>
          </cell>
          <cell r="G39">
            <v>63799.999999999993</v>
          </cell>
          <cell r="H39">
            <v>3190</v>
          </cell>
        </row>
        <row r="40">
          <cell r="A40" t="str">
            <v>02-02-030</v>
          </cell>
          <cell r="B40" t="str">
            <v>4V912</v>
          </cell>
          <cell r="C40" t="str">
            <v>retroexcavadora cat 416-b</v>
          </cell>
          <cell r="D40" t="str">
            <v>h</v>
          </cell>
          <cell r="E40">
            <v>0.05</v>
          </cell>
          <cell r="G40">
            <v>104400</v>
          </cell>
          <cell r="H40">
            <v>5220</v>
          </cell>
        </row>
        <row r="41">
          <cell r="A41" t="str">
            <v>02-02-030</v>
          </cell>
          <cell r="B41" t="str">
            <v>2C114</v>
          </cell>
          <cell r="C41" t="str">
            <v>mo cuadrilla (2 of + 4 ay)</v>
          </cell>
          <cell r="D41" t="str">
            <v>d</v>
          </cell>
          <cell r="E41">
            <v>5.8823529411764705E-2</v>
          </cell>
          <cell r="G41">
            <v>301668.51490495645</v>
          </cell>
          <cell r="H41">
            <v>17745.206759115084</v>
          </cell>
        </row>
        <row r="42">
          <cell r="A42" t="str">
            <v>02-02-030</v>
          </cell>
          <cell r="B42" t="str">
            <v>2A461</v>
          </cell>
          <cell r="C42" t="str">
            <v>mo transporte interno de material proveniente de las excavaciones</v>
          </cell>
          <cell r="D42" t="str">
            <v>m3</v>
          </cell>
          <cell r="E42">
            <v>0.3</v>
          </cell>
          <cell r="F42">
            <v>0.3</v>
          </cell>
          <cell r="G42">
            <v>6165.5</v>
          </cell>
          <cell r="H42">
            <v>2404.5450000000001</v>
          </cell>
        </row>
        <row r="43">
          <cell r="A43" t="str">
            <v>02-02-030</v>
          </cell>
          <cell r="B43" t="str">
            <v>3A242</v>
          </cell>
          <cell r="C43" t="str">
            <v>subcontrato de cargue y botada de materiales varios</v>
          </cell>
          <cell r="D43" t="str">
            <v>m3</v>
          </cell>
          <cell r="E43">
            <v>0.39</v>
          </cell>
          <cell r="G43">
            <v>28000</v>
          </cell>
          <cell r="H43">
            <v>10920</v>
          </cell>
        </row>
        <row r="44">
          <cell r="A44" t="str">
            <v>02-02-030</v>
          </cell>
          <cell r="B44" t="str">
            <v>47111</v>
          </cell>
          <cell r="C44" t="str">
            <v>elementos de consumo y proteccion</v>
          </cell>
          <cell r="D44" t="str">
            <v>%</v>
          </cell>
          <cell r="E44">
            <v>20149.751759115083</v>
          </cell>
          <cell r="G44">
            <v>1.2455000000000001E-2</v>
          </cell>
          <cell r="H44">
            <v>250.96515815977838</v>
          </cell>
        </row>
        <row r="45">
          <cell r="A45" t="str">
            <v>02-02-030</v>
          </cell>
          <cell r="B45" t="str">
            <v>46111</v>
          </cell>
          <cell r="C45" t="str">
            <v>herramienta y equipo menor</v>
          </cell>
          <cell r="D45" t="str">
            <v>%</v>
          </cell>
          <cell r="E45">
            <v>20149.751759115083</v>
          </cell>
          <cell r="G45">
            <v>0.05</v>
          </cell>
          <cell r="H45">
            <v>1007.4875879557542</v>
          </cell>
        </row>
        <row r="46">
          <cell r="A46">
            <v>0</v>
          </cell>
          <cell r="C46" t="str">
            <v>DIRECTO:  40739,0 / M2</v>
          </cell>
          <cell r="D46">
            <v>0</v>
          </cell>
          <cell r="G46">
            <v>0</v>
          </cell>
          <cell r="H46">
            <v>0</v>
          </cell>
        </row>
        <row r="47">
          <cell r="A47">
            <v>0</v>
          </cell>
          <cell r="C47">
            <v>0</v>
          </cell>
          <cell r="D47">
            <v>0</v>
          </cell>
          <cell r="G47">
            <v>0</v>
          </cell>
          <cell r="H47">
            <v>0</v>
          </cell>
        </row>
        <row r="48">
          <cell r="A48" t="str">
            <v>02-02-060</v>
          </cell>
          <cell r="B48" t="str">
            <v>02-02-060</v>
          </cell>
          <cell r="C48" t="str">
            <v>DEMOLICION ANDENES EXISTENTES MEDIDO EN SITIO. INCLUYE TRANSPORTE INTERNO, CARGUE Y DISPOSICION FINAL DE MATERIAL SOBRANTE EN BOTADERO OFICIAL</v>
          </cell>
          <cell r="D48" t="str">
            <v>M2</v>
          </cell>
          <cell r="E48">
            <v>740.52960000000007</v>
          </cell>
          <cell r="G48">
            <v>0</v>
          </cell>
          <cell r="H48">
            <v>25273.454638761516</v>
          </cell>
        </row>
        <row r="49">
          <cell r="A49" t="str">
            <v>02-02-060</v>
          </cell>
          <cell r="B49" t="str">
            <v>4V711</v>
          </cell>
          <cell r="C49" t="str">
            <v>compresor ingersoll rand p185wjd</v>
          </cell>
          <cell r="D49" t="str">
            <v>h</v>
          </cell>
          <cell r="E49">
            <v>3.3333333333333333E-2</v>
          </cell>
          <cell r="G49">
            <v>63799.999999999993</v>
          </cell>
          <cell r="H49">
            <v>2126.6666666666665</v>
          </cell>
        </row>
        <row r="50">
          <cell r="A50" t="str">
            <v>02-02-060</v>
          </cell>
          <cell r="B50" t="str">
            <v>4V912</v>
          </cell>
          <cell r="C50" t="str">
            <v>retroexcavadora cat 416-b</v>
          </cell>
          <cell r="D50" t="str">
            <v>h</v>
          </cell>
          <cell r="E50">
            <v>3.3333333333333333E-2</v>
          </cell>
          <cell r="G50">
            <v>104400</v>
          </cell>
          <cell r="H50">
            <v>3480</v>
          </cell>
        </row>
        <row r="51">
          <cell r="A51" t="str">
            <v>02-02-060</v>
          </cell>
          <cell r="B51" t="str">
            <v>2C114</v>
          </cell>
          <cell r="C51" t="str">
            <v>mo cuadrilla (2 of + 4 ay)</v>
          </cell>
          <cell r="D51" t="str">
            <v>d</v>
          </cell>
          <cell r="E51">
            <v>3.3333333333333333E-2</v>
          </cell>
          <cell r="G51">
            <v>301668.51490495645</v>
          </cell>
          <cell r="H51">
            <v>10055.617163498548</v>
          </cell>
        </row>
        <row r="52">
          <cell r="A52" t="str">
            <v>02-02-060</v>
          </cell>
          <cell r="B52" t="str">
            <v>2A461</v>
          </cell>
          <cell r="C52" t="str">
            <v>mo transporte interno de material proveniente de las excavaciones</v>
          </cell>
          <cell r="D52" t="str">
            <v>m3</v>
          </cell>
          <cell r="E52">
            <v>0.2</v>
          </cell>
          <cell r="F52">
            <v>0.3</v>
          </cell>
          <cell r="G52">
            <v>6165.5</v>
          </cell>
          <cell r="H52">
            <v>1603.0300000000002</v>
          </cell>
        </row>
        <row r="53">
          <cell r="A53" t="str">
            <v>02-02-060</v>
          </cell>
          <cell r="B53" t="str">
            <v>3A242</v>
          </cell>
          <cell r="C53" t="str">
            <v>subcontrato de cargue y botada de materiales varios</v>
          </cell>
          <cell r="D53" t="str">
            <v>m3</v>
          </cell>
          <cell r="E53">
            <v>0.26</v>
          </cell>
          <cell r="G53">
            <v>28000</v>
          </cell>
          <cell r="H53">
            <v>7280</v>
          </cell>
        </row>
        <row r="54">
          <cell r="A54" t="str">
            <v>02-02-060</v>
          </cell>
          <cell r="B54" t="str">
            <v>47111</v>
          </cell>
          <cell r="C54" t="str">
            <v>elementos de consumo y proteccion</v>
          </cell>
          <cell r="D54" t="str">
            <v>%</v>
          </cell>
          <cell r="E54">
            <v>11658.647163498548</v>
          </cell>
          <cell r="G54">
            <v>1.2455000000000001E-2</v>
          </cell>
          <cell r="H54">
            <v>145.20845042137444</v>
          </cell>
        </row>
        <row r="55">
          <cell r="A55" t="str">
            <v>02-02-060</v>
          </cell>
          <cell r="B55" t="str">
            <v>46111</v>
          </cell>
          <cell r="C55" t="str">
            <v>herramienta y equipo menor</v>
          </cell>
          <cell r="D55" t="str">
            <v>%</v>
          </cell>
          <cell r="E55">
            <v>11658.647163498548</v>
          </cell>
          <cell r="G55">
            <v>0.05</v>
          </cell>
          <cell r="H55">
            <v>582.93235817492746</v>
          </cell>
        </row>
        <row r="56">
          <cell r="A56">
            <v>0</v>
          </cell>
          <cell r="C56" t="str">
            <v>DIRECTO:  25274,0 / M2</v>
          </cell>
          <cell r="D56">
            <v>0</v>
          </cell>
          <cell r="G56">
            <v>0</v>
          </cell>
          <cell r="H56">
            <v>0</v>
          </cell>
        </row>
        <row r="57">
          <cell r="A57">
            <v>0</v>
          </cell>
          <cell r="B57" t="str">
            <v>03</v>
          </cell>
          <cell r="C57" t="str">
            <v>MOVIMIENTOS DE TIERRA</v>
          </cell>
          <cell r="D57">
            <v>0</v>
          </cell>
          <cell r="G57">
            <v>0</v>
          </cell>
          <cell r="H57">
            <v>0</v>
          </cell>
        </row>
        <row r="58">
          <cell r="A58" t="str">
            <v>03-01-210</v>
          </cell>
          <cell r="B58" t="str">
            <v>03-01-210</v>
          </cell>
          <cell r="C58" t="str">
            <v>EXCAVACION MANUAL O MECANICA EN TIERRA BAJO CUALQUIER GRADO DE HUMEDAD. INCLUYE ACARREO INTERNO, CARGUE, TRANSPORTE Y DISPOSICION FINAL DEL MATERIAL SOBRANTE EN BOTADEROS OFICIALES. MEDIDO EN SITIO</v>
          </cell>
          <cell r="D58" t="str">
            <v>M3</v>
          </cell>
          <cell r="E58">
            <v>10386.059823239999</v>
          </cell>
          <cell r="G58">
            <v>0</v>
          </cell>
          <cell r="H58">
            <v>52735.840872224362</v>
          </cell>
        </row>
        <row r="59">
          <cell r="A59" t="str">
            <v>03-01-210</v>
          </cell>
          <cell r="B59" t="str">
            <v>71111</v>
          </cell>
          <cell r="C59" t="str">
            <v>aux mo ayudante</v>
          </cell>
          <cell r="D59" t="str">
            <v>h</v>
          </cell>
          <cell r="E59">
            <v>1.3333333333333333</v>
          </cell>
          <cell r="G59">
            <v>5520.3076923076933</v>
          </cell>
          <cell r="H59">
            <v>7360.4102564102577</v>
          </cell>
        </row>
        <row r="60">
          <cell r="A60" t="str">
            <v>03-01-210</v>
          </cell>
          <cell r="B60" t="str">
            <v>2A461</v>
          </cell>
          <cell r="C60" t="str">
            <v>mo transporte interno de material proveniente de las excavaciones</v>
          </cell>
          <cell r="D60" t="str">
            <v>m3</v>
          </cell>
          <cell r="E60">
            <v>1</v>
          </cell>
          <cell r="F60">
            <v>0.3</v>
          </cell>
          <cell r="G60">
            <v>6165.5</v>
          </cell>
          <cell r="H60">
            <v>8015.1500000000005</v>
          </cell>
        </row>
        <row r="61">
          <cell r="A61" t="str">
            <v>03-01-210</v>
          </cell>
          <cell r="B61" t="str">
            <v>3A242</v>
          </cell>
          <cell r="C61" t="str">
            <v>subcontrato de cargue y botada de materiales varios</v>
          </cell>
          <cell r="D61" t="str">
            <v>m3</v>
          </cell>
          <cell r="E61">
            <v>1.3</v>
          </cell>
          <cell r="G61">
            <v>28000</v>
          </cell>
          <cell r="H61">
            <v>36400</v>
          </cell>
        </row>
        <row r="62">
          <cell r="A62" t="str">
            <v>03-01-210</v>
          </cell>
          <cell r="B62" t="str">
            <v>47111</v>
          </cell>
          <cell r="C62" t="str">
            <v>elementos de consumo y proteccion</v>
          </cell>
          <cell r="D62" t="str">
            <v>%</v>
          </cell>
          <cell r="E62">
            <v>15375.560256410259</v>
          </cell>
          <cell r="G62">
            <v>1.2455000000000001E-2</v>
          </cell>
          <cell r="H62">
            <v>191.50260299358979</v>
          </cell>
        </row>
        <row r="63">
          <cell r="A63" t="str">
            <v>03-01-210</v>
          </cell>
          <cell r="B63" t="str">
            <v>46111</v>
          </cell>
          <cell r="C63" t="str">
            <v>herramienta y equipo menor</v>
          </cell>
          <cell r="D63" t="str">
            <v>%</v>
          </cell>
          <cell r="E63">
            <v>15375.560256410259</v>
          </cell>
          <cell r="G63">
            <v>0.05</v>
          </cell>
          <cell r="H63">
            <v>768.77801282051303</v>
          </cell>
        </row>
        <row r="64">
          <cell r="A64">
            <v>0</v>
          </cell>
          <cell r="C64" t="str">
            <v>DIRECTO:  52736,0 / M3</v>
          </cell>
          <cell r="D64">
            <v>0</v>
          </cell>
          <cell r="G64">
            <v>0</v>
          </cell>
          <cell r="H64">
            <v>0</v>
          </cell>
        </row>
        <row r="65">
          <cell r="A65">
            <v>0</v>
          </cell>
          <cell r="C65">
            <v>0</v>
          </cell>
          <cell r="D65">
            <v>0</v>
          </cell>
          <cell r="G65">
            <v>0</v>
          </cell>
          <cell r="H65">
            <v>0</v>
          </cell>
        </row>
        <row r="66">
          <cell r="A66" t="str">
            <v>03-01-300</v>
          </cell>
          <cell r="B66" t="str">
            <v>03-01-300</v>
          </cell>
          <cell r="C66" t="str">
            <v>EXCAVACION MANUAL DE PILAS. INCLUYE VACIADO DE ANILLOS DE ENTIBADO, CARGUE, TRANSPORTE Y DISPOSICION FINAL DEL MATERIAL SOBRANTE EN BOTADEROS OFICIALES.</v>
          </cell>
          <cell r="D66" t="str">
            <v>M3</v>
          </cell>
          <cell r="E66">
            <v>1321.7002306899253</v>
          </cell>
          <cell r="G66">
            <v>0</v>
          </cell>
          <cell r="H66">
            <v>278581.124356065</v>
          </cell>
        </row>
        <row r="67">
          <cell r="A67" t="str">
            <v>03-01-300</v>
          </cell>
          <cell r="B67" t="str">
            <v>72132</v>
          </cell>
          <cell r="C67" t="str">
            <v>aux concreto 3000 psi (21.1 MPa) -obra- 3/4"</v>
          </cell>
          <cell r="D67" t="str">
            <v>m3</v>
          </cell>
          <cell r="E67">
            <v>0.28373061791252024</v>
          </cell>
          <cell r="F67">
            <v>0.1</v>
          </cell>
          <cell r="G67">
            <v>397371.06598046987</v>
          </cell>
          <cell r="H67">
            <v>124020.97190031513</v>
          </cell>
        </row>
        <row r="68">
          <cell r="A68" t="str">
            <v>03-01-300</v>
          </cell>
          <cell r="B68" t="str">
            <v>2B372</v>
          </cell>
          <cell r="C68" t="str">
            <v>mo vaciado anillos en pilas</v>
          </cell>
          <cell r="D68" t="str">
            <v>m3</v>
          </cell>
          <cell r="E68">
            <v>0.28373061791252024</v>
          </cell>
          <cell r="G68">
            <v>70000</v>
          </cell>
          <cell r="H68">
            <v>19861.143253876417</v>
          </cell>
        </row>
        <row r="69">
          <cell r="A69" t="str">
            <v>03-01-300</v>
          </cell>
          <cell r="B69" t="str">
            <v>74F24</v>
          </cell>
          <cell r="C69" t="str">
            <v>aux formaleta lateral para anillos pilas</v>
          </cell>
          <cell r="D69" t="str">
            <v>m2</v>
          </cell>
          <cell r="E69">
            <v>2.2599999999999998</v>
          </cell>
          <cell r="G69">
            <v>13738.466679956919</v>
          </cell>
          <cell r="H69">
            <v>31048.934696702632</v>
          </cell>
        </row>
        <row r="70">
          <cell r="A70" t="str">
            <v>03-01-300</v>
          </cell>
          <cell r="B70" t="str">
            <v>4411F</v>
          </cell>
          <cell r="C70" t="str">
            <v>molinetes con base y freno de mano</v>
          </cell>
          <cell r="D70" t="str">
            <v>d</v>
          </cell>
          <cell r="E70">
            <v>0.6</v>
          </cell>
          <cell r="G70">
            <v>2784</v>
          </cell>
          <cell r="H70">
            <v>1670.3999999999999</v>
          </cell>
        </row>
        <row r="71">
          <cell r="A71" t="str">
            <v>03-01-300</v>
          </cell>
          <cell r="B71" t="str">
            <v>2B311</v>
          </cell>
          <cell r="C71" t="str">
            <v>excavacion pilas 00-02 m</v>
          </cell>
          <cell r="D71" t="str">
            <v>m3</v>
          </cell>
          <cell r="E71">
            <v>0.13500000000000001</v>
          </cell>
          <cell r="G71">
            <v>21000</v>
          </cell>
          <cell r="H71">
            <v>2835</v>
          </cell>
        </row>
        <row r="72">
          <cell r="A72" t="str">
            <v>03-01-300</v>
          </cell>
          <cell r="B72" t="str">
            <v>2B312</v>
          </cell>
          <cell r="C72" t="str">
            <v>excavacion pilas 02-04 m</v>
          </cell>
          <cell r="D72" t="str">
            <v>m3</v>
          </cell>
          <cell r="E72">
            <v>0.13500000000000001</v>
          </cell>
          <cell r="G72">
            <v>29700</v>
          </cell>
          <cell r="H72">
            <v>4009.5000000000005</v>
          </cell>
        </row>
        <row r="73">
          <cell r="A73" t="str">
            <v>03-01-300</v>
          </cell>
          <cell r="B73" t="str">
            <v>2B313</v>
          </cell>
          <cell r="C73" t="str">
            <v>excavacion pilas 04-06 m</v>
          </cell>
          <cell r="D73" t="str">
            <v>m3</v>
          </cell>
          <cell r="E73">
            <v>0.13500000000000001</v>
          </cell>
          <cell r="G73">
            <v>39000</v>
          </cell>
          <cell r="H73">
            <v>5265</v>
          </cell>
        </row>
        <row r="74">
          <cell r="A74" t="str">
            <v>03-01-300</v>
          </cell>
          <cell r="B74" t="str">
            <v>2B314</v>
          </cell>
          <cell r="C74" t="str">
            <v>excavacion pilas 06-08 m</v>
          </cell>
          <cell r="D74" t="str">
            <v>m3</v>
          </cell>
          <cell r="E74">
            <v>0.13500000000000001</v>
          </cell>
          <cell r="G74">
            <v>48900</v>
          </cell>
          <cell r="H74">
            <v>6601.5</v>
          </cell>
        </row>
        <row r="75">
          <cell r="A75" t="str">
            <v>03-01-300</v>
          </cell>
          <cell r="B75" t="str">
            <v>2B315</v>
          </cell>
          <cell r="C75" t="str">
            <v>excavacion pilas 08-10 m</v>
          </cell>
          <cell r="D75" t="str">
            <v>m3</v>
          </cell>
          <cell r="E75">
            <v>0.13500000000000001</v>
          </cell>
          <cell r="G75">
            <v>59400</v>
          </cell>
          <cell r="H75">
            <v>8019.0000000000009</v>
          </cell>
        </row>
        <row r="76">
          <cell r="A76" t="str">
            <v>03-01-300</v>
          </cell>
          <cell r="B76" t="str">
            <v>2B316</v>
          </cell>
          <cell r="C76" t="str">
            <v>excavacion pilas 10-12 m</v>
          </cell>
          <cell r="D76" t="str">
            <v>m3</v>
          </cell>
          <cell r="E76">
            <v>0.13500000000000001</v>
          </cell>
          <cell r="G76">
            <v>70500</v>
          </cell>
          <cell r="H76">
            <v>9517.5</v>
          </cell>
        </row>
        <row r="77">
          <cell r="A77" t="str">
            <v>03-01-300</v>
          </cell>
          <cell r="B77" t="str">
            <v>2B317</v>
          </cell>
          <cell r="C77" t="str">
            <v>excavacion pilas 12-14 m</v>
          </cell>
          <cell r="D77" t="str">
            <v>m3</v>
          </cell>
          <cell r="E77">
            <v>0.13500000000000001</v>
          </cell>
          <cell r="G77">
            <v>82200</v>
          </cell>
          <cell r="H77">
            <v>11097</v>
          </cell>
        </row>
        <row r="78">
          <cell r="A78" t="str">
            <v>03-01-300</v>
          </cell>
          <cell r="B78" t="str">
            <v>2B318</v>
          </cell>
          <cell r="C78" t="str">
            <v>excavacion pilas 14-16 m</v>
          </cell>
          <cell r="D78" t="str">
            <v>m3</v>
          </cell>
          <cell r="E78">
            <v>5.5E-2</v>
          </cell>
          <cell r="G78">
            <v>94500</v>
          </cell>
          <cell r="H78">
            <v>5197.5</v>
          </cell>
        </row>
        <row r="79">
          <cell r="A79" t="str">
            <v>03-01-300</v>
          </cell>
          <cell r="B79" t="str">
            <v>2A461</v>
          </cell>
          <cell r="C79" t="str">
            <v>mo transporte interno de material proveniente de las excavaciones</v>
          </cell>
          <cell r="D79" t="str">
            <v>m3</v>
          </cell>
          <cell r="E79">
            <v>1</v>
          </cell>
          <cell r="F79">
            <v>0.3</v>
          </cell>
          <cell r="G79">
            <v>6165.5</v>
          </cell>
          <cell r="H79">
            <v>8015.1500000000005</v>
          </cell>
        </row>
        <row r="80">
          <cell r="A80" t="str">
            <v>03-01-300</v>
          </cell>
          <cell r="B80" t="str">
            <v>3A242</v>
          </cell>
          <cell r="C80" t="str">
            <v>subcontrato de cargue y botada de materiales varios</v>
          </cell>
          <cell r="D80" t="str">
            <v>m3</v>
          </cell>
          <cell r="E80">
            <v>1.3</v>
          </cell>
          <cell r="G80">
            <v>28000</v>
          </cell>
          <cell r="H80">
            <v>36400</v>
          </cell>
        </row>
        <row r="81">
          <cell r="A81" t="str">
            <v>03-01-300</v>
          </cell>
          <cell r="B81" t="str">
            <v>47111</v>
          </cell>
          <cell r="C81" t="str">
            <v>elementos de consumo y proteccion</v>
          </cell>
          <cell r="D81" t="str">
            <v>%</v>
          </cell>
          <cell r="E81">
            <v>80418.293253876414</v>
          </cell>
          <cell r="G81">
            <v>1.2455000000000001E-2</v>
          </cell>
          <cell r="H81">
            <v>1001.6098424770308</v>
          </cell>
        </row>
        <row r="82">
          <cell r="A82" t="str">
            <v>03-01-300</v>
          </cell>
          <cell r="B82" t="str">
            <v>46111</v>
          </cell>
          <cell r="C82" t="str">
            <v>herramienta y equipo menor</v>
          </cell>
          <cell r="D82" t="str">
            <v>%</v>
          </cell>
          <cell r="E82">
            <v>80418.293253876414</v>
          </cell>
          <cell r="G82">
            <v>0.05</v>
          </cell>
          <cell r="H82">
            <v>4020.9146626938209</v>
          </cell>
        </row>
        <row r="83">
          <cell r="A83">
            <v>0</v>
          </cell>
          <cell r="C83" t="str">
            <v>DIRECTO:  278582,0 / M3</v>
          </cell>
          <cell r="D83">
            <v>0</v>
          </cell>
          <cell r="G83">
            <v>0</v>
          </cell>
          <cell r="H83">
            <v>0</v>
          </cell>
        </row>
        <row r="84">
          <cell r="A84">
            <v>0</v>
          </cell>
          <cell r="C84">
            <v>0</v>
          </cell>
          <cell r="D84">
            <v>0</v>
          </cell>
          <cell r="G84">
            <v>0</v>
          </cell>
          <cell r="H84">
            <v>0</v>
          </cell>
        </row>
        <row r="85">
          <cell r="A85" t="str">
            <v>03-01-400</v>
          </cell>
          <cell r="B85" t="str">
            <v>03-01-400</v>
          </cell>
          <cell r="C85" t="str">
            <v>EXCAVACION MANUAL O MECANICA EN ROCA BAJO CUALQUIER GRADO DE HUMEDAD Y A CUALQUIER PROFUNDIDAD. INCLUYE ACARREO INTERNO, CARGUE, TRANSPORTE Y DISPOSICION FINAL DEL MATERIAL SOBRANTE EN BOTADEROS OFICIALES. MEDIDO EN SITIO</v>
          </cell>
          <cell r="D85" t="str">
            <v>M3</v>
          </cell>
          <cell r="E85">
            <v>721.1221649035939</v>
          </cell>
          <cell r="G85">
            <v>0</v>
          </cell>
          <cell r="H85">
            <v>242816.15490914744</v>
          </cell>
        </row>
        <row r="86">
          <cell r="A86" t="str">
            <v>03-01-400</v>
          </cell>
          <cell r="B86" t="str">
            <v>71111</v>
          </cell>
          <cell r="C86" t="str">
            <v>aux mo ayudante</v>
          </cell>
          <cell r="D86" t="str">
            <v>h</v>
          </cell>
          <cell r="E86">
            <v>5.333333333333333</v>
          </cell>
          <cell r="G86">
            <v>5520.3076923076933</v>
          </cell>
          <cell r="H86">
            <v>29441.641025641031</v>
          </cell>
        </row>
        <row r="87">
          <cell r="A87" t="str">
            <v>03-01-400</v>
          </cell>
          <cell r="B87" t="str">
            <v>1SKN4</v>
          </cell>
          <cell r="C87" t="str">
            <v>sika demoledor</v>
          </cell>
          <cell r="D87" t="str">
            <v>kg</v>
          </cell>
          <cell r="E87">
            <v>8</v>
          </cell>
          <cell r="G87">
            <v>19140</v>
          </cell>
          <cell r="H87">
            <v>153120</v>
          </cell>
        </row>
        <row r="88">
          <cell r="A88" t="str">
            <v>03-01-400</v>
          </cell>
          <cell r="B88" t="str">
            <v>3Z163</v>
          </cell>
          <cell r="C88" t="str">
            <v>subcontrato perforacion roca</v>
          </cell>
          <cell r="D88" t="str">
            <v>pul</v>
          </cell>
          <cell r="E88">
            <v>45</v>
          </cell>
          <cell r="G88">
            <v>300</v>
          </cell>
          <cell r="H88">
            <v>13500</v>
          </cell>
        </row>
        <row r="89">
          <cell r="A89" t="str">
            <v>03-01-400</v>
          </cell>
          <cell r="B89" t="str">
            <v>2A461</v>
          </cell>
          <cell r="C89" t="str">
            <v>mo transporte interno de material proveniente de las excavaciones</v>
          </cell>
          <cell r="D89" t="str">
            <v>m3</v>
          </cell>
          <cell r="E89">
            <v>1</v>
          </cell>
          <cell r="F89">
            <v>0.3</v>
          </cell>
          <cell r="G89">
            <v>6165.5</v>
          </cell>
          <cell r="H89">
            <v>8015.1500000000005</v>
          </cell>
        </row>
        <row r="90">
          <cell r="A90" t="str">
            <v>03-01-400</v>
          </cell>
          <cell r="B90" t="str">
            <v>3A242</v>
          </cell>
          <cell r="C90" t="str">
            <v>subcontrato de cargue y botada de materiales varios</v>
          </cell>
          <cell r="D90" t="str">
            <v>m3</v>
          </cell>
          <cell r="E90">
            <v>1.3</v>
          </cell>
          <cell r="G90">
            <v>28000</v>
          </cell>
          <cell r="H90">
            <v>36400</v>
          </cell>
        </row>
        <row r="91">
          <cell r="A91" t="str">
            <v>03-01-400</v>
          </cell>
          <cell r="B91" t="str">
            <v>47111</v>
          </cell>
          <cell r="C91" t="str">
            <v>elementos de consumo y proteccion</v>
          </cell>
          <cell r="D91" t="str">
            <v>%</v>
          </cell>
          <cell r="E91">
            <v>37456.791025641032</v>
          </cell>
          <cell r="G91">
            <v>1.2455000000000001E-2</v>
          </cell>
          <cell r="H91">
            <v>466.52433222435911</v>
          </cell>
        </row>
        <row r="92">
          <cell r="A92" t="str">
            <v>03-01-400</v>
          </cell>
          <cell r="B92" t="str">
            <v>46111</v>
          </cell>
          <cell r="C92" t="str">
            <v>herramienta y equipo menor</v>
          </cell>
          <cell r="D92" t="str">
            <v>%</v>
          </cell>
          <cell r="E92">
            <v>37456.791025641032</v>
          </cell>
          <cell r="G92">
            <v>0.05</v>
          </cell>
          <cell r="H92">
            <v>1872.8395512820516</v>
          </cell>
        </row>
        <row r="93">
          <cell r="A93">
            <v>0</v>
          </cell>
          <cell r="C93" t="str">
            <v>DIRECTO:  242817,0 / M3</v>
          </cell>
          <cell r="D93">
            <v>0</v>
          </cell>
          <cell r="G93">
            <v>0</v>
          </cell>
          <cell r="H93">
            <v>0</v>
          </cell>
        </row>
        <row r="94">
          <cell r="A94">
            <v>0</v>
          </cell>
          <cell r="C94">
            <v>0</v>
          </cell>
          <cell r="D94">
            <v>0</v>
          </cell>
          <cell r="G94">
            <v>0</v>
          </cell>
          <cell r="H94">
            <v>0</v>
          </cell>
        </row>
        <row r="95">
          <cell r="A95" t="str">
            <v>03-02-010</v>
          </cell>
          <cell r="B95" t="str">
            <v>03-02-010</v>
          </cell>
          <cell r="C95" t="str">
            <v>LLENOS COMPACTADOS EN ARENILLA ALREDEDOR DE ESTRUCTURAS. INCLUYE SUMINISTRO, TRANSPORTE INTERNO Y COMPACTACION.</v>
          </cell>
          <cell r="D95" t="str">
            <v>M3</v>
          </cell>
          <cell r="E95">
            <v>5834.0660192399992</v>
          </cell>
          <cell r="G95">
            <v>0</v>
          </cell>
          <cell r="H95">
            <v>72634.719710043733</v>
          </cell>
        </row>
        <row r="96">
          <cell r="A96" t="str">
            <v>03-02-010</v>
          </cell>
          <cell r="B96" t="str">
            <v>11218</v>
          </cell>
          <cell r="C96" t="str">
            <v>arenilla</v>
          </cell>
          <cell r="D96" t="str">
            <v>m3</v>
          </cell>
          <cell r="E96">
            <v>1</v>
          </cell>
          <cell r="F96">
            <v>0.3</v>
          </cell>
          <cell r="G96">
            <v>20474</v>
          </cell>
          <cell r="H96">
            <v>26616.2</v>
          </cell>
        </row>
        <row r="97">
          <cell r="A97" t="str">
            <v>03-02-010</v>
          </cell>
          <cell r="B97" t="str">
            <v>12911</v>
          </cell>
          <cell r="C97" t="str">
            <v>agua</v>
          </cell>
          <cell r="D97" t="str">
            <v>lt</v>
          </cell>
          <cell r="E97">
            <v>50</v>
          </cell>
          <cell r="G97">
            <v>1.3183400000000001</v>
          </cell>
          <cell r="H97">
            <v>65.917000000000002</v>
          </cell>
        </row>
        <row r="98">
          <cell r="A98" t="str">
            <v>03-02-010</v>
          </cell>
          <cell r="B98" t="str">
            <v>3A111</v>
          </cell>
          <cell r="C98" t="str">
            <v>ensayo de toma de densidades</v>
          </cell>
          <cell r="D98" t="str">
            <v>u</v>
          </cell>
          <cell r="E98">
            <v>1.1904761904761904E-2</v>
          </cell>
          <cell r="G98">
            <v>31493.999999999996</v>
          </cell>
          <cell r="H98">
            <v>374.92857142857139</v>
          </cell>
        </row>
        <row r="99">
          <cell r="A99" t="str">
            <v>03-02-010</v>
          </cell>
          <cell r="B99" t="str">
            <v>41321</v>
          </cell>
          <cell r="C99" t="str">
            <v>vibrocompactador (canguro)</v>
          </cell>
          <cell r="D99" t="str">
            <v>d</v>
          </cell>
          <cell r="E99">
            <v>0.2</v>
          </cell>
          <cell r="G99">
            <v>48720</v>
          </cell>
          <cell r="H99">
            <v>9744</v>
          </cell>
        </row>
        <row r="100">
          <cell r="A100" t="str">
            <v>03-02-010</v>
          </cell>
          <cell r="B100" t="str">
            <v>61213</v>
          </cell>
          <cell r="C100" t="str">
            <v>transporte a envigado</v>
          </cell>
          <cell r="D100" t="str">
            <v>t</v>
          </cell>
          <cell r="E100">
            <v>2.08</v>
          </cell>
          <cell r="G100">
            <v>8166.4</v>
          </cell>
          <cell r="H100">
            <v>16986.112000000001</v>
          </cell>
        </row>
        <row r="101">
          <cell r="A101" t="str">
            <v>03-02-010</v>
          </cell>
          <cell r="B101" t="str">
            <v>71111</v>
          </cell>
          <cell r="C101" t="str">
            <v>aux mo ayudante</v>
          </cell>
          <cell r="D101" t="str">
            <v>h</v>
          </cell>
          <cell r="E101">
            <v>1.5</v>
          </cell>
          <cell r="G101">
            <v>5520.3076923076933</v>
          </cell>
          <cell r="H101">
            <v>8280.461538461539</v>
          </cell>
        </row>
        <row r="102">
          <cell r="A102" t="str">
            <v>03-02-010</v>
          </cell>
          <cell r="B102" t="str">
            <v>2Z111</v>
          </cell>
          <cell r="C102" t="str">
            <v>mo transporte interno de material general</v>
          </cell>
          <cell r="D102" t="str">
            <v>m3</v>
          </cell>
          <cell r="E102">
            <v>1.3</v>
          </cell>
          <cell r="G102">
            <v>7276.2860000000001</v>
          </cell>
          <cell r="H102">
            <v>9459.1718000000001</v>
          </cell>
        </row>
        <row r="103">
          <cell r="A103" t="str">
            <v>03-02-010</v>
          </cell>
          <cell r="B103" t="str">
            <v>47111</v>
          </cell>
          <cell r="C103" t="str">
            <v>elementos de consumo y proteccion</v>
          </cell>
          <cell r="D103" t="str">
            <v>%</v>
          </cell>
          <cell r="E103">
            <v>17739.633338461539</v>
          </cell>
          <cell r="G103">
            <v>1.2455000000000001E-2</v>
          </cell>
          <cell r="H103">
            <v>220.9471332305385</v>
          </cell>
        </row>
        <row r="104">
          <cell r="A104" t="str">
            <v>03-02-010</v>
          </cell>
          <cell r="B104" t="str">
            <v>46111</v>
          </cell>
          <cell r="C104" t="str">
            <v>herramienta y equipo menor</v>
          </cell>
          <cell r="D104" t="str">
            <v>%</v>
          </cell>
          <cell r="E104">
            <v>17739.633338461539</v>
          </cell>
          <cell r="G104">
            <v>0.05</v>
          </cell>
          <cell r="H104">
            <v>886.981666923077</v>
          </cell>
        </row>
        <row r="105">
          <cell r="A105">
            <v>0</v>
          </cell>
          <cell r="C105" t="str">
            <v>DIRECTO:  72635,0 / M3</v>
          </cell>
          <cell r="D105">
            <v>0</v>
          </cell>
          <cell r="G105">
            <v>0</v>
          </cell>
          <cell r="H105">
            <v>0</v>
          </cell>
        </row>
        <row r="106">
          <cell r="A106">
            <v>0</v>
          </cell>
          <cell r="C106">
            <v>0</v>
          </cell>
          <cell r="D106">
            <v>0</v>
          </cell>
          <cell r="G106">
            <v>0</v>
          </cell>
          <cell r="H106">
            <v>0</v>
          </cell>
        </row>
        <row r="107">
          <cell r="A107" t="str">
            <v>03-04-020</v>
          </cell>
          <cell r="B107" t="str">
            <v>03-04-020</v>
          </cell>
          <cell r="C107" t="str">
            <v>MATERIAL GRANULAR PARA FILTRO 1" A 1-1/2"</v>
          </cell>
          <cell r="D107" t="str">
            <v>M3</v>
          </cell>
          <cell r="E107">
            <v>39.400680000000008</v>
          </cell>
          <cell r="G107">
            <v>0</v>
          </cell>
          <cell r="H107">
            <v>75952.886561893261</v>
          </cell>
        </row>
        <row r="108">
          <cell r="A108" t="str">
            <v>03-04-020</v>
          </cell>
          <cell r="B108" t="str">
            <v>11241</v>
          </cell>
          <cell r="C108" t="str">
            <v>triturado 1" a 1-1/2" para filtro</v>
          </cell>
          <cell r="D108" t="str">
            <v>m3</v>
          </cell>
          <cell r="E108">
            <v>1</v>
          </cell>
          <cell r="F108">
            <v>0.25</v>
          </cell>
          <cell r="G108">
            <v>33640</v>
          </cell>
          <cell r="H108">
            <v>42050</v>
          </cell>
        </row>
        <row r="109">
          <cell r="A109" t="str">
            <v>03-04-020</v>
          </cell>
          <cell r="B109" t="str">
            <v>61213</v>
          </cell>
          <cell r="C109" t="str">
            <v>transporte a envigado</v>
          </cell>
          <cell r="D109" t="str">
            <v>t</v>
          </cell>
          <cell r="E109">
            <v>2.25</v>
          </cell>
          <cell r="G109">
            <v>8166.4</v>
          </cell>
          <cell r="H109">
            <v>18374.399999999998</v>
          </cell>
        </row>
        <row r="110">
          <cell r="A110" t="str">
            <v>03-04-020</v>
          </cell>
          <cell r="B110" t="str">
            <v>71111</v>
          </cell>
          <cell r="C110" t="str">
            <v>aux mo ayudante</v>
          </cell>
          <cell r="D110" t="str">
            <v>h</v>
          </cell>
          <cell r="E110">
            <v>1</v>
          </cell>
          <cell r="G110">
            <v>5520.3076923076933</v>
          </cell>
          <cell r="H110">
            <v>5520.3076923076933</v>
          </cell>
        </row>
        <row r="111">
          <cell r="A111" t="str">
            <v>03-04-020</v>
          </cell>
          <cell r="B111" t="str">
            <v>2Z111</v>
          </cell>
          <cell r="C111" t="str">
            <v>mo transporte interno de material general</v>
          </cell>
          <cell r="D111" t="str">
            <v>m3</v>
          </cell>
          <cell r="E111">
            <v>1.25</v>
          </cell>
          <cell r="G111">
            <v>7276.2860000000001</v>
          </cell>
          <cell r="H111">
            <v>9095.3575000000001</v>
          </cell>
        </row>
        <row r="112">
          <cell r="A112" t="str">
            <v>03-04-020</v>
          </cell>
          <cell r="B112" t="str">
            <v>47111</v>
          </cell>
          <cell r="C112" t="str">
            <v>elementos de consumo y proteccion</v>
          </cell>
          <cell r="D112" t="str">
            <v>%</v>
          </cell>
          <cell r="E112">
            <v>14615.665192307693</v>
          </cell>
          <cell r="G112">
            <v>1.2455000000000001E-2</v>
          </cell>
          <cell r="H112">
            <v>182.03810997019232</v>
          </cell>
        </row>
        <row r="113">
          <cell r="A113" t="str">
            <v>03-04-020</v>
          </cell>
          <cell r="B113" t="str">
            <v>46111</v>
          </cell>
          <cell r="C113" t="str">
            <v>herramienta y equipo menor</v>
          </cell>
          <cell r="D113" t="str">
            <v>%</v>
          </cell>
          <cell r="E113">
            <v>14615.665192307693</v>
          </cell>
          <cell r="G113">
            <v>0.05</v>
          </cell>
          <cell r="H113">
            <v>730.78325961538474</v>
          </cell>
        </row>
        <row r="114">
          <cell r="A114">
            <v>0</v>
          </cell>
          <cell r="C114" t="str">
            <v>DIRECTO:  75953,0 / M3</v>
          </cell>
          <cell r="D114">
            <v>0</v>
          </cell>
          <cell r="G114">
            <v>0</v>
          </cell>
          <cell r="H114">
            <v>0</v>
          </cell>
        </row>
        <row r="115">
          <cell r="A115">
            <v>0</v>
          </cell>
          <cell r="C115">
            <v>0</v>
          </cell>
          <cell r="D115">
            <v>0</v>
          </cell>
          <cell r="G115">
            <v>0</v>
          </cell>
          <cell r="H115">
            <v>0</v>
          </cell>
        </row>
        <row r="116">
          <cell r="A116" t="str">
            <v>03-04-045</v>
          </cell>
          <cell r="B116" t="str">
            <v>03-04-045</v>
          </cell>
          <cell r="C116" t="str">
            <v>TUBERIA PVC Ø2" PERFORADA PARA LLORADEROS</v>
          </cell>
          <cell r="D116" t="str">
            <v>M</v>
          </cell>
          <cell r="E116">
            <v>678.7</v>
          </cell>
          <cell r="G116">
            <v>0</v>
          </cell>
          <cell r="H116">
            <v>88681.164390052552</v>
          </cell>
        </row>
        <row r="117">
          <cell r="A117" t="str">
            <v>03-04-045</v>
          </cell>
          <cell r="B117" t="str">
            <v>1HSC3</v>
          </cell>
          <cell r="C117" t="str">
            <v>tuberia pvc presion ø2" rde 21</v>
          </cell>
          <cell r="D117" t="str">
            <v>u</v>
          </cell>
          <cell r="E117">
            <v>1</v>
          </cell>
          <cell r="F117">
            <v>0.05</v>
          </cell>
          <cell r="G117">
            <v>78925.239999999991</v>
          </cell>
          <cell r="H117">
            <v>82871.501999999993</v>
          </cell>
        </row>
        <row r="118">
          <cell r="A118" t="str">
            <v>03-04-045</v>
          </cell>
          <cell r="B118" t="str">
            <v>1PVE5</v>
          </cell>
          <cell r="C118" t="str">
            <v>geotextil tr 4000</v>
          </cell>
          <cell r="D118" t="str">
            <v>m2</v>
          </cell>
          <cell r="E118">
            <v>3.9269908169872417E-3</v>
          </cell>
          <cell r="F118">
            <v>0.2</v>
          </cell>
          <cell r="G118">
            <v>9001.5999999999985</v>
          </cell>
          <cell r="H118">
            <v>42.419040645830819</v>
          </cell>
        </row>
        <row r="119">
          <cell r="A119" t="str">
            <v>03-04-045</v>
          </cell>
          <cell r="B119" t="str">
            <v>2C111</v>
          </cell>
          <cell r="C119" t="str">
            <v>mo cuadrilla (1 of + 1 ay)</v>
          </cell>
          <cell r="D119" t="str">
            <v>d</v>
          </cell>
          <cell r="E119">
            <v>0.05</v>
          </cell>
          <cell r="G119">
            <v>108564.47283709361</v>
          </cell>
          <cell r="H119">
            <v>5428.2236418546809</v>
          </cell>
        </row>
        <row r="120">
          <cell r="A120" t="str">
            <v>03-04-045</v>
          </cell>
          <cell r="B120" t="str">
            <v>47111</v>
          </cell>
          <cell r="C120" t="str">
            <v>elementos de consumo y proteccion</v>
          </cell>
          <cell r="D120" t="str">
            <v>%</v>
          </cell>
          <cell r="E120">
            <v>5428.2236418546809</v>
          </cell>
          <cell r="G120">
            <v>1.2455000000000001E-2</v>
          </cell>
          <cell r="H120">
            <v>67.608525459300054</v>
          </cell>
        </row>
        <row r="121">
          <cell r="A121" t="str">
            <v>03-04-045</v>
          </cell>
          <cell r="B121" t="str">
            <v>46111</v>
          </cell>
          <cell r="C121" t="str">
            <v>herramienta y equipo menor</v>
          </cell>
          <cell r="D121" t="str">
            <v>%</v>
          </cell>
          <cell r="E121">
            <v>5428.2236418546809</v>
          </cell>
          <cell r="G121">
            <v>0.05</v>
          </cell>
          <cell r="H121">
            <v>271.41118209273407</v>
          </cell>
        </row>
        <row r="122">
          <cell r="A122">
            <v>0</v>
          </cell>
          <cell r="C122" t="str">
            <v>DIRECTO:  88682,0 / M</v>
          </cell>
          <cell r="D122">
            <v>0</v>
          </cell>
          <cell r="G122">
            <v>0</v>
          </cell>
          <cell r="H122">
            <v>0</v>
          </cell>
        </row>
        <row r="123">
          <cell r="A123">
            <v>0</v>
          </cell>
          <cell r="C123">
            <v>0</v>
          </cell>
          <cell r="D123">
            <v>0</v>
          </cell>
          <cell r="G123">
            <v>0</v>
          </cell>
          <cell r="H123">
            <v>0</v>
          </cell>
        </row>
        <row r="124">
          <cell r="A124" t="str">
            <v>03-04-055</v>
          </cell>
          <cell r="B124" t="str">
            <v>03-04-055</v>
          </cell>
          <cell r="C124" t="str">
            <v>CUNETA EN "V" VACIADA EN CONCRETO A: 1.10 M E: 0.10 M</v>
          </cell>
          <cell r="D124" t="str">
            <v>M</v>
          </cell>
          <cell r="E124">
            <v>1795.2</v>
          </cell>
          <cell r="G124">
            <v>0</v>
          </cell>
          <cell r="H124">
            <v>79720.05098750873</v>
          </cell>
        </row>
        <row r="125">
          <cell r="A125" t="str">
            <v>03-04-055</v>
          </cell>
          <cell r="B125" t="str">
            <v>72132</v>
          </cell>
          <cell r="C125" t="str">
            <v>aux concreto 3000 psi (21.1 MPa) -obra- 3/4"</v>
          </cell>
          <cell r="D125" t="str">
            <v>m3</v>
          </cell>
          <cell r="E125">
            <v>0.13174</v>
          </cell>
          <cell r="F125">
            <v>0.1</v>
          </cell>
          <cell r="G125">
            <v>397371.06598046987</v>
          </cell>
          <cell r="H125">
            <v>57584.630655493813</v>
          </cell>
        </row>
        <row r="126">
          <cell r="A126" t="str">
            <v>03-04-055</v>
          </cell>
          <cell r="B126" t="str">
            <v>11241</v>
          </cell>
          <cell r="C126" t="str">
            <v>triturado 1" a 1-1/2" para filtro</v>
          </cell>
          <cell r="D126" t="str">
            <v>m3</v>
          </cell>
          <cell r="E126">
            <v>0.10700000000000001</v>
          </cell>
          <cell r="F126">
            <v>0.3</v>
          </cell>
          <cell r="G126">
            <v>33640</v>
          </cell>
          <cell r="H126">
            <v>4679.3240000000005</v>
          </cell>
        </row>
        <row r="127">
          <cell r="A127" t="str">
            <v>03-04-055</v>
          </cell>
          <cell r="B127" t="str">
            <v>18Z15</v>
          </cell>
          <cell r="C127" t="str">
            <v>tabla madera comun 1 x 8" 3m</v>
          </cell>
          <cell r="D127" t="str">
            <v>u</v>
          </cell>
          <cell r="E127">
            <v>0.5</v>
          </cell>
          <cell r="G127">
            <v>9280</v>
          </cell>
          <cell r="H127">
            <v>4640</v>
          </cell>
        </row>
        <row r="128">
          <cell r="A128" t="str">
            <v>03-04-055</v>
          </cell>
          <cell r="B128" t="str">
            <v>2C111</v>
          </cell>
          <cell r="C128" t="str">
            <v>mo cuadrilla (1 of + 1 ay)</v>
          </cell>
          <cell r="D128" t="str">
            <v>d</v>
          </cell>
          <cell r="E128">
            <v>0.1111111111111111</v>
          </cell>
          <cell r="G128">
            <v>108564.47283709361</v>
          </cell>
          <cell r="H128">
            <v>12062.719204121511</v>
          </cell>
        </row>
        <row r="129">
          <cell r="A129" t="str">
            <v>03-04-055</v>
          </cell>
          <cell r="B129" t="str">
            <v>47111</v>
          </cell>
          <cell r="C129" t="str">
            <v>elementos de consumo y proteccion</v>
          </cell>
          <cell r="D129" t="str">
            <v>%</v>
          </cell>
          <cell r="E129">
            <v>12062.719204121511</v>
          </cell>
          <cell r="G129">
            <v>1.2455000000000001E-2</v>
          </cell>
          <cell r="H129">
            <v>150.24116768733344</v>
          </cell>
        </row>
        <row r="130">
          <cell r="A130" t="str">
            <v>03-04-055</v>
          </cell>
          <cell r="B130" t="str">
            <v>46111</v>
          </cell>
          <cell r="C130" t="str">
            <v>herramienta y equipo menor</v>
          </cell>
          <cell r="D130" t="str">
            <v>%</v>
          </cell>
          <cell r="E130">
            <v>12062.719204121511</v>
          </cell>
          <cell r="G130">
            <v>0.05</v>
          </cell>
          <cell r="H130">
            <v>603.13596020607554</v>
          </cell>
        </row>
        <row r="131">
          <cell r="A131">
            <v>0</v>
          </cell>
          <cell r="C131" t="str">
            <v>DIRECTO:  79721,0 / M</v>
          </cell>
          <cell r="D131">
            <v>0</v>
          </cell>
          <cell r="G131">
            <v>0</v>
          </cell>
          <cell r="H131">
            <v>0</v>
          </cell>
        </row>
        <row r="132">
          <cell r="A132">
            <v>0</v>
          </cell>
          <cell r="C132">
            <v>0</v>
          </cell>
          <cell r="D132">
            <v>0</v>
          </cell>
          <cell r="G132">
            <v>0</v>
          </cell>
          <cell r="H132">
            <v>0</v>
          </cell>
        </row>
        <row r="133">
          <cell r="A133" t="str">
            <v>03-04-065</v>
          </cell>
          <cell r="B133" t="str">
            <v>03-04-065</v>
          </cell>
          <cell r="C133" t="str">
            <v>GEODREN VIAL PAVCO, TB 100 MM 1.0 M O EQUIVALENTE</v>
          </cell>
          <cell r="D133" t="str">
            <v>M</v>
          </cell>
          <cell r="E133">
            <v>548.63600000000008</v>
          </cell>
          <cell r="G133">
            <v>0</v>
          </cell>
          <cell r="H133">
            <v>40813.287404822011</v>
          </cell>
        </row>
        <row r="134">
          <cell r="A134" t="str">
            <v>03-04-065</v>
          </cell>
          <cell r="B134" t="str">
            <v>1PVZ7</v>
          </cell>
          <cell r="C134" t="str">
            <v>geodren vial pavco, tb 100 mm 1.0 m. incluye tuberia de ø4"</v>
          </cell>
          <cell r="D134" t="str">
            <v>m</v>
          </cell>
          <cell r="E134">
            <v>1</v>
          </cell>
          <cell r="F134">
            <v>0.02</v>
          </cell>
          <cell r="G134">
            <v>38241.719999999994</v>
          </cell>
          <cell r="H134">
            <v>39006.554399999994</v>
          </cell>
        </row>
        <row r="135">
          <cell r="A135" t="str">
            <v>03-04-065</v>
          </cell>
          <cell r="B135" t="str">
            <v>18Z23</v>
          </cell>
          <cell r="C135" t="str">
            <v>nylon</v>
          </cell>
          <cell r="D135" t="str">
            <v>m</v>
          </cell>
          <cell r="E135">
            <v>0.5</v>
          </cell>
          <cell r="G135">
            <v>60.319999999999993</v>
          </cell>
          <cell r="H135">
            <v>30.159999999999997</v>
          </cell>
        </row>
        <row r="136">
          <cell r="A136" t="str">
            <v>03-04-065</v>
          </cell>
          <cell r="B136" t="str">
            <v>15431</v>
          </cell>
          <cell r="C136" t="str">
            <v>clavo acero liso 1"</v>
          </cell>
          <cell r="D136" t="str">
            <v>lb</v>
          </cell>
          <cell r="E136">
            <v>0.01</v>
          </cell>
          <cell r="G136">
            <v>4640</v>
          </cell>
          <cell r="H136">
            <v>46.4</v>
          </cell>
        </row>
        <row r="137">
          <cell r="A137" t="str">
            <v>03-04-065</v>
          </cell>
          <cell r="B137" t="str">
            <v>2C111</v>
          </cell>
          <cell r="C137" t="str">
            <v>mo cuadrilla (1 of + 1 ay)</v>
          </cell>
          <cell r="D137" t="str">
            <v>d</v>
          </cell>
          <cell r="E137">
            <v>1.4999999999999999E-2</v>
          </cell>
          <cell r="G137">
            <v>108564.47283709361</v>
          </cell>
          <cell r="H137">
            <v>1628.4670925564039</v>
          </cell>
        </row>
        <row r="138">
          <cell r="A138" t="str">
            <v>03-04-065</v>
          </cell>
          <cell r="B138" t="str">
            <v>47111</v>
          </cell>
          <cell r="C138" t="str">
            <v>elementos de consumo y proteccion</v>
          </cell>
          <cell r="D138" t="str">
            <v>%</v>
          </cell>
          <cell r="E138">
            <v>1628.4670925564039</v>
          </cell>
          <cell r="G138">
            <v>1.2455000000000001E-2</v>
          </cell>
          <cell r="H138">
            <v>20.282557637790013</v>
          </cell>
        </row>
        <row r="139">
          <cell r="A139" t="str">
            <v>03-04-065</v>
          </cell>
          <cell r="B139" t="str">
            <v>46111</v>
          </cell>
          <cell r="C139" t="str">
            <v>herramienta y equipo menor</v>
          </cell>
          <cell r="D139" t="str">
            <v>%</v>
          </cell>
          <cell r="E139">
            <v>1628.4670925564039</v>
          </cell>
          <cell r="G139">
            <v>0.05</v>
          </cell>
          <cell r="H139">
            <v>81.423354627820203</v>
          </cell>
        </row>
        <row r="140">
          <cell r="A140">
            <v>0</v>
          </cell>
          <cell r="C140" t="str">
            <v>DIRECTO:  40814,0 / M</v>
          </cell>
          <cell r="D140">
            <v>0</v>
          </cell>
          <cell r="G140">
            <v>0</v>
          </cell>
          <cell r="H140">
            <v>0</v>
          </cell>
        </row>
        <row r="141">
          <cell r="A141">
            <v>0</v>
          </cell>
          <cell r="C141">
            <v>0</v>
          </cell>
          <cell r="D141">
            <v>0</v>
          </cell>
          <cell r="G141">
            <v>0</v>
          </cell>
          <cell r="H141">
            <v>0</v>
          </cell>
        </row>
        <row r="142">
          <cell r="A142" t="str">
            <v>03-04-070</v>
          </cell>
          <cell r="B142" t="str">
            <v>03-04-070</v>
          </cell>
          <cell r="C142" t="str">
            <v>GEODREN PLANAR PAVCO 1.0 M O EQUIVALENTE</v>
          </cell>
          <cell r="D142" t="str">
            <v>M2</v>
          </cell>
          <cell r="E142">
            <v>2395.6245459240859</v>
          </cell>
          <cell r="G142">
            <v>0</v>
          </cell>
          <cell r="H142">
            <v>27867.190837351678</v>
          </cell>
        </row>
        <row r="143">
          <cell r="A143" t="str">
            <v>03-04-070</v>
          </cell>
          <cell r="B143" t="str">
            <v>1PVZ5</v>
          </cell>
          <cell r="C143" t="str">
            <v>geodren planar 1.0 m</v>
          </cell>
          <cell r="D143" t="str">
            <v>m2</v>
          </cell>
          <cell r="E143">
            <v>1</v>
          </cell>
          <cell r="F143">
            <v>0.05</v>
          </cell>
          <cell r="G143">
            <v>25021.199999999997</v>
          </cell>
          <cell r="H143">
            <v>26272.26</v>
          </cell>
        </row>
        <row r="144">
          <cell r="A144" t="str">
            <v>03-04-070</v>
          </cell>
          <cell r="B144" t="str">
            <v>18Z23</v>
          </cell>
          <cell r="C144" t="str">
            <v>nylon</v>
          </cell>
          <cell r="D144" t="str">
            <v>m</v>
          </cell>
          <cell r="E144">
            <v>1</v>
          </cell>
          <cell r="G144">
            <v>60.319999999999993</v>
          </cell>
          <cell r="H144">
            <v>60.319999999999993</v>
          </cell>
        </row>
        <row r="145">
          <cell r="A145" t="str">
            <v>03-04-070</v>
          </cell>
          <cell r="B145" t="str">
            <v>15431</v>
          </cell>
          <cell r="C145" t="str">
            <v>clavo acero liso 1"</v>
          </cell>
          <cell r="D145" t="str">
            <v>lb</v>
          </cell>
          <cell r="E145">
            <v>0.02</v>
          </cell>
          <cell r="G145">
            <v>4640</v>
          </cell>
          <cell r="H145">
            <v>92.8</v>
          </cell>
        </row>
        <row r="146">
          <cell r="A146" t="str">
            <v>03-04-070</v>
          </cell>
          <cell r="B146" t="str">
            <v>2C111</v>
          </cell>
          <cell r="C146" t="str">
            <v>mo cuadrilla (1 of + 1 ay)</v>
          </cell>
          <cell r="D146" t="str">
            <v>d</v>
          </cell>
          <cell r="E146">
            <v>1.2500000000000001E-2</v>
          </cell>
          <cell r="G146">
            <v>108564.47283709361</v>
          </cell>
          <cell r="H146">
            <v>1357.0559104636702</v>
          </cell>
        </row>
        <row r="147">
          <cell r="A147" t="str">
            <v>03-04-070</v>
          </cell>
          <cell r="B147" t="str">
            <v>47111</v>
          </cell>
          <cell r="C147" t="str">
            <v>elementos de consumo y proteccion</v>
          </cell>
          <cell r="D147" t="str">
            <v>%</v>
          </cell>
          <cell r="E147">
            <v>1357.0559104636702</v>
          </cell>
          <cell r="G147">
            <v>1.2455000000000001E-2</v>
          </cell>
          <cell r="H147">
            <v>16.902131364825014</v>
          </cell>
        </row>
        <row r="148">
          <cell r="A148" t="str">
            <v>03-04-070</v>
          </cell>
          <cell r="B148" t="str">
            <v>46111</v>
          </cell>
          <cell r="C148" t="str">
            <v>herramienta y equipo menor</v>
          </cell>
          <cell r="D148" t="str">
            <v>%</v>
          </cell>
          <cell r="E148">
            <v>1357.0559104636702</v>
          </cell>
          <cell r="G148">
            <v>0.05</v>
          </cell>
          <cell r="H148">
            <v>67.852795523183516</v>
          </cell>
        </row>
        <row r="149">
          <cell r="A149">
            <v>0</v>
          </cell>
          <cell r="C149" t="str">
            <v>DIRECTO:  27868,0 / M2</v>
          </cell>
          <cell r="D149">
            <v>0</v>
          </cell>
          <cell r="G149">
            <v>0</v>
          </cell>
          <cell r="H149">
            <v>0</v>
          </cell>
        </row>
        <row r="150">
          <cell r="A150">
            <v>0</v>
          </cell>
          <cell r="B150" t="str">
            <v>04</v>
          </cell>
          <cell r="C150" t="str">
            <v>CONCRETOS ESTRUCTURALES</v>
          </cell>
          <cell r="D150">
            <v>0</v>
          </cell>
          <cell r="G150">
            <v>0</v>
          </cell>
          <cell r="H150">
            <v>0</v>
          </cell>
        </row>
        <row r="151">
          <cell r="A151" t="str">
            <v>04-01-010</v>
          </cell>
          <cell r="B151" t="str">
            <v>04-01-010</v>
          </cell>
          <cell r="C151" t="str">
            <v>VACIADO DE PILAS EN CONCRETO F'C 21 MPA</v>
          </cell>
          <cell r="D151" t="str">
            <v>M3</v>
          </cell>
          <cell r="E151">
            <v>865.87320081180451</v>
          </cell>
          <cell r="G151">
            <v>0</v>
          </cell>
          <cell r="H151">
            <v>406247.98178510572</v>
          </cell>
        </row>
        <row r="152">
          <cell r="A152" t="str">
            <v>04-01-010</v>
          </cell>
          <cell r="B152" t="str">
            <v>12133</v>
          </cell>
          <cell r="C152" t="str">
            <v>concreto tipo bombeo 21 mpa, (3000 psi) 1"</v>
          </cell>
          <cell r="D152" t="str">
            <v>m3</v>
          </cell>
          <cell r="E152">
            <v>1</v>
          </cell>
          <cell r="F152">
            <v>0.05</v>
          </cell>
          <cell r="G152">
            <v>303848.07999999996</v>
          </cell>
          <cell r="H152">
            <v>319040.484</v>
          </cell>
        </row>
        <row r="153">
          <cell r="A153" t="str">
            <v>04-01-010</v>
          </cell>
          <cell r="B153" t="str">
            <v>12137</v>
          </cell>
          <cell r="C153" t="str">
            <v>servicio de bombeo</v>
          </cell>
          <cell r="D153" t="str">
            <v>m3</v>
          </cell>
          <cell r="E153">
            <v>1.05</v>
          </cell>
          <cell r="F153">
            <v>0.05</v>
          </cell>
          <cell r="G153">
            <v>46400</v>
          </cell>
          <cell r="H153">
            <v>51156</v>
          </cell>
        </row>
        <row r="154">
          <cell r="A154" t="str">
            <v>04-01-010</v>
          </cell>
          <cell r="B154" t="str">
            <v>3A112</v>
          </cell>
          <cell r="C154" t="str">
            <v>ensayo de resistencia de cilindros a la compresion</v>
          </cell>
          <cell r="D154" t="str">
            <v>u</v>
          </cell>
          <cell r="E154">
            <v>0.24</v>
          </cell>
          <cell r="G154">
            <v>8758</v>
          </cell>
          <cell r="H154">
            <v>2101.92</v>
          </cell>
        </row>
        <row r="155">
          <cell r="A155" t="str">
            <v>04-01-010</v>
          </cell>
          <cell r="B155" t="str">
            <v>44121</v>
          </cell>
          <cell r="C155" t="str">
            <v>vibrador electrico para concreto</v>
          </cell>
          <cell r="D155" t="str">
            <v>d</v>
          </cell>
          <cell r="E155">
            <v>7.1428571428571425E-2</v>
          </cell>
          <cell r="G155">
            <v>39440</v>
          </cell>
          <cell r="H155">
            <v>2817.1428571428569</v>
          </cell>
        </row>
        <row r="156">
          <cell r="A156" t="str">
            <v>04-01-010</v>
          </cell>
          <cell r="B156" t="str">
            <v>2C115</v>
          </cell>
          <cell r="C156" t="str">
            <v>mo cuadrilla (3 of + 5 ay)</v>
          </cell>
          <cell r="D156" t="str">
            <v>d</v>
          </cell>
          <cell r="E156">
            <v>7.1428571428571425E-2</v>
          </cell>
          <cell r="G156">
            <v>410232.98774205009</v>
          </cell>
          <cell r="H156">
            <v>29302.356267289291</v>
          </cell>
        </row>
        <row r="157">
          <cell r="A157" t="str">
            <v>04-01-010</v>
          </cell>
          <cell r="B157" t="str">
            <v>47111</v>
          </cell>
          <cell r="C157" t="str">
            <v>elementos de consumo y proteccion</v>
          </cell>
          <cell r="D157" t="str">
            <v>%</v>
          </cell>
          <cell r="E157">
            <v>29302.356267289291</v>
          </cell>
          <cell r="G157">
            <v>1.2455000000000001E-2</v>
          </cell>
          <cell r="H157">
            <v>364.96084730908814</v>
          </cell>
        </row>
        <row r="158">
          <cell r="A158" t="str">
            <v>04-01-010</v>
          </cell>
          <cell r="B158" t="str">
            <v>46111</v>
          </cell>
          <cell r="C158" t="str">
            <v>herramienta y equipo menor</v>
          </cell>
          <cell r="D158" t="str">
            <v>%</v>
          </cell>
          <cell r="E158">
            <v>29302.356267289291</v>
          </cell>
          <cell r="G158">
            <v>0.05</v>
          </cell>
          <cell r="H158">
            <v>1465.1178133644646</v>
          </cell>
        </row>
        <row r="159">
          <cell r="A159">
            <v>0</v>
          </cell>
          <cell r="C159" t="str">
            <v>DIRECTO:  406248,0 / M3</v>
          </cell>
          <cell r="D159">
            <v>0</v>
          </cell>
          <cell r="E159" t="str">
            <v xml:space="preserve">  </v>
          </cell>
          <cell r="G159">
            <v>0</v>
          </cell>
          <cell r="H159">
            <v>0</v>
          </cell>
        </row>
        <row r="160">
          <cell r="A160">
            <v>0</v>
          </cell>
          <cell r="C160">
            <v>0</v>
          </cell>
          <cell r="D160">
            <v>0</v>
          </cell>
          <cell r="G160">
            <v>0</v>
          </cell>
          <cell r="H160">
            <v>0</v>
          </cell>
        </row>
        <row r="161">
          <cell r="A161" t="str">
            <v>04-02-010</v>
          </cell>
          <cell r="B161" t="str">
            <v>04-02-010</v>
          </cell>
          <cell r="C161" t="str">
            <v>CONCRETO F'C 21 MPa PARA MUROS DE CONTENCION</v>
          </cell>
          <cell r="D161" t="str">
            <v>M3</v>
          </cell>
          <cell r="E161">
            <v>915.13893625000014</v>
          </cell>
          <cell r="G161">
            <v>0</v>
          </cell>
          <cell r="H161">
            <v>620845.84059027617</v>
          </cell>
        </row>
        <row r="162">
          <cell r="A162" t="str">
            <v>04-02-010</v>
          </cell>
          <cell r="B162" t="str">
            <v>12133</v>
          </cell>
          <cell r="C162" t="str">
            <v>concreto tipo bombeo 21 mpa, (3000 psi) 1"</v>
          </cell>
          <cell r="D162" t="str">
            <v>m3</v>
          </cell>
          <cell r="E162">
            <v>1</v>
          </cell>
          <cell r="F162">
            <v>0.05</v>
          </cell>
          <cell r="G162">
            <v>303848.07999999996</v>
          </cell>
          <cell r="H162">
            <v>319040.484</v>
          </cell>
        </row>
        <row r="163">
          <cell r="A163" t="str">
            <v>04-02-010</v>
          </cell>
          <cell r="B163" t="str">
            <v>12137</v>
          </cell>
          <cell r="C163" t="str">
            <v>servicio de bombeo</v>
          </cell>
          <cell r="D163" t="str">
            <v>m3</v>
          </cell>
          <cell r="E163">
            <v>1.05</v>
          </cell>
          <cell r="G163">
            <v>46400</v>
          </cell>
          <cell r="H163">
            <v>48720</v>
          </cell>
        </row>
        <row r="164">
          <cell r="A164" t="str">
            <v>04-02-010</v>
          </cell>
          <cell r="B164" t="str">
            <v>3A112</v>
          </cell>
          <cell r="C164" t="str">
            <v>ensayo de resistencia de cilindros a la compresion</v>
          </cell>
          <cell r="D164" t="str">
            <v>u</v>
          </cell>
          <cell r="E164">
            <v>0.24</v>
          </cell>
          <cell r="G164">
            <v>8758</v>
          </cell>
          <cell r="H164">
            <v>2101.92</v>
          </cell>
        </row>
        <row r="165">
          <cell r="A165" t="str">
            <v>04-02-010</v>
          </cell>
          <cell r="B165" t="str">
            <v>18Z21</v>
          </cell>
          <cell r="C165" t="str">
            <v>triplex formaleta 1.53x2.44m x 19mm verde (6 usos)</v>
          </cell>
          <cell r="D165" t="str">
            <v>u</v>
          </cell>
          <cell r="E165">
            <v>0.18751000000000001</v>
          </cell>
          <cell r="G165">
            <v>137924</v>
          </cell>
          <cell r="H165">
            <v>25862.129240000002</v>
          </cell>
        </row>
        <row r="166">
          <cell r="A166" t="str">
            <v>04-02-010</v>
          </cell>
          <cell r="B166" t="str">
            <v>18Z16</v>
          </cell>
          <cell r="C166" t="str">
            <v>larguero madera comun 2"x4" de 3m</v>
          </cell>
          <cell r="D166" t="str">
            <v>u</v>
          </cell>
          <cell r="E166">
            <v>3.9285700000000001</v>
          </cell>
          <cell r="G166">
            <v>6959.9999999999991</v>
          </cell>
          <cell r="H166">
            <v>27342.847199999997</v>
          </cell>
        </row>
        <row r="167">
          <cell r="A167" t="str">
            <v>04-02-010</v>
          </cell>
          <cell r="B167" t="str">
            <v>15421</v>
          </cell>
          <cell r="C167" t="str">
            <v>clavo corriente 1-1/2" a 5"</v>
          </cell>
          <cell r="D167" t="str">
            <v>lb</v>
          </cell>
          <cell r="E167">
            <v>1</v>
          </cell>
          <cell r="G167">
            <v>1624</v>
          </cell>
          <cell r="H167">
            <v>1624</v>
          </cell>
        </row>
        <row r="168">
          <cell r="A168" t="str">
            <v>04-02-010</v>
          </cell>
          <cell r="B168" t="str">
            <v>15231</v>
          </cell>
          <cell r="C168" t="str">
            <v>alambre recocido (alambre cal 18)</v>
          </cell>
          <cell r="D168" t="str">
            <v>kg</v>
          </cell>
          <cell r="E168">
            <v>2</v>
          </cell>
          <cell r="G168">
            <v>2900</v>
          </cell>
          <cell r="H168">
            <v>5800</v>
          </cell>
        </row>
        <row r="169">
          <cell r="A169" t="str">
            <v>04-02-010</v>
          </cell>
          <cell r="B169" t="str">
            <v>72561</v>
          </cell>
          <cell r="C169" t="str">
            <v>aux curado concreto</v>
          </cell>
          <cell r="D169" t="str">
            <v>m2</v>
          </cell>
          <cell r="E169">
            <v>6.1429305912596401</v>
          </cell>
          <cell r="G169">
            <v>1109.2</v>
          </cell>
          <cell r="H169">
            <v>6813.7386118251934</v>
          </cell>
        </row>
        <row r="170">
          <cell r="A170" t="str">
            <v>04-02-010</v>
          </cell>
          <cell r="B170" t="str">
            <v>72711</v>
          </cell>
          <cell r="C170" t="str">
            <v>aux desmoldante -separol-</v>
          </cell>
          <cell r="D170" t="str">
            <v>m2</v>
          </cell>
          <cell r="E170">
            <v>1.5</v>
          </cell>
          <cell r="G170">
            <v>1182.6869447499998</v>
          </cell>
          <cell r="H170">
            <v>1774.0304171249998</v>
          </cell>
        </row>
        <row r="171">
          <cell r="A171" t="str">
            <v>04-02-010</v>
          </cell>
          <cell r="B171" t="str">
            <v>74F11</v>
          </cell>
          <cell r="C171" t="str">
            <v>aux formaleta losa tradicional hasta h=3 m</v>
          </cell>
          <cell r="D171" t="str">
            <v>m2</v>
          </cell>
          <cell r="E171">
            <v>0.77120822622107965</v>
          </cell>
          <cell r="G171">
            <v>4324.5563786008215</v>
          </cell>
          <cell r="H171">
            <v>3335.1334539337954</v>
          </cell>
        </row>
        <row r="172">
          <cell r="A172" t="str">
            <v>04-02-010</v>
          </cell>
          <cell r="B172" t="str">
            <v>18Z11</v>
          </cell>
          <cell r="C172" t="str">
            <v>telera de 0.90 x 1.35 m en madera comun</v>
          </cell>
          <cell r="D172" t="str">
            <v>u</v>
          </cell>
          <cell r="E172">
            <v>0.3</v>
          </cell>
          <cell r="G172">
            <v>16239.999999999998</v>
          </cell>
          <cell r="H172">
            <v>4871.9999999999991</v>
          </cell>
        </row>
        <row r="173">
          <cell r="A173" t="str">
            <v>04-02-010</v>
          </cell>
          <cell r="B173" t="str">
            <v>43MCH</v>
          </cell>
          <cell r="C173" t="str">
            <v>corbata 600 mm</v>
          </cell>
          <cell r="D173" t="str">
            <v>d</v>
          </cell>
          <cell r="E173">
            <v>32</v>
          </cell>
          <cell r="G173">
            <v>66.11999999999999</v>
          </cell>
          <cell r="H173">
            <v>2115.8399999999997</v>
          </cell>
        </row>
        <row r="174">
          <cell r="A174" t="str">
            <v>04-02-010</v>
          </cell>
          <cell r="B174" t="str">
            <v>43MCI</v>
          </cell>
          <cell r="C174" t="str">
            <v>chapeta tensora 3/8"</v>
          </cell>
          <cell r="D174" t="str">
            <v>d</v>
          </cell>
          <cell r="E174">
            <v>64</v>
          </cell>
          <cell r="G174">
            <v>26.68</v>
          </cell>
          <cell r="H174">
            <v>1707.52</v>
          </cell>
        </row>
        <row r="175">
          <cell r="A175" t="str">
            <v>04-02-010</v>
          </cell>
          <cell r="B175" t="str">
            <v>44243</v>
          </cell>
          <cell r="C175" t="str">
            <v>taco metalico largo de 2,20 a 3,80 m</v>
          </cell>
          <cell r="D175" t="str">
            <v>d</v>
          </cell>
          <cell r="E175">
            <v>16</v>
          </cell>
          <cell r="G175">
            <v>440.79999999999995</v>
          </cell>
          <cell r="H175">
            <v>7052.7999999999993</v>
          </cell>
        </row>
        <row r="176">
          <cell r="A176" t="str">
            <v>04-02-010</v>
          </cell>
          <cell r="B176" t="str">
            <v>43MCJ</v>
          </cell>
          <cell r="C176" t="str">
            <v>gato tensor de 3/8"</v>
          </cell>
          <cell r="D176" t="str">
            <v>d</v>
          </cell>
          <cell r="E176">
            <v>2</v>
          </cell>
          <cell r="G176">
            <v>696</v>
          </cell>
          <cell r="H176">
            <v>1392</v>
          </cell>
        </row>
        <row r="177">
          <cell r="A177" t="str">
            <v>04-02-010</v>
          </cell>
          <cell r="B177" t="str">
            <v>18Z22</v>
          </cell>
          <cell r="C177" t="str">
            <v>manguera felxible pf 1/2"</v>
          </cell>
          <cell r="D177" t="str">
            <v>m</v>
          </cell>
          <cell r="E177">
            <v>4</v>
          </cell>
          <cell r="G177">
            <v>5104</v>
          </cell>
          <cell r="H177">
            <v>20416</v>
          </cell>
        </row>
        <row r="178">
          <cell r="A178" t="str">
            <v>04-02-010</v>
          </cell>
          <cell r="B178" t="str">
            <v>44121</v>
          </cell>
          <cell r="C178" t="str">
            <v>vibrador electrico para concreto</v>
          </cell>
          <cell r="D178" t="str">
            <v>d</v>
          </cell>
          <cell r="E178">
            <v>0.22222222222222221</v>
          </cell>
          <cell r="G178">
            <v>39440</v>
          </cell>
          <cell r="H178">
            <v>8764.4444444444434</v>
          </cell>
        </row>
        <row r="179">
          <cell r="A179" t="str">
            <v>04-02-010</v>
          </cell>
          <cell r="B179" t="str">
            <v>44253</v>
          </cell>
          <cell r="C179" t="str">
            <v>cercha 3,00 m</v>
          </cell>
          <cell r="D179" t="str">
            <v>d</v>
          </cell>
          <cell r="E179">
            <v>5.3333300000000001</v>
          </cell>
          <cell r="G179">
            <v>139.19999999999999</v>
          </cell>
          <cell r="H179">
            <v>742.39953600000001</v>
          </cell>
        </row>
        <row r="180">
          <cell r="A180" t="str">
            <v>04-02-010</v>
          </cell>
          <cell r="B180" t="str">
            <v>44115</v>
          </cell>
          <cell r="C180" t="str">
            <v xml:space="preserve">andamio con tijera tramo completo 1.50 x 1.50 </v>
          </cell>
          <cell r="D180" t="str">
            <v>d</v>
          </cell>
          <cell r="E180">
            <v>3</v>
          </cell>
          <cell r="G180">
            <v>800.4</v>
          </cell>
          <cell r="H180">
            <v>2401.1999999999998</v>
          </cell>
        </row>
        <row r="181">
          <cell r="A181" t="str">
            <v>04-02-010</v>
          </cell>
          <cell r="B181" t="str">
            <v>48Z19</v>
          </cell>
          <cell r="C181" t="str">
            <v>can madera abarco de 2.80-3.00 m</v>
          </cell>
          <cell r="D181" t="str">
            <v>d</v>
          </cell>
          <cell r="E181">
            <v>6</v>
          </cell>
          <cell r="G181">
            <v>348</v>
          </cell>
          <cell r="H181">
            <v>2088</v>
          </cell>
        </row>
        <row r="182">
          <cell r="A182" t="str">
            <v>04-02-010</v>
          </cell>
          <cell r="B182" t="str">
            <v>2C111</v>
          </cell>
          <cell r="C182" t="str">
            <v>mo cuadrilla (1 of + 1 ay)</v>
          </cell>
          <cell r="D182" t="str">
            <v>d</v>
          </cell>
          <cell r="E182">
            <v>1.1000000000000001</v>
          </cell>
          <cell r="G182">
            <v>108564.47283709361</v>
          </cell>
          <cell r="H182">
            <v>119420.92012080297</v>
          </cell>
        </row>
        <row r="183">
          <cell r="A183" t="str">
            <v>04-02-010</v>
          </cell>
          <cell r="B183" t="str">
            <v>47111</v>
          </cell>
          <cell r="C183" t="str">
            <v>elementos de consumo y proteccion</v>
          </cell>
          <cell r="D183" t="str">
            <v>%</v>
          </cell>
          <cell r="E183">
            <v>119420.92012080297</v>
          </cell>
          <cell r="G183">
            <v>1.2455000000000001E-2</v>
          </cell>
          <cell r="H183">
            <v>1487.3875601046011</v>
          </cell>
        </row>
        <row r="184">
          <cell r="A184" t="str">
            <v>04-02-010</v>
          </cell>
          <cell r="B184" t="str">
            <v>46111</v>
          </cell>
          <cell r="C184" t="str">
            <v>herramienta y equipo menor</v>
          </cell>
          <cell r="D184" t="str">
            <v>%</v>
          </cell>
          <cell r="E184">
            <v>119420.92012080297</v>
          </cell>
          <cell r="G184">
            <v>0.05</v>
          </cell>
          <cell r="H184">
            <v>5971.0460060401492</v>
          </cell>
        </row>
        <row r="185">
          <cell r="A185">
            <v>0</v>
          </cell>
          <cell r="C185" t="str">
            <v>DIRECTO:  620846,0 / M3</v>
          </cell>
          <cell r="D185">
            <v>0</v>
          </cell>
          <cell r="E185" t="str">
            <v xml:space="preserve">  </v>
          </cell>
          <cell r="G185">
            <v>0</v>
          </cell>
          <cell r="H185">
            <v>0</v>
          </cell>
        </row>
        <row r="186">
          <cell r="A186">
            <v>0</v>
          </cell>
          <cell r="C186">
            <v>0</v>
          </cell>
          <cell r="D186">
            <v>0</v>
          </cell>
          <cell r="G186">
            <v>0</v>
          </cell>
          <cell r="H186">
            <v>0</v>
          </cell>
        </row>
        <row r="187">
          <cell r="A187" t="str">
            <v>04-06-130</v>
          </cell>
          <cell r="B187" t="str">
            <v>04-06-130</v>
          </cell>
          <cell r="C187" t="str">
            <v>CONCRETO F'C 21 MPa PARA VIGA CABEZAL</v>
          </cell>
          <cell r="D187" t="str">
            <v>M3</v>
          </cell>
          <cell r="E187">
            <v>78.801360000000003</v>
          </cell>
          <cell r="G187">
            <v>0</v>
          </cell>
          <cell r="H187">
            <v>818856.00748174405</v>
          </cell>
        </row>
        <row r="188">
          <cell r="A188" t="str">
            <v>04-06-130</v>
          </cell>
          <cell r="B188" t="str">
            <v>12133</v>
          </cell>
          <cell r="C188" t="str">
            <v>concreto tipo bombeo 21 mpa, (3000 psi) 1"</v>
          </cell>
          <cell r="D188" t="str">
            <v>m3</v>
          </cell>
          <cell r="E188">
            <v>1</v>
          </cell>
          <cell r="F188">
            <v>0.05</v>
          </cell>
          <cell r="G188">
            <v>303848.07999999996</v>
          </cell>
          <cell r="H188">
            <v>319040.484</v>
          </cell>
        </row>
        <row r="189">
          <cell r="A189" t="str">
            <v>04-06-130</v>
          </cell>
          <cell r="B189" t="str">
            <v>12137</v>
          </cell>
          <cell r="C189" t="str">
            <v>servicio de bombeo</v>
          </cell>
          <cell r="D189" t="str">
            <v>m3</v>
          </cell>
          <cell r="E189">
            <v>1.05</v>
          </cell>
          <cell r="G189">
            <v>46400</v>
          </cell>
          <cell r="H189">
            <v>48720</v>
          </cell>
        </row>
        <row r="190">
          <cell r="A190" t="str">
            <v>04-06-130</v>
          </cell>
          <cell r="B190" t="str">
            <v>3A112</v>
          </cell>
          <cell r="C190" t="str">
            <v>ensayo de resistencia de cilindros a la compresion</v>
          </cell>
          <cell r="D190" t="str">
            <v>u</v>
          </cell>
          <cell r="E190">
            <v>0.24</v>
          </cell>
          <cell r="G190">
            <v>8758</v>
          </cell>
          <cell r="H190">
            <v>2101.92</v>
          </cell>
        </row>
        <row r="191">
          <cell r="A191" t="str">
            <v>04-06-130</v>
          </cell>
          <cell r="B191" t="str">
            <v>18Z21</v>
          </cell>
          <cell r="C191" t="str">
            <v>triplex formaleta 1.53x2.44m x 19mm verde (6 usos)</v>
          </cell>
          <cell r="D191" t="str">
            <v>u</v>
          </cell>
          <cell r="E191">
            <v>0.13206786960611502</v>
          </cell>
          <cell r="F191">
            <v>0.2</v>
          </cell>
          <cell r="G191">
            <v>137924</v>
          </cell>
          <cell r="H191">
            <v>21858.394617064572</v>
          </cell>
        </row>
        <row r="192">
          <cell r="A192" t="str">
            <v>04-06-130</v>
          </cell>
          <cell r="B192" t="str">
            <v>74O33</v>
          </cell>
          <cell r="C192" t="str">
            <v>aux andamios de carga - tramo h=1.50m</v>
          </cell>
          <cell r="D192" t="str">
            <v>d</v>
          </cell>
          <cell r="E192">
            <v>11.396011396011394</v>
          </cell>
          <cell r="G192">
            <v>11458.264883822627</v>
          </cell>
          <cell r="H192">
            <v>130578.51719455983</v>
          </cell>
        </row>
        <row r="193">
          <cell r="A193" t="str">
            <v>04-06-130</v>
          </cell>
          <cell r="B193" t="str">
            <v>72561</v>
          </cell>
          <cell r="C193" t="str">
            <v>aux curado concreto</v>
          </cell>
          <cell r="D193" t="str">
            <v>m2</v>
          </cell>
          <cell r="E193">
            <v>3.7606837606837606</v>
          </cell>
          <cell r="G193">
            <v>1109.2</v>
          </cell>
          <cell r="H193">
            <v>4171.3504273504277</v>
          </cell>
        </row>
        <row r="194">
          <cell r="A194" t="str">
            <v>04-06-130</v>
          </cell>
          <cell r="B194" t="str">
            <v>72711</v>
          </cell>
          <cell r="C194" t="str">
            <v>aux desmoldante -separol-</v>
          </cell>
          <cell r="D194" t="str">
            <v>m2</v>
          </cell>
          <cell r="E194">
            <v>2.9582146248812915</v>
          </cell>
          <cell r="G194">
            <v>1182.6869447499998</v>
          </cell>
          <cell r="H194">
            <v>3498.6418166156213</v>
          </cell>
        </row>
        <row r="195">
          <cell r="A195" t="str">
            <v>04-06-130</v>
          </cell>
          <cell r="B195" t="str">
            <v>44243</v>
          </cell>
          <cell r="C195" t="str">
            <v>taco metalico largo de 2,20 a 3,80 m</v>
          </cell>
          <cell r="D195" t="str">
            <v>d</v>
          </cell>
          <cell r="E195">
            <v>22.792022792022788</v>
          </cell>
          <cell r="G195">
            <v>440.79999999999995</v>
          </cell>
          <cell r="H195">
            <v>10046.723646723643</v>
          </cell>
        </row>
        <row r="196">
          <cell r="A196" t="str">
            <v>04-06-130</v>
          </cell>
          <cell r="B196" t="str">
            <v>18Z11</v>
          </cell>
          <cell r="C196" t="str">
            <v>telera de 0.90 x 1.35 m en madera comun</v>
          </cell>
          <cell r="D196" t="str">
            <v>u</v>
          </cell>
          <cell r="E196">
            <v>0.54266720933387591</v>
          </cell>
          <cell r="G196">
            <v>16239.999999999998</v>
          </cell>
          <cell r="H196">
            <v>8812.9154795821432</v>
          </cell>
        </row>
        <row r="197">
          <cell r="A197" t="str">
            <v>04-06-130</v>
          </cell>
          <cell r="B197" t="str">
            <v>18Z15</v>
          </cell>
          <cell r="C197" t="str">
            <v>tabla madera comun 1 x 8" 3m</v>
          </cell>
          <cell r="D197" t="str">
            <v>u</v>
          </cell>
          <cell r="E197">
            <v>3.4188034188034182</v>
          </cell>
          <cell r="G197">
            <v>9280</v>
          </cell>
          <cell r="H197">
            <v>31726.495726495719</v>
          </cell>
        </row>
        <row r="198">
          <cell r="A198" t="str">
            <v>04-06-130</v>
          </cell>
          <cell r="B198" t="str">
            <v>18Z16</v>
          </cell>
          <cell r="C198" t="str">
            <v>larguero madera comun 2"x4" de 3m</v>
          </cell>
          <cell r="D198" t="str">
            <v>u</v>
          </cell>
          <cell r="E198">
            <v>3.7948717948717943</v>
          </cell>
          <cell r="G198">
            <v>6959.9999999999991</v>
          </cell>
          <cell r="H198">
            <v>26412.307692307684</v>
          </cell>
        </row>
        <row r="199">
          <cell r="A199" t="str">
            <v>04-06-130</v>
          </cell>
          <cell r="B199" t="str">
            <v>44121</v>
          </cell>
          <cell r="C199" t="str">
            <v>vibrador electrico para concreto</v>
          </cell>
          <cell r="D199" t="str">
            <v>d</v>
          </cell>
          <cell r="E199">
            <v>0.125</v>
          </cell>
          <cell r="G199">
            <v>39440</v>
          </cell>
          <cell r="H199">
            <v>4930</v>
          </cell>
        </row>
        <row r="200">
          <cell r="A200" t="str">
            <v>04-06-130</v>
          </cell>
          <cell r="B200" t="str">
            <v>2C115</v>
          </cell>
          <cell r="C200" t="str">
            <v>mo cuadrilla (3 of + 5 ay)</v>
          </cell>
          <cell r="D200" t="str">
            <v>d</v>
          </cell>
          <cell r="E200">
            <v>0.47483380816714144</v>
          </cell>
          <cell r="G200">
            <v>410232.98774205009</v>
          </cell>
          <cell r="H200">
            <v>194792.49180534188</v>
          </cell>
        </row>
        <row r="201">
          <cell r="A201" t="str">
            <v>04-06-130</v>
          </cell>
          <cell r="B201" t="str">
            <v>47111</v>
          </cell>
          <cell r="C201" t="str">
            <v>elementos de consumo y proteccion</v>
          </cell>
          <cell r="D201" t="str">
            <v>%</v>
          </cell>
          <cell r="E201">
            <v>194792.49180534188</v>
          </cell>
          <cell r="G201">
            <v>1.2455000000000001E-2</v>
          </cell>
          <cell r="H201">
            <v>2426.1404854355333</v>
          </cell>
        </row>
        <row r="202">
          <cell r="A202" t="str">
            <v>04-06-130</v>
          </cell>
          <cell r="B202" t="str">
            <v>46111</v>
          </cell>
          <cell r="C202" t="str">
            <v>herramienta y equipo menor</v>
          </cell>
          <cell r="D202" t="str">
            <v>%</v>
          </cell>
          <cell r="E202">
            <v>194792.49180534188</v>
          </cell>
          <cell r="G202">
            <v>0.05</v>
          </cell>
          <cell r="H202">
            <v>9739.6245902670944</v>
          </cell>
        </row>
        <row r="203">
          <cell r="A203">
            <v>0</v>
          </cell>
          <cell r="C203" t="str">
            <v>DIRECTO:  818857,0 / M3</v>
          </cell>
          <cell r="D203">
            <v>0</v>
          </cell>
          <cell r="E203" t="str">
            <v xml:space="preserve">  </v>
          </cell>
          <cell r="G203">
            <v>0</v>
          </cell>
          <cell r="H203">
            <v>0</v>
          </cell>
        </row>
        <row r="204">
          <cell r="A204">
            <v>0</v>
          </cell>
          <cell r="C204">
            <v>0</v>
          </cell>
          <cell r="D204">
            <v>0</v>
          </cell>
          <cell r="G204">
            <v>0</v>
          </cell>
          <cell r="H204">
            <v>0</v>
          </cell>
        </row>
        <row r="205">
          <cell r="A205" t="str">
            <v>04-06-180</v>
          </cell>
          <cell r="B205" t="str">
            <v>04-06-180</v>
          </cell>
          <cell r="C205" t="str">
            <v>CONCRETO F'C 21 MPa PARA TABIQUES ENTRE PILAS</v>
          </cell>
          <cell r="D205" t="str">
            <v>M3</v>
          </cell>
          <cell r="E205">
            <v>63.041087999999995</v>
          </cell>
          <cell r="G205">
            <v>0</v>
          </cell>
          <cell r="H205">
            <v>589696.49114247994</v>
          </cell>
        </row>
        <row r="206">
          <cell r="A206" t="str">
            <v>04-06-180</v>
          </cell>
          <cell r="B206" t="str">
            <v>12133</v>
          </cell>
          <cell r="C206" t="str">
            <v>concreto tipo bombeo 21 mpa, (3000 psi) 1"</v>
          </cell>
          <cell r="D206" t="str">
            <v>m3</v>
          </cell>
          <cell r="E206">
            <v>1</v>
          </cell>
          <cell r="F206">
            <v>0.05</v>
          </cell>
          <cell r="G206">
            <v>303848.07999999996</v>
          </cell>
          <cell r="H206">
            <v>319040.484</v>
          </cell>
        </row>
        <row r="207">
          <cell r="A207" t="str">
            <v>04-06-180</v>
          </cell>
          <cell r="B207" t="str">
            <v>12137</v>
          </cell>
          <cell r="C207" t="str">
            <v>servicio de bombeo</v>
          </cell>
          <cell r="D207" t="str">
            <v>m3</v>
          </cell>
          <cell r="E207">
            <v>1.05</v>
          </cell>
          <cell r="G207">
            <v>46400</v>
          </cell>
          <cell r="H207">
            <v>48720</v>
          </cell>
        </row>
        <row r="208">
          <cell r="A208" t="str">
            <v>04-06-180</v>
          </cell>
          <cell r="B208" t="str">
            <v>3A112</v>
          </cell>
          <cell r="C208" t="str">
            <v>ensayo de resistencia de cilindros a la compresion</v>
          </cell>
          <cell r="D208" t="str">
            <v>u</v>
          </cell>
          <cell r="E208">
            <v>0.24</v>
          </cell>
          <cell r="G208">
            <v>8758</v>
          </cell>
          <cell r="H208">
            <v>2101.92</v>
          </cell>
        </row>
        <row r="209">
          <cell r="A209" t="str">
            <v>04-06-180</v>
          </cell>
          <cell r="B209" t="str">
            <v>74271</v>
          </cell>
          <cell r="C209" t="str">
            <v>aux formaleta metalica</v>
          </cell>
          <cell r="D209" t="str">
            <v>m2</v>
          </cell>
          <cell r="E209">
            <v>10</v>
          </cell>
          <cell r="G209">
            <v>4419.6421818181816</v>
          </cell>
          <cell r="H209">
            <v>44196.421818181814</v>
          </cell>
        </row>
        <row r="210">
          <cell r="A210" t="str">
            <v>04-06-180</v>
          </cell>
          <cell r="B210" t="str">
            <v>74O33</v>
          </cell>
          <cell r="C210" t="str">
            <v>aux andamios de carga - tramo h=1.50m</v>
          </cell>
          <cell r="D210" t="str">
            <v>d</v>
          </cell>
          <cell r="E210">
            <v>0.82761758558923137</v>
          </cell>
          <cell r="G210">
            <v>11458.264883822627</v>
          </cell>
          <cell r="H210">
            <v>9483.061518191158</v>
          </cell>
        </row>
        <row r="211">
          <cell r="A211" t="str">
            <v>04-06-180</v>
          </cell>
          <cell r="B211" t="str">
            <v>72561</v>
          </cell>
          <cell r="C211" t="str">
            <v>aux curado concreto</v>
          </cell>
          <cell r="D211" t="str">
            <v>m2</v>
          </cell>
          <cell r="E211">
            <v>10</v>
          </cell>
          <cell r="G211">
            <v>1109.2</v>
          </cell>
          <cell r="H211">
            <v>11092</v>
          </cell>
        </row>
        <row r="212">
          <cell r="A212" t="str">
            <v>04-06-180</v>
          </cell>
          <cell r="B212" t="str">
            <v>72711</v>
          </cell>
          <cell r="C212" t="str">
            <v>aux desmoldante -separol-</v>
          </cell>
          <cell r="D212" t="str">
            <v>m2</v>
          </cell>
          <cell r="E212">
            <v>10</v>
          </cell>
          <cell r="G212">
            <v>1182.6869447499998</v>
          </cell>
          <cell r="H212">
            <v>11826.869447499997</v>
          </cell>
        </row>
        <row r="213">
          <cell r="A213" t="str">
            <v>04-06-180</v>
          </cell>
          <cell r="B213" t="str">
            <v>44243</v>
          </cell>
          <cell r="C213" t="str">
            <v>taco metalico largo de 2,20 a 3,80 m</v>
          </cell>
          <cell r="D213" t="str">
            <v>d</v>
          </cell>
          <cell r="E213">
            <v>30</v>
          </cell>
          <cell r="G213">
            <v>440.79999999999995</v>
          </cell>
          <cell r="H213">
            <v>13223.999999999998</v>
          </cell>
        </row>
        <row r="214">
          <cell r="A214" t="str">
            <v>04-06-180</v>
          </cell>
          <cell r="B214" t="str">
            <v>44121</v>
          </cell>
          <cell r="C214" t="str">
            <v>vibrador electrico para concreto</v>
          </cell>
          <cell r="D214" t="str">
            <v>d</v>
          </cell>
          <cell r="E214">
            <v>0.26709401709401709</v>
          </cell>
          <cell r="G214">
            <v>39440</v>
          </cell>
          <cell r="H214">
            <v>10534.188034188033</v>
          </cell>
        </row>
        <row r="215">
          <cell r="A215" t="str">
            <v>04-06-180</v>
          </cell>
          <cell r="B215" t="str">
            <v>2C115</v>
          </cell>
          <cell r="C215" t="str">
            <v>mo cuadrilla (3 of + 5 ay)</v>
          </cell>
          <cell r="D215" t="str">
            <v>d</v>
          </cell>
          <cell r="E215">
            <v>0.27412280701754388</v>
          </cell>
          <cell r="G215">
            <v>410232.98774205009</v>
          </cell>
          <cell r="H215">
            <v>112454.21813104444</v>
          </cell>
        </row>
        <row r="216">
          <cell r="A216" t="str">
            <v>04-06-180</v>
          </cell>
          <cell r="B216" t="str">
            <v>47111</v>
          </cell>
          <cell r="C216" t="str">
            <v>elementos de consumo y proteccion</v>
          </cell>
          <cell r="D216" t="str">
            <v>%</v>
          </cell>
          <cell r="E216">
            <v>112454.21813104444</v>
          </cell>
          <cell r="G216">
            <v>1.2455000000000001E-2</v>
          </cell>
          <cell r="H216">
            <v>1400.6172868221586</v>
          </cell>
        </row>
        <row r="217">
          <cell r="A217" t="str">
            <v>04-06-180</v>
          </cell>
          <cell r="B217" t="str">
            <v>46111</v>
          </cell>
          <cell r="C217" t="str">
            <v>herramienta y equipo menor</v>
          </cell>
          <cell r="D217" t="str">
            <v>%</v>
          </cell>
          <cell r="E217">
            <v>112454.21813104444</v>
          </cell>
          <cell r="G217">
            <v>0.05</v>
          </cell>
          <cell r="H217">
            <v>5622.7109065522227</v>
          </cell>
        </row>
        <row r="218">
          <cell r="A218">
            <v>0</v>
          </cell>
          <cell r="C218" t="str">
            <v>DIRECTO:  589697,0 / M3</v>
          </cell>
          <cell r="D218">
            <v>0</v>
          </cell>
          <cell r="E218" t="str">
            <v xml:space="preserve">  </v>
          </cell>
          <cell r="G218">
            <v>0</v>
          </cell>
          <cell r="H218">
            <v>0</v>
          </cell>
        </row>
        <row r="219">
          <cell r="A219">
            <v>0</v>
          </cell>
          <cell r="C219">
            <v>0</v>
          </cell>
          <cell r="D219">
            <v>0</v>
          </cell>
          <cell r="G219">
            <v>0</v>
          </cell>
          <cell r="H219">
            <v>0</v>
          </cell>
        </row>
        <row r="220">
          <cell r="A220" t="str">
            <v>04-10-010</v>
          </cell>
          <cell r="B220" t="str">
            <v>04-10-010</v>
          </cell>
          <cell r="C220" t="str">
            <v>CINTA SIKA PVC O-15 O EQUIVALENTE PARA JUNTAS DE EXPANSION</v>
          </cell>
          <cell r="D220" t="str">
            <v>M</v>
          </cell>
          <cell r="E220">
            <v>248.83584000000002</v>
          </cell>
          <cell r="G220">
            <v>0</v>
          </cell>
          <cell r="H220">
            <v>33701.410837351679</v>
          </cell>
        </row>
        <row r="221">
          <cell r="A221" t="str">
            <v>04-10-010</v>
          </cell>
          <cell r="B221" t="str">
            <v>1SKN5</v>
          </cell>
          <cell r="C221" t="str">
            <v>cinta sika pvc 0-15 de 0.15m</v>
          </cell>
          <cell r="D221" t="str">
            <v>m</v>
          </cell>
          <cell r="E221">
            <v>1</v>
          </cell>
          <cell r="F221">
            <v>0.03</v>
          </cell>
          <cell r="G221">
            <v>31319.999999999996</v>
          </cell>
          <cell r="H221">
            <v>32259.599999999999</v>
          </cell>
        </row>
        <row r="222">
          <cell r="A222" t="str">
            <v>04-10-010</v>
          </cell>
          <cell r="B222" t="str">
            <v>2C111</v>
          </cell>
          <cell r="C222" t="str">
            <v>mo cuadrilla (1 of + 1 ay)</v>
          </cell>
          <cell r="D222" t="str">
            <v>d</v>
          </cell>
          <cell r="E222">
            <v>1.2500000000000001E-2</v>
          </cell>
          <cell r="G222">
            <v>108564.47283709361</v>
          </cell>
          <cell r="H222">
            <v>1357.0559104636702</v>
          </cell>
        </row>
        <row r="223">
          <cell r="A223" t="str">
            <v>04-10-010</v>
          </cell>
          <cell r="B223" t="str">
            <v>47111</v>
          </cell>
          <cell r="C223" t="str">
            <v>elementos de consumo y proteccion</v>
          </cell>
          <cell r="D223" t="str">
            <v>%</v>
          </cell>
          <cell r="E223">
            <v>1357.0559104636702</v>
          </cell>
          <cell r="G223">
            <v>1.2455000000000001E-2</v>
          </cell>
          <cell r="H223">
            <v>16.902131364825014</v>
          </cell>
        </row>
        <row r="224">
          <cell r="A224" t="str">
            <v>04-10-010</v>
          </cell>
          <cell r="B224" t="str">
            <v>46111</v>
          </cell>
          <cell r="C224" t="str">
            <v>herramienta y equipo menor</v>
          </cell>
          <cell r="D224" t="str">
            <v>%</v>
          </cell>
          <cell r="E224">
            <v>1357.0559104636702</v>
          </cell>
          <cell r="G224">
            <v>0.05</v>
          </cell>
          <cell r="H224">
            <v>67.852795523183516</v>
          </cell>
        </row>
        <row r="225">
          <cell r="A225">
            <v>0</v>
          </cell>
          <cell r="C225" t="str">
            <v>DIRECTO:  33702,0 / M</v>
          </cell>
          <cell r="D225">
            <v>0</v>
          </cell>
          <cell r="E225" t="str">
            <v xml:space="preserve">  </v>
          </cell>
          <cell r="G225">
            <v>0</v>
          </cell>
          <cell r="H225">
            <v>0</v>
          </cell>
        </row>
        <row r="226">
          <cell r="A226">
            <v>0</v>
          </cell>
          <cell r="B226" t="str">
            <v>05</v>
          </cell>
          <cell r="C226" t="str">
            <v>ACERO DE REFUERZO</v>
          </cell>
          <cell r="D226">
            <v>0</v>
          </cell>
          <cell r="G226">
            <v>0</v>
          </cell>
          <cell r="H226">
            <v>0</v>
          </cell>
        </row>
        <row r="227">
          <cell r="A227" t="str">
            <v>05-01-010</v>
          </cell>
          <cell r="B227" t="str">
            <v>05-01-010</v>
          </cell>
          <cell r="C227" t="str">
            <v>ACERO CORRUGADO FY 4200 MPA</v>
          </cell>
          <cell r="D227" t="str">
            <v>KG</v>
          </cell>
          <cell r="E227">
            <v>232425.06481858966</v>
          </cell>
          <cell r="G227">
            <v>0</v>
          </cell>
          <cell r="H227">
            <v>2641.3439946999997</v>
          </cell>
        </row>
        <row r="228">
          <cell r="A228" t="str">
            <v>05-01-010</v>
          </cell>
          <cell r="B228" t="str">
            <v>1512O</v>
          </cell>
          <cell r="C228" t="str">
            <v>acero de refuerzo figurado</v>
          </cell>
          <cell r="D228" t="str">
            <v>kg</v>
          </cell>
          <cell r="E228">
            <v>1</v>
          </cell>
          <cell r="F228">
            <v>0.03</v>
          </cell>
          <cell r="G228">
            <v>2006.8</v>
          </cell>
          <cell r="H228">
            <v>2067.0039999999999</v>
          </cell>
        </row>
        <row r="229">
          <cell r="A229" t="str">
            <v>05-01-010</v>
          </cell>
          <cell r="B229" t="str">
            <v>15231</v>
          </cell>
          <cell r="C229" t="str">
            <v>alambre recocido (alambre cal 18)</v>
          </cell>
          <cell r="D229" t="str">
            <v>kg</v>
          </cell>
          <cell r="E229">
            <v>2.5000000000000001E-2</v>
          </cell>
          <cell r="G229">
            <v>2900</v>
          </cell>
          <cell r="H229">
            <v>72.5</v>
          </cell>
        </row>
        <row r="230">
          <cell r="A230" t="str">
            <v>05-01-010</v>
          </cell>
          <cell r="B230" t="str">
            <v>2D92A</v>
          </cell>
          <cell r="C230" t="str">
            <v>mo colocacion acero refuerzo</v>
          </cell>
          <cell r="D230" t="str">
            <v>kg</v>
          </cell>
          <cell r="E230">
            <v>1</v>
          </cell>
          <cell r="G230">
            <v>434.71999999999997</v>
          </cell>
          <cell r="H230">
            <v>434.71999999999997</v>
          </cell>
        </row>
        <row r="231">
          <cell r="A231" t="str">
            <v>05-01-010</v>
          </cell>
          <cell r="B231" t="str">
            <v>2512A</v>
          </cell>
          <cell r="C231" t="str">
            <v>mo transporte interno hierro horizontal o vertical</v>
          </cell>
          <cell r="D231" t="str">
            <v>kg</v>
          </cell>
          <cell r="E231">
            <v>1</v>
          </cell>
          <cell r="G231">
            <v>37.619999999999997</v>
          </cell>
          <cell r="H231">
            <v>37.619999999999997</v>
          </cell>
        </row>
        <row r="232">
          <cell r="A232" t="str">
            <v>05-01-010</v>
          </cell>
          <cell r="B232" t="str">
            <v>47111</v>
          </cell>
          <cell r="C232" t="str">
            <v>elementos de consumo y proteccion</v>
          </cell>
          <cell r="D232" t="str">
            <v>%</v>
          </cell>
          <cell r="E232">
            <v>472.34</v>
          </cell>
          <cell r="G232">
            <v>1.2455000000000001E-2</v>
          </cell>
          <cell r="H232">
            <v>5.8829947000000002</v>
          </cell>
        </row>
        <row r="233">
          <cell r="A233" t="str">
            <v>05-01-010</v>
          </cell>
          <cell r="B233" t="str">
            <v>46111</v>
          </cell>
          <cell r="C233" t="str">
            <v>herramienta y equipo menor</v>
          </cell>
          <cell r="D233" t="str">
            <v>%</v>
          </cell>
          <cell r="E233">
            <v>472.34</v>
          </cell>
          <cell r="G233">
            <v>0.05</v>
          </cell>
          <cell r="H233">
            <v>23.617000000000001</v>
          </cell>
        </row>
        <row r="234">
          <cell r="A234">
            <v>0</v>
          </cell>
          <cell r="C234" t="str">
            <v>DIRECTO:  2642,0 / KG</v>
          </cell>
          <cell r="D234">
            <v>0</v>
          </cell>
          <cell r="E234" t="str">
            <v xml:space="preserve">  </v>
          </cell>
          <cell r="G234">
            <v>0</v>
          </cell>
          <cell r="H234">
            <v>0</v>
          </cell>
        </row>
        <row r="235">
          <cell r="A235">
            <v>0</v>
          </cell>
          <cell r="C235">
            <v>0</v>
          </cell>
          <cell r="D235">
            <v>0</v>
          </cell>
          <cell r="G235">
            <v>0</v>
          </cell>
          <cell r="H235">
            <v>0</v>
          </cell>
        </row>
        <row r="236">
          <cell r="A236" t="str">
            <v>05-01-040</v>
          </cell>
          <cell r="B236" t="str">
            <v>05-01-040</v>
          </cell>
          <cell r="C236" t="str">
            <v>PELDAÑOS PARA CAMARAS DE INSPECCION</v>
          </cell>
          <cell r="D236" t="str">
            <v>U</v>
          </cell>
          <cell r="E236">
            <v>35</v>
          </cell>
          <cell r="G236">
            <v>0</v>
          </cell>
          <cell r="H236">
            <v>32888.849557100002</v>
          </cell>
        </row>
        <row r="237">
          <cell r="A237" t="str">
            <v>05-01-040</v>
          </cell>
          <cell r="B237" t="str">
            <v>1512P</v>
          </cell>
          <cell r="C237" t="str">
            <v>peldaño en acero galvanizado para camara de inspeccion</v>
          </cell>
          <cell r="D237" t="str">
            <v>u</v>
          </cell>
          <cell r="E237">
            <v>1</v>
          </cell>
          <cell r="F237">
            <v>0.03</v>
          </cell>
          <cell r="G237">
            <v>16239.999999999998</v>
          </cell>
          <cell r="H237">
            <v>16727.199999999997</v>
          </cell>
        </row>
        <row r="238">
          <cell r="A238" t="str">
            <v>05-01-040</v>
          </cell>
          <cell r="B238" t="str">
            <v>1HS26</v>
          </cell>
          <cell r="C238" t="str">
            <v>pintura acondicionador de superficies tipo wash primer, componente a. presentación por 1/4 galón.</v>
          </cell>
          <cell r="D238" t="str">
            <v>u</v>
          </cell>
          <cell r="E238">
            <v>0.08</v>
          </cell>
          <cell r="G238">
            <v>23896</v>
          </cell>
          <cell r="H238">
            <v>1911.68</v>
          </cell>
        </row>
        <row r="239">
          <cell r="A239" t="str">
            <v>05-01-040</v>
          </cell>
          <cell r="B239" t="str">
            <v>1HS27</v>
          </cell>
          <cell r="C239" t="str">
            <v>pintura anticorrosivo premium</v>
          </cell>
          <cell r="D239" t="str">
            <v>gl</v>
          </cell>
          <cell r="E239">
            <v>0.02</v>
          </cell>
          <cell r="G239">
            <v>42340</v>
          </cell>
          <cell r="H239">
            <v>846.80000000000007</v>
          </cell>
        </row>
        <row r="240">
          <cell r="A240" t="str">
            <v>05-01-040</v>
          </cell>
          <cell r="B240" t="str">
            <v>3Z165</v>
          </cell>
          <cell r="C240" t="str">
            <v>subcontrato perforacion y anclaje con epoxico tipo hit-re500 de hilti o equivalente. - ø 5/8"</v>
          </cell>
          <cell r="D240" t="str">
            <v>cm</v>
          </cell>
          <cell r="E240">
            <v>20</v>
          </cell>
          <cell r="G240">
            <v>668.16</v>
          </cell>
          <cell r="H240">
            <v>13363.199999999999</v>
          </cell>
        </row>
        <row r="241">
          <cell r="A241" t="str">
            <v>05-01-040</v>
          </cell>
          <cell r="B241" t="str">
            <v>2512A</v>
          </cell>
          <cell r="C241" t="str">
            <v>mo transporte interno hierro horizontal o vertical</v>
          </cell>
          <cell r="D241" t="str">
            <v>kg</v>
          </cell>
          <cell r="E241">
            <v>1</v>
          </cell>
          <cell r="G241">
            <v>37.619999999999997</v>
          </cell>
          <cell r="H241">
            <v>37.619999999999997</v>
          </cell>
        </row>
        <row r="242">
          <cell r="A242" t="str">
            <v>05-01-040</v>
          </cell>
          <cell r="B242" t="str">
            <v>47111</v>
          </cell>
          <cell r="C242" t="str">
            <v>elementos de consumo y proteccion</v>
          </cell>
          <cell r="D242" t="str">
            <v>%</v>
          </cell>
          <cell r="E242">
            <v>37.619999999999997</v>
          </cell>
          <cell r="G242">
            <v>1.2455000000000001E-2</v>
          </cell>
          <cell r="H242">
            <v>0.4685571</v>
          </cell>
        </row>
        <row r="243">
          <cell r="A243" t="str">
            <v>05-01-040</v>
          </cell>
          <cell r="B243" t="str">
            <v>46111</v>
          </cell>
          <cell r="C243" t="str">
            <v>herramienta y equipo menor</v>
          </cell>
          <cell r="D243" t="str">
            <v>%</v>
          </cell>
          <cell r="E243">
            <v>37.619999999999997</v>
          </cell>
          <cell r="G243">
            <v>0.05</v>
          </cell>
          <cell r="H243">
            <v>1.881</v>
          </cell>
        </row>
        <row r="244">
          <cell r="A244">
            <v>0</v>
          </cell>
          <cell r="C244" t="str">
            <v>DIRECTO:  32889,0 / U</v>
          </cell>
          <cell r="D244">
            <v>0</v>
          </cell>
          <cell r="E244" t="str">
            <v xml:space="preserve">  </v>
          </cell>
          <cell r="G244">
            <v>0</v>
          </cell>
          <cell r="H244">
            <v>0</v>
          </cell>
        </row>
        <row r="245">
          <cell r="A245">
            <v>0</v>
          </cell>
          <cell r="B245" t="str">
            <v>11</v>
          </cell>
          <cell r="C245" t="str">
            <v>CARPINTERIA METALICA</v>
          </cell>
          <cell r="D245">
            <v>0</v>
          </cell>
          <cell r="G245">
            <v>0</v>
          </cell>
          <cell r="H245">
            <v>0</v>
          </cell>
        </row>
        <row r="246">
          <cell r="A246" t="str">
            <v>11-03-030</v>
          </cell>
          <cell r="B246" t="str">
            <v>11-03-030</v>
          </cell>
          <cell r="C246" t="str">
            <v>BARANDA METALICA PEATONAL</v>
          </cell>
          <cell r="D246" t="str">
            <v>M</v>
          </cell>
          <cell r="E246">
            <v>471.03800000000001</v>
          </cell>
          <cell r="G246">
            <v>0</v>
          </cell>
          <cell r="H246">
            <v>217465.19999999998</v>
          </cell>
        </row>
        <row r="247">
          <cell r="A247" t="str">
            <v>11-03-030</v>
          </cell>
          <cell r="B247" t="str">
            <v>16F13</v>
          </cell>
          <cell r="C247" t="str">
            <v>baranda metalica peatonal</v>
          </cell>
          <cell r="D247" t="str">
            <v>m</v>
          </cell>
          <cell r="E247">
            <v>1</v>
          </cell>
          <cell r="G247">
            <v>217465.19999999998</v>
          </cell>
          <cell r="H247">
            <v>217465.19999999998</v>
          </cell>
        </row>
        <row r="248">
          <cell r="A248" t="str">
            <v>11-03-030</v>
          </cell>
          <cell r="B248" t="str">
            <v>47111</v>
          </cell>
          <cell r="C248" t="str">
            <v>elementos de consumo y proteccion</v>
          </cell>
          <cell r="D248" t="str">
            <v>%</v>
          </cell>
          <cell r="E248">
            <v>0</v>
          </cell>
          <cell r="G248">
            <v>1.2455000000000001E-2</v>
          </cell>
          <cell r="H248">
            <v>0</v>
          </cell>
        </row>
        <row r="249">
          <cell r="A249" t="str">
            <v>11-03-030</v>
          </cell>
          <cell r="B249" t="str">
            <v>46111</v>
          </cell>
          <cell r="C249" t="str">
            <v>herramienta y equipo menor</v>
          </cell>
          <cell r="D249" t="str">
            <v>%</v>
          </cell>
          <cell r="E249">
            <v>0</v>
          </cell>
          <cell r="G249">
            <v>0.05</v>
          </cell>
          <cell r="H249">
            <v>0</v>
          </cell>
        </row>
        <row r="250">
          <cell r="A250">
            <v>0</v>
          </cell>
          <cell r="C250" t="str">
            <v>DIRECTO:  217466,0 / M</v>
          </cell>
          <cell r="D250">
            <v>0</v>
          </cell>
          <cell r="E250" t="str">
            <v xml:space="preserve">  </v>
          </cell>
          <cell r="G250">
            <v>0</v>
          </cell>
          <cell r="H250">
            <v>0</v>
          </cell>
        </row>
        <row r="251">
          <cell r="A251">
            <v>0</v>
          </cell>
          <cell r="C251">
            <v>0</v>
          </cell>
          <cell r="D251">
            <v>0</v>
          </cell>
          <cell r="G251">
            <v>0</v>
          </cell>
          <cell r="H251">
            <v>0</v>
          </cell>
        </row>
        <row r="252">
          <cell r="A252" t="str">
            <v>11-03-020</v>
          </cell>
          <cell r="B252" t="str">
            <v>11-03-020</v>
          </cell>
          <cell r="C252" t="str">
            <v>BARANDA METALICA VIAL</v>
          </cell>
          <cell r="D252" t="str">
            <v>M</v>
          </cell>
          <cell r="E252">
            <v>119.39599999999999</v>
          </cell>
          <cell r="G252">
            <v>0</v>
          </cell>
          <cell r="H252">
            <v>2788417.875285293</v>
          </cell>
        </row>
        <row r="253">
          <cell r="A253" t="str">
            <v>11-03-020</v>
          </cell>
          <cell r="B253" t="str">
            <v>16F11</v>
          </cell>
          <cell r="C253" t="str">
            <v>baranda metalica vial</v>
          </cell>
          <cell r="D253" t="str">
            <v>m</v>
          </cell>
          <cell r="E253">
            <v>23.352683860465117</v>
          </cell>
          <cell r="G253">
            <v>119404.59999999999</v>
          </cell>
          <cell r="H253">
            <v>2788417.875285293</v>
          </cell>
        </row>
        <row r="254">
          <cell r="A254" t="str">
            <v>11-03-020</v>
          </cell>
          <cell r="B254" t="str">
            <v>47111</v>
          </cell>
          <cell r="C254" t="str">
            <v>elementos de consumo y proteccion</v>
          </cell>
          <cell r="D254" t="str">
            <v>%</v>
          </cell>
          <cell r="E254">
            <v>0</v>
          </cell>
          <cell r="G254">
            <v>1.2455000000000001E-2</v>
          </cell>
          <cell r="H254">
            <v>0</v>
          </cell>
        </row>
        <row r="255">
          <cell r="A255" t="str">
            <v>11-03-020</v>
          </cell>
          <cell r="B255" t="str">
            <v>46111</v>
          </cell>
          <cell r="C255" t="str">
            <v>herramienta y equipo menor</v>
          </cell>
          <cell r="D255" t="str">
            <v>%</v>
          </cell>
          <cell r="E255">
            <v>0</v>
          </cell>
          <cell r="G255">
            <v>0.05</v>
          </cell>
          <cell r="H255">
            <v>0</v>
          </cell>
        </row>
        <row r="256">
          <cell r="A256">
            <v>0</v>
          </cell>
          <cell r="C256" t="str">
            <v>DIRECTO:  2788418,0 / M</v>
          </cell>
          <cell r="D256">
            <v>0</v>
          </cell>
          <cell r="E256" t="str">
            <v xml:space="preserve">  </v>
          </cell>
          <cell r="G256">
            <v>0</v>
          </cell>
          <cell r="H256">
            <v>0</v>
          </cell>
        </row>
        <row r="257">
          <cell r="A257">
            <v>0</v>
          </cell>
          <cell r="B257" t="str">
            <v>14</v>
          </cell>
          <cell r="C257" t="str">
            <v>INSTALACIONES HIDROSANITARIAS Y DE GAS</v>
          </cell>
          <cell r="D257">
            <v>0</v>
          </cell>
          <cell r="G257">
            <v>0</v>
          </cell>
          <cell r="H257">
            <v>0</v>
          </cell>
        </row>
        <row r="258">
          <cell r="A258" t="str">
            <v>14-01-010</v>
          </cell>
          <cell r="B258" t="str">
            <v>14-01-010</v>
          </cell>
          <cell r="C258" t="str">
            <v>LOCALIZACION, TRAZADO Y REPLANTEO.</v>
          </cell>
          <cell r="D258" t="str">
            <v>DIA</v>
          </cell>
          <cell r="E258">
            <v>3.3000000000000003</v>
          </cell>
          <cell r="G258">
            <v>0</v>
          </cell>
          <cell r="H258">
            <v>723481.18299999996</v>
          </cell>
        </row>
        <row r="259">
          <cell r="A259" t="str">
            <v>14-01-010</v>
          </cell>
          <cell r="B259" t="str">
            <v>21139</v>
          </cell>
          <cell r="C259" t="str">
            <v>comision de topografia</v>
          </cell>
          <cell r="D259" t="str">
            <v>d</v>
          </cell>
          <cell r="E259">
            <v>1</v>
          </cell>
          <cell r="G259">
            <v>562600</v>
          </cell>
          <cell r="H259">
            <v>562600</v>
          </cell>
        </row>
        <row r="260">
          <cell r="A260" t="str">
            <v>14-01-010</v>
          </cell>
          <cell r="B260" t="str">
            <v>18Z16</v>
          </cell>
          <cell r="C260" t="str">
            <v>larguero madera comun 2"x4" de 3m</v>
          </cell>
          <cell r="D260" t="str">
            <v>u</v>
          </cell>
          <cell r="E260">
            <v>2</v>
          </cell>
          <cell r="G260">
            <v>6959.9999999999991</v>
          </cell>
          <cell r="H260">
            <v>13919.999999999998</v>
          </cell>
        </row>
        <row r="261">
          <cell r="A261" t="str">
            <v>14-01-010</v>
          </cell>
          <cell r="B261" t="str">
            <v>15421</v>
          </cell>
          <cell r="C261" t="str">
            <v>clavo corriente 1-1/2" a 5"</v>
          </cell>
          <cell r="D261" t="str">
            <v>lb</v>
          </cell>
          <cell r="E261">
            <v>1</v>
          </cell>
          <cell r="G261">
            <v>1624</v>
          </cell>
          <cell r="H261">
            <v>1624</v>
          </cell>
        </row>
        <row r="262">
          <cell r="A262" t="str">
            <v>14-01-010</v>
          </cell>
          <cell r="B262" t="str">
            <v>45911</v>
          </cell>
          <cell r="C262" t="str">
            <v>estacion total geodesica con laser</v>
          </cell>
          <cell r="D262" t="str">
            <v>d</v>
          </cell>
          <cell r="E262">
            <v>1</v>
          </cell>
          <cell r="G262">
            <v>110199.99999999999</v>
          </cell>
          <cell r="H262">
            <v>110199.99999999999</v>
          </cell>
        </row>
        <row r="263">
          <cell r="A263" t="str">
            <v>14-01-010</v>
          </cell>
          <cell r="B263" t="str">
            <v>47111</v>
          </cell>
          <cell r="C263" t="str">
            <v>elementos de consumo y proteccion</v>
          </cell>
          <cell r="D263" t="str">
            <v>%</v>
          </cell>
          <cell r="E263">
            <v>562600</v>
          </cell>
          <cell r="G263">
            <v>1.2455000000000001E-2</v>
          </cell>
          <cell r="H263">
            <v>7007.183</v>
          </cell>
        </row>
        <row r="264">
          <cell r="A264" t="str">
            <v>14-01-010</v>
          </cell>
          <cell r="B264" t="str">
            <v>46111</v>
          </cell>
          <cell r="C264" t="str">
            <v>herramienta y equipo menor</v>
          </cell>
          <cell r="D264" t="str">
            <v>%</v>
          </cell>
          <cell r="E264">
            <v>562600</v>
          </cell>
          <cell r="G264">
            <v>0.05</v>
          </cell>
          <cell r="H264">
            <v>28130</v>
          </cell>
        </row>
        <row r="265">
          <cell r="A265">
            <v>0</v>
          </cell>
          <cell r="C265" t="str">
            <v>DIRECTO:  723482,0 / DIA</v>
          </cell>
          <cell r="D265">
            <v>0</v>
          </cell>
          <cell r="E265" t="str">
            <v xml:space="preserve">  </v>
          </cell>
          <cell r="G265">
            <v>0</v>
          </cell>
          <cell r="H265">
            <v>0</v>
          </cell>
        </row>
        <row r="266">
          <cell r="A266">
            <v>0</v>
          </cell>
          <cell r="C266">
            <v>0</v>
          </cell>
          <cell r="D266">
            <v>0</v>
          </cell>
          <cell r="G266">
            <v>0</v>
          </cell>
          <cell r="H266">
            <v>0</v>
          </cell>
        </row>
        <row r="267">
          <cell r="A267" t="str">
            <v>14-02-010</v>
          </cell>
          <cell r="B267" t="str">
            <v>14-02-010</v>
          </cell>
          <cell r="C267" t="str">
            <v>EXCAVACION MANUAL O MECANICA DE 0 A 2 M EN TIERRA BAJO CUALQUIER GRADO DE HUMEDAD. INCLUYE ACARREO INTERNO, CARGUE, TRANSPORTE Y DISPOSICION FINAL DEL MATERIAL SOBRANTE EN BOTADEROS OFICIALES. MEDIDO EN SITIO</v>
          </cell>
          <cell r="D267" t="str">
            <v>M3</v>
          </cell>
          <cell r="E267">
            <v>151.12152</v>
          </cell>
          <cell r="G267">
            <v>0</v>
          </cell>
          <cell r="H267">
            <v>20733.968693250001</v>
          </cell>
        </row>
        <row r="268">
          <cell r="A268" t="str">
            <v>14-02-010</v>
          </cell>
          <cell r="B268" t="str">
            <v>2A411</v>
          </cell>
          <cell r="C268" t="str">
            <v>mo excavacion manual 0-2m</v>
          </cell>
          <cell r="D268" t="str">
            <v>m3</v>
          </cell>
          <cell r="E268">
            <v>1</v>
          </cell>
          <cell r="G268">
            <v>11500</v>
          </cell>
          <cell r="H268">
            <v>11500</v>
          </cell>
        </row>
        <row r="269">
          <cell r="A269" t="str">
            <v>14-02-010</v>
          </cell>
          <cell r="B269" t="str">
            <v>2A461</v>
          </cell>
          <cell r="C269" t="str">
            <v>mo transporte interno de material proveniente de las excavaciones</v>
          </cell>
          <cell r="D269" t="str">
            <v>m3</v>
          </cell>
          <cell r="E269">
            <v>1</v>
          </cell>
          <cell r="F269">
            <v>0.3</v>
          </cell>
          <cell r="G269">
            <v>6165.5</v>
          </cell>
          <cell r="H269">
            <v>8015.1500000000005</v>
          </cell>
        </row>
        <row r="270">
          <cell r="A270" t="str">
            <v>14-02-010</v>
          </cell>
          <cell r="B270" t="str">
            <v>47111</v>
          </cell>
          <cell r="C270" t="str">
            <v>elementos de consumo y proteccion</v>
          </cell>
          <cell r="D270" t="str">
            <v>%</v>
          </cell>
          <cell r="E270">
            <v>19515.150000000001</v>
          </cell>
          <cell r="G270">
            <v>1.2455000000000001E-2</v>
          </cell>
          <cell r="H270">
            <v>243.06119325000003</v>
          </cell>
        </row>
        <row r="271">
          <cell r="A271" t="str">
            <v>14-02-010</v>
          </cell>
          <cell r="B271" t="str">
            <v>46111</v>
          </cell>
          <cell r="C271" t="str">
            <v>herramienta y equipo menor</v>
          </cell>
          <cell r="D271" t="str">
            <v>%</v>
          </cell>
          <cell r="E271">
            <v>19515.150000000001</v>
          </cell>
          <cell r="G271">
            <v>0.05</v>
          </cell>
          <cell r="H271">
            <v>975.75750000000016</v>
          </cell>
        </row>
        <row r="272">
          <cell r="A272">
            <v>0</v>
          </cell>
          <cell r="C272" t="str">
            <v>DIRECTO:  20734,0 / M3</v>
          </cell>
          <cell r="D272">
            <v>0</v>
          </cell>
          <cell r="G272">
            <v>0</v>
          </cell>
          <cell r="H272">
            <v>0</v>
          </cell>
        </row>
        <row r="273">
          <cell r="A273">
            <v>0</v>
          </cell>
          <cell r="C273">
            <v>0</v>
          </cell>
          <cell r="D273">
            <v>0</v>
          </cell>
          <cell r="G273">
            <v>0</v>
          </cell>
          <cell r="H273">
            <v>0</v>
          </cell>
        </row>
        <row r="274">
          <cell r="A274" t="str">
            <v>14-02-020</v>
          </cell>
          <cell r="B274" t="str">
            <v>14-02-020</v>
          </cell>
          <cell r="C274" t="str">
            <v>BOTADA DE MATERIAL SOBRANTE</v>
          </cell>
          <cell r="D274" t="str">
            <v>M3</v>
          </cell>
          <cell r="E274">
            <v>113.82580000000002</v>
          </cell>
          <cell r="G274">
            <v>0</v>
          </cell>
          <cell r="H274">
            <v>36400</v>
          </cell>
        </row>
        <row r="275">
          <cell r="A275" t="str">
            <v>14-02-020</v>
          </cell>
          <cell r="B275" t="str">
            <v>3A242</v>
          </cell>
          <cell r="C275" t="str">
            <v>subcontrato de cargue y botada de materiales varios</v>
          </cell>
          <cell r="D275" t="str">
            <v>m3</v>
          </cell>
          <cell r="E275">
            <v>1</v>
          </cell>
          <cell r="F275">
            <v>0.3</v>
          </cell>
          <cell r="G275">
            <v>28000</v>
          </cell>
          <cell r="H275">
            <v>36400</v>
          </cell>
        </row>
        <row r="276">
          <cell r="A276" t="str">
            <v>14-02-020</v>
          </cell>
          <cell r="B276" t="str">
            <v>47111</v>
          </cell>
          <cell r="C276" t="str">
            <v>elementos de consumo y proteccion</v>
          </cell>
          <cell r="D276" t="str">
            <v>%</v>
          </cell>
          <cell r="E276">
            <v>0</v>
          </cell>
          <cell r="G276">
            <v>1.2455000000000001E-2</v>
          </cell>
          <cell r="H276">
            <v>0</v>
          </cell>
        </row>
        <row r="277">
          <cell r="A277" t="str">
            <v>14-02-020</v>
          </cell>
          <cell r="B277" t="str">
            <v>46111</v>
          </cell>
          <cell r="C277" t="str">
            <v>herramienta y equipo menor</v>
          </cell>
          <cell r="D277" t="str">
            <v>%</v>
          </cell>
          <cell r="E277">
            <v>0</v>
          </cell>
          <cell r="G277">
            <v>0.05</v>
          </cell>
          <cell r="H277">
            <v>0</v>
          </cell>
        </row>
        <row r="278">
          <cell r="A278">
            <v>0</v>
          </cell>
          <cell r="C278" t="str">
            <v>DIRECTO:  36400,0 / M3</v>
          </cell>
          <cell r="D278">
            <v>0</v>
          </cell>
          <cell r="G278">
            <v>0</v>
          </cell>
          <cell r="H278">
            <v>0</v>
          </cell>
        </row>
        <row r="279">
          <cell r="A279">
            <v>0</v>
          </cell>
          <cell r="C279">
            <v>0</v>
          </cell>
          <cell r="D279">
            <v>0</v>
          </cell>
          <cell r="G279">
            <v>0</v>
          </cell>
          <cell r="H279">
            <v>0</v>
          </cell>
        </row>
        <row r="280">
          <cell r="A280" t="str">
            <v>14-03-010</v>
          </cell>
          <cell r="B280" t="str">
            <v>14-03-010</v>
          </cell>
          <cell r="C280" t="str">
            <v>LLENOS EN BASE GRANULAR</v>
          </cell>
          <cell r="D280" t="str">
            <v>M3</v>
          </cell>
          <cell r="E280">
            <v>22.476025000000003</v>
          </cell>
          <cell r="G280">
            <v>0</v>
          </cell>
          <cell r="H280">
            <v>100681.87138793721</v>
          </cell>
        </row>
        <row r="281">
          <cell r="A281" t="str">
            <v>14-03-010</v>
          </cell>
          <cell r="B281" t="str">
            <v>11292</v>
          </cell>
          <cell r="C281" t="str">
            <v>base granular (1,650kg/m2)</v>
          </cell>
          <cell r="D281" t="str">
            <v>m3</v>
          </cell>
          <cell r="E281">
            <v>1</v>
          </cell>
          <cell r="F281">
            <v>0.25</v>
          </cell>
          <cell r="G281">
            <v>60551.999999999993</v>
          </cell>
          <cell r="H281">
            <v>75689.999999999985</v>
          </cell>
        </row>
        <row r="282">
          <cell r="A282" t="str">
            <v>14-03-010</v>
          </cell>
          <cell r="B282" t="str">
            <v>12911</v>
          </cell>
          <cell r="C282" t="str">
            <v>agua</v>
          </cell>
          <cell r="D282" t="str">
            <v>lt</v>
          </cell>
          <cell r="E282">
            <v>50</v>
          </cell>
          <cell r="G282">
            <v>1.3183400000000001</v>
          </cell>
          <cell r="H282">
            <v>65.917000000000002</v>
          </cell>
        </row>
        <row r="283">
          <cell r="A283" t="str">
            <v>14-03-010</v>
          </cell>
          <cell r="B283" t="str">
            <v>3A111</v>
          </cell>
          <cell r="C283" t="str">
            <v>ensayo de toma de densidades</v>
          </cell>
          <cell r="D283" t="str">
            <v>u</v>
          </cell>
          <cell r="E283">
            <v>1.1904761904761904E-2</v>
          </cell>
          <cell r="G283">
            <v>31493.999999999996</v>
          </cell>
          <cell r="H283">
            <v>374.92857142857139</v>
          </cell>
        </row>
        <row r="284">
          <cell r="A284" t="str">
            <v>14-03-010</v>
          </cell>
          <cell r="B284" t="str">
            <v>41321</v>
          </cell>
          <cell r="C284" t="str">
            <v>vibrocompactador (canguro)</v>
          </cell>
          <cell r="D284" t="str">
            <v>d</v>
          </cell>
          <cell r="E284">
            <v>0.125</v>
          </cell>
          <cell r="G284">
            <v>48720</v>
          </cell>
          <cell r="H284">
            <v>6090</v>
          </cell>
        </row>
        <row r="285">
          <cell r="A285" t="str">
            <v>14-03-010</v>
          </cell>
          <cell r="B285" t="str">
            <v>71111</v>
          </cell>
          <cell r="C285" t="str">
            <v>aux mo ayudante</v>
          </cell>
          <cell r="D285" t="str">
            <v>h</v>
          </cell>
          <cell r="E285">
            <v>1.5</v>
          </cell>
          <cell r="G285">
            <v>5520.3076923076933</v>
          </cell>
          <cell r="H285">
            <v>8280.461538461539</v>
          </cell>
        </row>
        <row r="286">
          <cell r="A286" t="str">
            <v>14-03-010</v>
          </cell>
          <cell r="B286" t="str">
            <v>2Z111</v>
          </cell>
          <cell r="C286" t="str">
            <v>mo transporte interno de material general</v>
          </cell>
          <cell r="D286" t="str">
            <v>m3</v>
          </cell>
          <cell r="E286">
            <v>1.25</v>
          </cell>
          <cell r="G286">
            <v>7276.2860000000001</v>
          </cell>
          <cell r="H286">
            <v>9095.3575000000001</v>
          </cell>
        </row>
        <row r="287">
          <cell r="A287" t="str">
            <v>14-03-010</v>
          </cell>
          <cell r="B287" t="str">
            <v>47111</v>
          </cell>
          <cell r="C287" t="str">
            <v>elementos de consumo y proteccion</v>
          </cell>
          <cell r="D287" t="str">
            <v>%</v>
          </cell>
          <cell r="E287">
            <v>17375.819038461537</v>
          </cell>
          <cell r="G287">
            <v>1.2455000000000001E-2</v>
          </cell>
          <cell r="H287">
            <v>216.41582612403846</v>
          </cell>
        </row>
        <row r="288">
          <cell r="A288" t="str">
            <v>14-03-010</v>
          </cell>
          <cell r="B288" t="str">
            <v>46111</v>
          </cell>
          <cell r="C288" t="str">
            <v>herramienta y equipo menor</v>
          </cell>
          <cell r="D288" t="str">
            <v>%</v>
          </cell>
          <cell r="E288">
            <v>17375.819038461537</v>
          </cell>
          <cell r="G288">
            <v>0.05</v>
          </cell>
          <cell r="H288">
            <v>868.79095192307693</v>
          </cell>
        </row>
        <row r="289">
          <cell r="A289">
            <v>0</v>
          </cell>
          <cell r="C289" t="str">
            <v>DIRECTO:  100682,0 / M3</v>
          </cell>
          <cell r="D289">
            <v>0</v>
          </cell>
          <cell r="G289">
            <v>0</v>
          </cell>
          <cell r="H289">
            <v>0</v>
          </cell>
        </row>
        <row r="290">
          <cell r="A290">
            <v>0</v>
          </cell>
          <cell r="C290">
            <v>0</v>
          </cell>
          <cell r="D290">
            <v>0</v>
          </cell>
          <cell r="G290">
            <v>0</v>
          </cell>
          <cell r="H290">
            <v>0</v>
          </cell>
        </row>
        <row r="291">
          <cell r="A291" t="str">
            <v>14-03-020</v>
          </cell>
          <cell r="B291" t="str">
            <v>14-03-020</v>
          </cell>
          <cell r="C291" t="str">
            <v>LLENOS EN SUB-BASE GRANULAR</v>
          </cell>
          <cell r="D291" t="str">
            <v>M3</v>
          </cell>
          <cell r="E291">
            <v>31.466435000000004</v>
          </cell>
          <cell r="G291">
            <v>0</v>
          </cell>
          <cell r="H291">
            <v>88719.371387937208</v>
          </cell>
        </row>
        <row r="292">
          <cell r="A292" t="str">
            <v>14-03-020</v>
          </cell>
          <cell r="B292" t="str">
            <v>11297</v>
          </cell>
          <cell r="C292" t="str">
            <v>sub base granular cruda sin procesar (1,650kg/m3)</v>
          </cell>
          <cell r="D292" t="str">
            <v>m3</v>
          </cell>
          <cell r="E292">
            <v>1</v>
          </cell>
          <cell r="F292">
            <v>0.25</v>
          </cell>
          <cell r="G292">
            <v>50982</v>
          </cell>
          <cell r="H292">
            <v>63727.5</v>
          </cell>
        </row>
        <row r="293">
          <cell r="A293" t="str">
            <v>14-03-020</v>
          </cell>
          <cell r="B293" t="str">
            <v>12911</v>
          </cell>
          <cell r="C293" t="str">
            <v>agua</v>
          </cell>
          <cell r="D293" t="str">
            <v>lt</v>
          </cell>
          <cell r="E293">
            <v>50</v>
          </cell>
          <cell r="G293">
            <v>1.3183400000000001</v>
          </cell>
          <cell r="H293">
            <v>65.917000000000002</v>
          </cell>
        </row>
        <row r="294">
          <cell r="A294" t="str">
            <v>14-03-020</v>
          </cell>
          <cell r="B294" t="str">
            <v>3A111</v>
          </cell>
          <cell r="C294" t="str">
            <v>ensayo de toma de densidades</v>
          </cell>
          <cell r="D294" t="str">
            <v>u</v>
          </cell>
          <cell r="E294">
            <v>1.1904761904761904E-2</v>
          </cell>
          <cell r="G294">
            <v>31493.999999999996</v>
          </cell>
          <cell r="H294">
            <v>374.92857142857139</v>
          </cell>
        </row>
        <row r="295">
          <cell r="A295" t="str">
            <v>14-03-020</v>
          </cell>
          <cell r="B295" t="str">
            <v>41321</v>
          </cell>
          <cell r="C295" t="str">
            <v>vibrocompactador (canguro)</v>
          </cell>
          <cell r="D295" t="str">
            <v>d</v>
          </cell>
          <cell r="E295">
            <v>0.125</v>
          </cell>
          <cell r="G295">
            <v>48720</v>
          </cell>
          <cell r="H295">
            <v>6090</v>
          </cell>
        </row>
        <row r="296">
          <cell r="A296" t="str">
            <v>14-03-020</v>
          </cell>
          <cell r="B296" t="str">
            <v>71111</v>
          </cell>
          <cell r="C296" t="str">
            <v>aux mo ayudante</v>
          </cell>
          <cell r="D296" t="str">
            <v>h</v>
          </cell>
          <cell r="E296">
            <v>1.5</v>
          </cell>
          <cell r="G296">
            <v>5520.3076923076933</v>
          </cell>
          <cell r="H296">
            <v>8280.461538461539</v>
          </cell>
        </row>
        <row r="297">
          <cell r="A297" t="str">
            <v>14-03-020</v>
          </cell>
          <cell r="B297" t="str">
            <v>2Z111</v>
          </cell>
          <cell r="C297" t="str">
            <v>mo transporte interno de material general</v>
          </cell>
          <cell r="D297" t="str">
            <v>m3</v>
          </cell>
          <cell r="E297">
            <v>1.25</v>
          </cell>
          <cell r="G297">
            <v>7276.2860000000001</v>
          </cell>
          <cell r="H297">
            <v>9095.3575000000001</v>
          </cell>
        </row>
        <row r="298">
          <cell r="A298" t="str">
            <v>14-03-020</v>
          </cell>
          <cell r="B298" t="str">
            <v>47111</v>
          </cell>
          <cell r="C298" t="str">
            <v>elementos de consumo y proteccion</v>
          </cell>
          <cell r="D298" t="str">
            <v>%</v>
          </cell>
          <cell r="E298">
            <v>17375.819038461537</v>
          </cell>
          <cell r="G298">
            <v>1.2455000000000001E-2</v>
          </cell>
          <cell r="H298">
            <v>216.41582612403846</v>
          </cell>
        </row>
        <row r="299">
          <cell r="A299" t="str">
            <v>14-03-020</v>
          </cell>
          <cell r="B299" t="str">
            <v>46111</v>
          </cell>
          <cell r="C299" t="str">
            <v>herramienta y equipo menor</v>
          </cell>
          <cell r="D299" t="str">
            <v>%</v>
          </cell>
          <cell r="E299">
            <v>17375.819038461537</v>
          </cell>
          <cell r="G299">
            <v>0.05</v>
          </cell>
          <cell r="H299">
            <v>868.79095192307693</v>
          </cell>
        </row>
        <row r="300">
          <cell r="A300">
            <v>0</v>
          </cell>
          <cell r="C300" t="str">
            <v>DIRECTO:  88720,0 / M3</v>
          </cell>
          <cell r="D300">
            <v>0</v>
          </cell>
          <cell r="G300">
            <v>0</v>
          </cell>
          <cell r="H300">
            <v>0</v>
          </cell>
        </row>
        <row r="301">
          <cell r="A301">
            <v>0</v>
          </cell>
          <cell r="C301">
            <v>0</v>
          </cell>
          <cell r="D301">
            <v>0</v>
          </cell>
          <cell r="G301">
            <v>0</v>
          </cell>
          <cell r="H301">
            <v>0</v>
          </cell>
        </row>
        <row r="302">
          <cell r="A302" t="str">
            <v>14-03-030</v>
          </cell>
          <cell r="B302" t="str">
            <v>14-03-030</v>
          </cell>
          <cell r="C302" t="str">
            <v>LLENOS EN ARENILLA</v>
          </cell>
          <cell r="D302" t="str">
            <v>M3</v>
          </cell>
          <cell r="E302">
            <v>46.397725000000001</v>
          </cell>
          <cell r="G302">
            <v>0</v>
          </cell>
          <cell r="H302">
            <v>72634.719710043733</v>
          </cell>
        </row>
        <row r="303">
          <cell r="A303" t="str">
            <v>14-03-030</v>
          </cell>
          <cell r="B303" t="str">
            <v>11218</v>
          </cell>
          <cell r="C303" t="str">
            <v>arenilla</v>
          </cell>
          <cell r="D303" t="str">
            <v>m3</v>
          </cell>
          <cell r="E303">
            <v>1</v>
          </cell>
          <cell r="F303">
            <v>0.3</v>
          </cell>
          <cell r="G303">
            <v>20474</v>
          </cell>
          <cell r="H303">
            <v>26616.2</v>
          </cell>
        </row>
        <row r="304">
          <cell r="A304" t="str">
            <v>14-03-030</v>
          </cell>
          <cell r="B304" t="str">
            <v>12911</v>
          </cell>
          <cell r="C304" t="str">
            <v>agua</v>
          </cell>
          <cell r="D304" t="str">
            <v>lt</v>
          </cell>
          <cell r="E304">
            <v>50</v>
          </cell>
          <cell r="G304">
            <v>1.3183400000000001</v>
          </cell>
          <cell r="H304">
            <v>65.917000000000002</v>
          </cell>
        </row>
        <row r="305">
          <cell r="A305" t="str">
            <v>14-03-030</v>
          </cell>
          <cell r="B305" t="str">
            <v>3A111</v>
          </cell>
          <cell r="C305" t="str">
            <v>ensayo de toma de densidades</v>
          </cell>
          <cell r="D305" t="str">
            <v>u</v>
          </cell>
          <cell r="E305">
            <v>1.1904761904761904E-2</v>
          </cell>
          <cell r="G305">
            <v>31493.999999999996</v>
          </cell>
          <cell r="H305">
            <v>374.92857142857139</v>
          </cell>
        </row>
        <row r="306">
          <cell r="A306" t="str">
            <v>14-03-030</v>
          </cell>
          <cell r="B306" t="str">
            <v>41321</v>
          </cell>
          <cell r="C306" t="str">
            <v>vibrocompactador (canguro)</v>
          </cell>
          <cell r="D306" t="str">
            <v>d</v>
          </cell>
          <cell r="E306">
            <v>0.2</v>
          </cell>
          <cell r="G306">
            <v>48720</v>
          </cell>
          <cell r="H306">
            <v>9744</v>
          </cell>
        </row>
        <row r="307">
          <cell r="A307" t="str">
            <v>14-03-030</v>
          </cell>
          <cell r="B307" t="str">
            <v>61213</v>
          </cell>
          <cell r="C307" t="str">
            <v>transporte a envigado</v>
          </cell>
          <cell r="D307" t="str">
            <v>t</v>
          </cell>
          <cell r="E307">
            <v>2.08</v>
          </cell>
          <cell r="G307">
            <v>8166.4</v>
          </cell>
          <cell r="H307">
            <v>16986.112000000001</v>
          </cell>
        </row>
        <row r="308">
          <cell r="A308" t="str">
            <v>14-03-030</v>
          </cell>
          <cell r="B308" t="str">
            <v>71111</v>
          </cell>
          <cell r="C308" t="str">
            <v>aux mo ayudante</v>
          </cell>
          <cell r="D308" t="str">
            <v>h</v>
          </cell>
          <cell r="E308">
            <v>1.5</v>
          </cell>
          <cell r="G308">
            <v>5520.3076923076933</v>
          </cell>
          <cell r="H308">
            <v>8280.461538461539</v>
          </cell>
        </row>
        <row r="309">
          <cell r="A309" t="str">
            <v>14-03-030</v>
          </cell>
          <cell r="B309" t="str">
            <v>2Z111</v>
          </cell>
          <cell r="C309" t="str">
            <v>mo transporte interno de material general</v>
          </cell>
          <cell r="D309" t="str">
            <v>m3</v>
          </cell>
          <cell r="E309">
            <v>1.3</v>
          </cell>
          <cell r="G309">
            <v>7276.2860000000001</v>
          </cell>
          <cell r="H309">
            <v>9459.1718000000001</v>
          </cell>
        </row>
        <row r="310">
          <cell r="A310" t="str">
            <v>14-03-030</v>
          </cell>
          <cell r="B310" t="str">
            <v>47111</v>
          </cell>
          <cell r="C310" t="str">
            <v>elementos de consumo y proteccion</v>
          </cell>
          <cell r="D310" t="str">
            <v>%</v>
          </cell>
          <cell r="E310">
            <v>17739.633338461539</v>
          </cell>
          <cell r="G310">
            <v>1.2455000000000001E-2</v>
          </cell>
          <cell r="H310">
            <v>220.9471332305385</v>
          </cell>
        </row>
        <row r="311">
          <cell r="A311" t="str">
            <v>14-03-030</v>
          </cell>
          <cell r="B311" t="str">
            <v>46111</v>
          </cell>
          <cell r="C311" t="str">
            <v>herramienta y equipo menor</v>
          </cell>
          <cell r="D311" t="str">
            <v>%</v>
          </cell>
          <cell r="E311">
            <v>17739.633338461539</v>
          </cell>
          <cell r="G311">
            <v>0.05</v>
          </cell>
          <cell r="H311">
            <v>886.981666923077</v>
          </cell>
        </row>
        <row r="312">
          <cell r="A312">
            <v>0</v>
          </cell>
          <cell r="C312" t="str">
            <v>DIRECTO:  72635,0 / M3</v>
          </cell>
          <cell r="D312">
            <v>0</v>
          </cell>
          <cell r="G312">
            <v>0</v>
          </cell>
          <cell r="H312">
            <v>0</v>
          </cell>
        </row>
        <row r="313">
          <cell r="A313">
            <v>0</v>
          </cell>
          <cell r="C313">
            <v>0</v>
          </cell>
          <cell r="D313">
            <v>0</v>
          </cell>
          <cell r="G313">
            <v>0</v>
          </cell>
          <cell r="H313">
            <v>0</v>
          </cell>
        </row>
        <row r="314">
          <cell r="A314" t="str">
            <v>14-03-040</v>
          </cell>
          <cell r="B314" t="str">
            <v>14-03-040</v>
          </cell>
          <cell r="C314" t="str">
            <v>LLENOS EN MATERIAL SOBRANTE, PROVENIENTE DE LAS EXCAVACIONES</v>
          </cell>
          <cell r="D314" t="str">
            <v>M3</v>
          </cell>
          <cell r="E314">
            <v>37.295720000000003</v>
          </cell>
          <cell r="G314">
            <v>0</v>
          </cell>
          <cell r="H314">
            <v>29006.040910043728</v>
          </cell>
        </row>
        <row r="315">
          <cell r="A315" t="str">
            <v>14-03-040</v>
          </cell>
          <cell r="B315" t="str">
            <v>41321</v>
          </cell>
          <cell r="C315" t="str">
            <v>vibrocompactador (canguro)</v>
          </cell>
          <cell r="D315" t="str">
            <v>d</v>
          </cell>
          <cell r="E315">
            <v>0.2</v>
          </cell>
          <cell r="G315">
            <v>48720</v>
          </cell>
          <cell r="H315">
            <v>9744</v>
          </cell>
        </row>
        <row r="316">
          <cell r="A316" t="str">
            <v>14-03-040</v>
          </cell>
          <cell r="B316" t="str">
            <v>12911</v>
          </cell>
          <cell r="C316" t="str">
            <v>agua</v>
          </cell>
          <cell r="D316" t="str">
            <v>lt</v>
          </cell>
          <cell r="E316">
            <v>30</v>
          </cell>
          <cell r="G316">
            <v>1.3183400000000001</v>
          </cell>
          <cell r="H316">
            <v>39.550200000000004</v>
          </cell>
        </row>
        <row r="317">
          <cell r="A317" t="str">
            <v>14-03-040</v>
          </cell>
          <cell r="B317" t="str">
            <v>3A111</v>
          </cell>
          <cell r="C317" t="str">
            <v>ensayo de toma de densidades</v>
          </cell>
          <cell r="D317" t="str">
            <v>u</v>
          </cell>
          <cell r="E317">
            <v>1.1904761904761904E-2</v>
          </cell>
          <cell r="G317">
            <v>31493.999999999996</v>
          </cell>
          <cell r="H317">
            <v>374.92857142857139</v>
          </cell>
        </row>
        <row r="318">
          <cell r="A318" t="str">
            <v>14-03-040</v>
          </cell>
          <cell r="B318" t="str">
            <v>71111</v>
          </cell>
          <cell r="C318" t="str">
            <v>aux mo ayudante</v>
          </cell>
          <cell r="D318" t="str">
            <v>h</v>
          </cell>
          <cell r="E318">
            <v>1.5</v>
          </cell>
          <cell r="G318">
            <v>5520.3076923076933</v>
          </cell>
          <cell r="H318">
            <v>8280.461538461539</v>
          </cell>
        </row>
        <row r="319">
          <cell r="A319" t="str">
            <v>14-03-040</v>
          </cell>
          <cell r="B319" t="str">
            <v>2Z111</v>
          </cell>
          <cell r="C319" t="str">
            <v>mo transporte interno de material general</v>
          </cell>
          <cell r="D319" t="str">
            <v>m3</v>
          </cell>
          <cell r="E319">
            <v>1</v>
          </cell>
          <cell r="F319">
            <v>0.3</v>
          </cell>
          <cell r="G319">
            <v>7276.2860000000001</v>
          </cell>
          <cell r="H319">
            <v>9459.1718000000001</v>
          </cell>
        </row>
        <row r="320">
          <cell r="A320" t="str">
            <v>14-03-040</v>
          </cell>
          <cell r="B320" t="str">
            <v>47111</v>
          </cell>
          <cell r="C320" t="str">
            <v>elementos de consumo y proteccion</v>
          </cell>
          <cell r="D320" t="str">
            <v>%</v>
          </cell>
          <cell r="E320">
            <v>17739.633338461539</v>
          </cell>
          <cell r="G320">
            <v>1.2455000000000001E-2</v>
          </cell>
          <cell r="H320">
            <v>220.9471332305385</v>
          </cell>
        </row>
        <row r="321">
          <cell r="A321" t="str">
            <v>14-03-040</v>
          </cell>
          <cell r="B321" t="str">
            <v>46111</v>
          </cell>
          <cell r="C321" t="str">
            <v>herramienta y equipo menor</v>
          </cell>
          <cell r="D321" t="str">
            <v>%</v>
          </cell>
          <cell r="E321">
            <v>17739.633338461539</v>
          </cell>
          <cell r="G321">
            <v>0.05</v>
          </cell>
          <cell r="H321">
            <v>886.981666923077</v>
          </cell>
        </row>
        <row r="322">
          <cell r="A322">
            <v>0</v>
          </cell>
          <cell r="C322" t="str">
            <v>DIRECTO:  29007,0 / M3</v>
          </cell>
          <cell r="D322">
            <v>0</v>
          </cell>
          <cell r="G322">
            <v>0</v>
          </cell>
          <cell r="H322">
            <v>0</v>
          </cell>
        </row>
        <row r="323">
          <cell r="A323">
            <v>0</v>
          </cell>
          <cell r="C323">
            <v>0</v>
          </cell>
          <cell r="D323">
            <v>0</v>
          </cell>
          <cell r="G323">
            <v>0</v>
          </cell>
          <cell r="H323">
            <v>0</v>
          </cell>
        </row>
        <row r="324">
          <cell r="A324" t="str">
            <v>14-03-050</v>
          </cell>
          <cell r="B324" t="str">
            <v>14-03-050</v>
          </cell>
          <cell r="C324" t="str">
            <v>TRITURADO 3/4" PARA CIMENTACION</v>
          </cell>
          <cell r="D324" t="str">
            <v>M3</v>
          </cell>
          <cell r="E324">
            <v>13.485615000000001</v>
          </cell>
          <cell r="G324">
            <v>0</v>
          </cell>
          <cell r="H324">
            <v>125167.30226373942</v>
          </cell>
        </row>
        <row r="325">
          <cell r="A325" t="str">
            <v>14-03-050</v>
          </cell>
          <cell r="B325" t="str">
            <v>11238</v>
          </cell>
          <cell r="C325" t="str">
            <v>triturado para concreto tamaño maximo 3/4" (1,520kg/m3)</v>
          </cell>
          <cell r="D325" t="str">
            <v>m3</v>
          </cell>
          <cell r="E325">
            <v>1</v>
          </cell>
          <cell r="F325">
            <v>0.25</v>
          </cell>
          <cell r="G325">
            <v>73706.399999999994</v>
          </cell>
          <cell r="H325">
            <v>92133</v>
          </cell>
        </row>
        <row r="326">
          <cell r="A326" t="str">
            <v>14-03-050</v>
          </cell>
          <cell r="B326" t="str">
            <v>61213</v>
          </cell>
          <cell r="C326" t="str">
            <v>transporte a envigado</v>
          </cell>
          <cell r="D326" t="str">
            <v>t</v>
          </cell>
          <cell r="E326">
            <v>2</v>
          </cell>
          <cell r="G326">
            <v>8166.4</v>
          </cell>
          <cell r="H326">
            <v>16332.8</v>
          </cell>
        </row>
        <row r="327">
          <cell r="A327" t="str">
            <v>14-03-050</v>
          </cell>
          <cell r="B327" t="str">
            <v>71111</v>
          </cell>
          <cell r="C327" t="str">
            <v>aux mo ayudante</v>
          </cell>
          <cell r="D327" t="str">
            <v>h</v>
          </cell>
          <cell r="E327">
            <v>1.2</v>
          </cell>
          <cell r="G327">
            <v>5520.3076923076933</v>
          </cell>
          <cell r="H327">
            <v>6624.3692307692318</v>
          </cell>
        </row>
        <row r="328">
          <cell r="A328" t="str">
            <v>14-03-050</v>
          </cell>
          <cell r="B328" t="str">
            <v>2Z111</v>
          </cell>
          <cell r="C328" t="str">
            <v>mo transporte interno de material general</v>
          </cell>
          <cell r="D328" t="str">
            <v>m3</v>
          </cell>
          <cell r="E328">
            <v>1.25</v>
          </cell>
          <cell r="G328">
            <v>7276.2860000000001</v>
          </cell>
          <cell r="H328">
            <v>9095.3575000000001</v>
          </cell>
        </row>
        <row r="329">
          <cell r="A329" t="str">
            <v>14-03-050</v>
          </cell>
          <cell r="B329" t="str">
            <v>47111</v>
          </cell>
          <cell r="C329" t="str">
            <v>elementos de consumo y proteccion</v>
          </cell>
          <cell r="D329" t="str">
            <v>%</v>
          </cell>
          <cell r="E329">
            <v>15719.726730769231</v>
          </cell>
          <cell r="G329">
            <v>1.2455000000000001E-2</v>
          </cell>
          <cell r="H329">
            <v>195.78919643173077</v>
          </cell>
        </row>
        <row r="330">
          <cell r="A330" t="str">
            <v>14-03-050</v>
          </cell>
          <cell r="B330" t="str">
            <v>46111</v>
          </cell>
          <cell r="C330" t="str">
            <v>herramienta y equipo menor</v>
          </cell>
          <cell r="D330" t="str">
            <v>%</v>
          </cell>
          <cell r="E330">
            <v>15719.726730769231</v>
          </cell>
          <cell r="G330">
            <v>0.05</v>
          </cell>
          <cell r="H330">
            <v>785.98633653846161</v>
          </cell>
        </row>
        <row r="331">
          <cell r="A331">
            <v>0</v>
          </cell>
          <cell r="C331" t="str">
            <v>DIRECTO:  125168,0 / M3</v>
          </cell>
          <cell r="D331">
            <v>0</v>
          </cell>
          <cell r="G331">
            <v>0</v>
          </cell>
          <cell r="H331">
            <v>0</v>
          </cell>
        </row>
        <row r="332">
          <cell r="A332">
            <v>0</v>
          </cell>
          <cell r="C332">
            <v>0</v>
          </cell>
          <cell r="D332">
            <v>0</v>
          </cell>
          <cell r="G332">
            <v>0</v>
          </cell>
          <cell r="H332">
            <v>0</v>
          </cell>
        </row>
        <row r="333">
          <cell r="A333" t="str">
            <v>14-04-010</v>
          </cell>
          <cell r="B333" t="str">
            <v>14-04-010</v>
          </cell>
          <cell r="C333" t="str">
            <v>TUBERIA PVC Ø100 MM RDE 21</v>
          </cell>
          <cell r="D333" t="str">
            <v>M</v>
          </cell>
          <cell r="E333">
            <v>59.477000000000004</v>
          </cell>
          <cell r="G333">
            <v>0</v>
          </cell>
          <cell r="H333">
            <v>46458.068829180098</v>
          </cell>
        </row>
        <row r="334">
          <cell r="A334" t="str">
            <v>14-04-010</v>
          </cell>
          <cell r="B334" t="str">
            <v>1HS16</v>
          </cell>
          <cell r="C334" t="str">
            <v>tuberia union platino rde 21 200 psi, ø= 4" - pavco o equivalente.</v>
          </cell>
          <cell r="D334" t="str">
            <v>m</v>
          </cell>
          <cell r="E334">
            <v>1</v>
          </cell>
          <cell r="F334">
            <v>0.05</v>
          </cell>
          <cell r="G334">
            <v>26644.426666666663</v>
          </cell>
          <cell r="H334">
            <v>27976.647999999997</v>
          </cell>
        </row>
        <row r="335">
          <cell r="A335" t="str">
            <v>14-04-010</v>
          </cell>
          <cell r="B335" t="str">
            <v>1HS17</v>
          </cell>
          <cell r="C335" t="str">
            <v>union platino ø= 4"</v>
          </cell>
          <cell r="D335" t="str">
            <v>u</v>
          </cell>
          <cell r="E335">
            <v>8.3330000000000001E-2</v>
          </cell>
          <cell r="G335">
            <v>43564.959999999999</v>
          </cell>
          <cell r="H335">
            <v>3630.2681167999999</v>
          </cell>
        </row>
        <row r="336">
          <cell r="A336" t="str">
            <v>14-04-010</v>
          </cell>
          <cell r="B336" t="str">
            <v>1HS18</v>
          </cell>
          <cell r="C336" t="str">
            <v>union platino de reparacion ø= 4"</v>
          </cell>
          <cell r="D336" t="str">
            <v>u</v>
          </cell>
          <cell r="E336">
            <v>0.05</v>
          </cell>
          <cell r="G336">
            <v>49006.52</v>
          </cell>
          <cell r="H336">
            <v>2450.326</v>
          </cell>
        </row>
        <row r="337">
          <cell r="A337" t="str">
            <v>14-04-010</v>
          </cell>
          <cell r="B337" t="str">
            <v>1HS14</v>
          </cell>
          <cell r="C337" t="str">
            <v>lubricante para tubería 500 gr</v>
          </cell>
          <cell r="D337" t="str">
            <v>lb</v>
          </cell>
          <cell r="E337">
            <v>0.04</v>
          </cell>
          <cell r="G337">
            <v>15056.8</v>
          </cell>
          <cell r="H337">
            <v>602.27199999999993</v>
          </cell>
        </row>
        <row r="338">
          <cell r="A338" t="str">
            <v>14-04-010</v>
          </cell>
          <cell r="B338" t="str">
            <v>4HS15</v>
          </cell>
          <cell r="C338" t="str">
            <v>bomba hidrostática para presurización de redes de abasto o acueducto.</v>
          </cell>
          <cell r="D338" t="str">
            <v>d</v>
          </cell>
          <cell r="E338">
            <v>0.1</v>
          </cell>
          <cell r="G338">
            <v>30507.999999999996</v>
          </cell>
          <cell r="H338">
            <v>3050.7999999999997</v>
          </cell>
        </row>
        <row r="339">
          <cell r="A339" t="str">
            <v>14-04-010</v>
          </cell>
          <cell r="B339" t="str">
            <v>2C111</v>
          </cell>
          <cell r="C339" t="str">
            <v>mo cuadrilla (1 of + 1 ay)</v>
          </cell>
          <cell r="D339" t="str">
            <v>d</v>
          </cell>
          <cell r="E339">
            <v>7.5840000000000005E-2</v>
          </cell>
          <cell r="G339">
            <v>108564.47283709361</v>
          </cell>
          <cell r="H339">
            <v>8233.5296199651802</v>
          </cell>
        </row>
        <row r="340">
          <cell r="A340" t="str">
            <v>14-04-010</v>
          </cell>
          <cell r="B340" t="str">
            <v>47111</v>
          </cell>
          <cell r="C340" t="str">
            <v>elementos de consumo y proteccion</v>
          </cell>
          <cell r="D340" t="str">
            <v>%</v>
          </cell>
          <cell r="E340">
            <v>8233.5296199651802</v>
          </cell>
          <cell r="G340">
            <v>1.2455000000000001E-2</v>
          </cell>
          <cell r="H340">
            <v>102.54861141666633</v>
          </cell>
        </row>
        <row r="341">
          <cell r="A341" t="str">
            <v>14-04-010</v>
          </cell>
          <cell r="B341" t="str">
            <v>46111</v>
          </cell>
          <cell r="C341" t="str">
            <v>herramienta y equipo menor</v>
          </cell>
          <cell r="D341" t="str">
            <v>%</v>
          </cell>
          <cell r="E341">
            <v>8233.5296199651802</v>
          </cell>
          <cell r="G341">
            <v>0.05</v>
          </cell>
          <cell r="H341">
            <v>411.67648099825902</v>
          </cell>
        </row>
        <row r="342">
          <cell r="A342">
            <v>0</v>
          </cell>
          <cell r="C342" t="str">
            <v>DIRECTO:  46459,0 / M</v>
          </cell>
          <cell r="D342">
            <v>0</v>
          </cell>
          <cell r="G342">
            <v>0</v>
          </cell>
          <cell r="H342">
            <v>0</v>
          </cell>
        </row>
        <row r="343">
          <cell r="A343">
            <v>0</v>
          </cell>
          <cell r="C343">
            <v>0</v>
          </cell>
          <cell r="D343">
            <v>0</v>
          </cell>
          <cell r="G343">
            <v>0</v>
          </cell>
          <cell r="H343">
            <v>0</v>
          </cell>
        </row>
        <row r="344">
          <cell r="A344" t="str">
            <v>14-05-002</v>
          </cell>
          <cell r="B344" t="str">
            <v>14-05-002</v>
          </cell>
          <cell r="C344" t="str">
            <v>TEE PVC Ø100 MM X 100 MM</v>
          </cell>
          <cell r="D344" t="str">
            <v>U</v>
          </cell>
          <cell r="E344">
            <v>2</v>
          </cell>
          <cell r="G344">
            <v>0</v>
          </cell>
          <cell r="H344">
            <v>204293.53735905077</v>
          </cell>
        </row>
        <row r="345">
          <cell r="A345" t="str">
            <v>14-05-002</v>
          </cell>
          <cell r="B345" t="str">
            <v>1HS97</v>
          </cell>
          <cell r="C345" t="str">
            <v>tee ø= 4"x4" - pavco platinum o equivalente</v>
          </cell>
          <cell r="D345" t="str">
            <v>u</v>
          </cell>
          <cell r="E345">
            <v>1</v>
          </cell>
          <cell r="F345">
            <v>0.05</v>
          </cell>
          <cell r="G345">
            <v>172777.36</v>
          </cell>
          <cell r="H345">
            <v>181416.228</v>
          </cell>
        </row>
        <row r="346">
          <cell r="A346" t="str">
            <v>14-05-002</v>
          </cell>
          <cell r="B346" t="str">
            <v>1HS14</v>
          </cell>
          <cell r="C346" t="str">
            <v>lubricante para tubería 500 gr</v>
          </cell>
          <cell r="D346" t="str">
            <v>lb</v>
          </cell>
          <cell r="E346">
            <v>0.4</v>
          </cell>
          <cell r="G346">
            <v>15056.8</v>
          </cell>
          <cell r="H346">
            <v>6022.72</v>
          </cell>
        </row>
        <row r="347">
          <cell r="A347" t="str">
            <v>14-05-002</v>
          </cell>
          <cell r="B347" t="str">
            <v>4HS15</v>
          </cell>
          <cell r="C347" t="str">
            <v>bomba hidrostática para presurización de redes de abasto o acueducto.</v>
          </cell>
          <cell r="D347" t="str">
            <v>d</v>
          </cell>
          <cell r="E347">
            <v>0.25</v>
          </cell>
          <cell r="G347">
            <v>30507.999999999996</v>
          </cell>
          <cell r="H347">
            <v>7626.9999999999991</v>
          </cell>
        </row>
        <row r="348">
          <cell r="A348" t="str">
            <v>14-05-002</v>
          </cell>
          <cell r="B348" t="str">
            <v>2C111</v>
          </cell>
          <cell r="C348" t="str">
            <v>mo cuadrilla (1 of + 1 ay)</v>
          </cell>
          <cell r="D348" t="str">
            <v>d</v>
          </cell>
          <cell r="E348">
            <v>0.08</v>
          </cell>
          <cell r="G348">
            <v>108564.47283709361</v>
          </cell>
          <cell r="H348">
            <v>8685.1578269674883</v>
          </cell>
        </row>
        <row r="349">
          <cell r="A349" t="str">
            <v>14-05-002</v>
          </cell>
          <cell r="B349" t="str">
            <v>47111</v>
          </cell>
          <cell r="C349" t="str">
            <v>elementos de consumo y proteccion</v>
          </cell>
          <cell r="D349" t="str">
            <v>%</v>
          </cell>
          <cell r="E349">
            <v>8685.1578269674883</v>
          </cell>
          <cell r="G349">
            <v>1.2455000000000001E-2</v>
          </cell>
          <cell r="H349">
            <v>108.17364073488007</v>
          </cell>
        </row>
        <row r="350">
          <cell r="A350" t="str">
            <v>14-05-002</v>
          </cell>
          <cell r="B350" t="str">
            <v>46111</v>
          </cell>
          <cell r="C350" t="str">
            <v>herramienta y equipo menor</v>
          </cell>
          <cell r="D350" t="str">
            <v>%</v>
          </cell>
          <cell r="E350">
            <v>8685.1578269674883</v>
          </cell>
          <cell r="G350">
            <v>0.05</v>
          </cell>
          <cell r="H350">
            <v>434.25789134837441</v>
          </cell>
        </row>
        <row r="351">
          <cell r="A351">
            <v>0</v>
          </cell>
          <cell r="C351" t="str">
            <v>DIRECTO:  204294,0 / U</v>
          </cell>
          <cell r="D351">
            <v>0</v>
          </cell>
          <cell r="G351">
            <v>0</v>
          </cell>
          <cell r="H351">
            <v>0</v>
          </cell>
        </row>
        <row r="352">
          <cell r="A352">
            <v>0</v>
          </cell>
          <cell r="C352">
            <v>0</v>
          </cell>
          <cell r="D352">
            <v>0</v>
          </cell>
          <cell r="G352">
            <v>0</v>
          </cell>
          <cell r="H352">
            <v>0</v>
          </cell>
        </row>
        <row r="353">
          <cell r="A353" t="str">
            <v>14-05-020</v>
          </cell>
          <cell r="B353" t="str">
            <v>14-05-020</v>
          </cell>
          <cell r="C353" t="str">
            <v>TEE PVC Ø150 MM X 100 MM</v>
          </cell>
          <cell r="D353" t="str">
            <v>U</v>
          </cell>
          <cell r="E353">
            <v>2</v>
          </cell>
          <cell r="G353">
            <v>0</v>
          </cell>
          <cell r="H353">
            <v>388769.50269881345</v>
          </cell>
        </row>
        <row r="354">
          <cell r="A354" t="str">
            <v>14-05-020</v>
          </cell>
          <cell r="B354" t="str">
            <v>1HS33</v>
          </cell>
          <cell r="C354" t="str">
            <v>tee ø= 6"x4" - pavco o equivalente</v>
          </cell>
          <cell r="D354" t="str">
            <v>u</v>
          </cell>
          <cell r="E354">
            <v>1</v>
          </cell>
          <cell r="F354">
            <v>0.05</v>
          </cell>
          <cell r="G354">
            <v>345554.72</v>
          </cell>
          <cell r="H354">
            <v>362832.45600000001</v>
          </cell>
        </row>
        <row r="355">
          <cell r="A355" t="str">
            <v>14-05-020</v>
          </cell>
          <cell r="B355" t="str">
            <v>1HS14</v>
          </cell>
          <cell r="C355" t="str">
            <v>lubricante para tubería 500 gr</v>
          </cell>
          <cell r="D355" t="str">
            <v>lb</v>
          </cell>
          <cell r="E355">
            <v>0.45</v>
          </cell>
          <cell r="G355">
            <v>15056.8</v>
          </cell>
          <cell r="H355">
            <v>6775.5599999999995</v>
          </cell>
        </row>
        <row r="356">
          <cell r="A356" t="str">
            <v>14-05-020</v>
          </cell>
          <cell r="B356" t="str">
            <v>4HS15</v>
          </cell>
          <cell r="C356" t="str">
            <v>bomba hidrostática para presurización de redes de abasto o acueducto.</v>
          </cell>
          <cell r="D356" t="str">
            <v>d</v>
          </cell>
          <cell r="E356">
            <v>0.25</v>
          </cell>
          <cell r="G356">
            <v>30507.999999999996</v>
          </cell>
          <cell r="H356">
            <v>7626.9999999999991</v>
          </cell>
        </row>
        <row r="357">
          <cell r="A357" t="str">
            <v>14-05-020</v>
          </cell>
          <cell r="B357" t="str">
            <v>2C111</v>
          </cell>
          <cell r="C357" t="str">
            <v>mo cuadrilla (1 of + 1 ay)</v>
          </cell>
          <cell r="D357" t="str">
            <v>d</v>
          </cell>
          <cell r="E357">
            <v>0.1</v>
          </cell>
          <cell r="G357">
            <v>108564.47283709361</v>
          </cell>
          <cell r="H357">
            <v>10856.447283709362</v>
          </cell>
        </row>
        <row r="358">
          <cell r="A358" t="str">
            <v>14-05-020</v>
          </cell>
          <cell r="B358" t="str">
            <v>47111</v>
          </cell>
          <cell r="C358" t="str">
            <v>elementos de consumo y proteccion</v>
          </cell>
          <cell r="D358" t="str">
            <v>%</v>
          </cell>
          <cell r="E358">
            <v>10856.447283709362</v>
          </cell>
          <cell r="G358">
            <v>1.2455000000000001E-2</v>
          </cell>
          <cell r="H358">
            <v>135.21705091860011</v>
          </cell>
        </row>
        <row r="359">
          <cell r="A359" t="str">
            <v>14-05-020</v>
          </cell>
          <cell r="B359" t="str">
            <v>46111</v>
          </cell>
          <cell r="C359" t="str">
            <v>herramienta y equipo menor</v>
          </cell>
          <cell r="D359" t="str">
            <v>%</v>
          </cell>
          <cell r="E359">
            <v>10856.447283709362</v>
          </cell>
          <cell r="G359">
            <v>0.05</v>
          </cell>
          <cell r="H359">
            <v>542.82236418546813</v>
          </cell>
        </row>
        <row r="360">
          <cell r="A360">
            <v>0</v>
          </cell>
          <cell r="C360" t="str">
            <v>DIRECTO:  388770,0 / U</v>
          </cell>
          <cell r="D360">
            <v>0</v>
          </cell>
          <cell r="G360">
            <v>0</v>
          </cell>
          <cell r="H360">
            <v>0</v>
          </cell>
        </row>
        <row r="361">
          <cell r="A361">
            <v>0</v>
          </cell>
          <cell r="C361">
            <v>0</v>
          </cell>
          <cell r="D361">
            <v>0</v>
          </cell>
          <cell r="G361">
            <v>0</v>
          </cell>
          <cell r="H361">
            <v>0</v>
          </cell>
        </row>
        <row r="362">
          <cell r="A362" t="str">
            <v>14-05-175</v>
          </cell>
          <cell r="B362" t="str">
            <v>14-05-175</v>
          </cell>
          <cell r="C362" t="str">
            <v>REDUCCION PVC Ø150 MM X 100 MM</v>
          </cell>
          <cell r="D362" t="str">
            <v>U</v>
          </cell>
          <cell r="E362">
            <v>2</v>
          </cell>
          <cell r="G362">
            <v>0</v>
          </cell>
          <cell r="H362">
            <v>77638.30469881343</v>
          </cell>
        </row>
        <row r="363">
          <cell r="A363" t="str">
            <v>14-05-175</v>
          </cell>
          <cell r="B363" t="str">
            <v>1HSE0</v>
          </cell>
          <cell r="C363" t="str">
            <v>reduccion pvc ø150x100mm</v>
          </cell>
          <cell r="D363" t="str">
            <v>u</v>
          </cell>
          <cell r="E363">
            <v>1</v>
          </cell>
          <cell r="F363">
            <v>0.05</v>
          </cell>
          <cell r="G363">
            <v>56446.759999999995</v>
          </cell>
          <cell r="H363">
            <v>59269.097999999998</v>
          </cell>
        </row>
        <row r="364">
          <cell r="A364" t="str">
            <v>14-05-175</v>
          </cell>
          <cell r="B364" t="str">
            <v>1HS14</v>
          </cell>
          <cell r="C364" t="str">
            <v>lubricante para tubería 500 gr</v>
          </cell>
          <cell r="D364" t="str">
            <v>lb</v>
          </cell>
          <cell r="E364">
            <v>0.15</v>
          </cell>
          <cell r="G364">
            <v>15056.8</v>
          </cell>
          <cell r="H364">
            <v>2258.52</v>
          </cell>
        </row>
        <row r="365">
          <cell r="A365" t="str">
            <v>14-05-175</v>
          </cell>
          <cell r="B365" t="str">
            <v>4HS15</v>
          </cell>
          <cell r="C365" t="str">
            <v>bomba hidrostática para presurización de redes de abasto o acueducto.</v>
          </cell>
          <cell r="D365" t="str">
            <v>d</v>
          </cell>
          <cell r="E365">
            <v>0.15</v>
          </cell>
          <cell r="G365">
            <v>30507.999999999996</v>
          </cell>
          <cell r="H365">
            <v>4576.1999999999989</v>
          </cell>
        </row>
        <row r="366">
          <cell r="A366" t="str">
            <v>14-05-175</v>
          </cell>
          <cell r="B366" t="str">
            <v>2C111</v>
          </cell>
          <cell r="C366" t="str">
            <v>mo cuadrilla (1 of + 1 ay)</v>
          </cell>
          <cell r="D366" t="str">
            <v>d</v>
          </cell>
          <cell r="E366">
            <v>0.1</v>
          </cell>
          <cell r="G366">
            <v>108564.47283709361</v>
          </cell>
          <cell r="H366">
            <v>10856.447283709362</v>
          </cell>
        </row>
        <row r="367">
          <cell r="A367" t="str">
            <v>14-05-175</v>
          </cell>
          <cell r="B367" t="str">
            <v>47111</v>
          </cell>
          <cell r="C367" t="str">
            <v>elementos de consumo y proteccion</v>
          </cell>
          <cell r="D367" t="str">
            <v>%</v>
          </cell>
          <cell r="E367">
            <v>10856.447283709362</v>
          </cell>
          <cell r="G367">
            <v>1.2455000000000001E-2</v>
          </cell>
          <cell r="H367">
            <v>135.21705091860011</v>
          </cell>
        </row>
        <row r="368">
          <cell r="A368" t="str">
            <v>14-05-175</v>
          </cell>
          <cell r="B368" t="str">
            <v>46111</v>
          </cell>
          <cell r="C368" t="str">
            <v>herramienta y equipo menor</v>
          </cell>
          <cell r="D368" t="str">
            <v>%</v>
          </cell>
          <cell r="E368">
            <v>10856.447283709362</v>
          </cell>
          <cell r="G368">
            <v>0.05</v>
          </cell>
          <cell r="H368">
            <v>542.82236418546813</v>
          </cell>
        </row>
        <row r="369">
          <cell r="A369">
            <v>0</v>
          </cell>
          <cell r="C369" t="str">
            <v>DIRECTO:  77639,0 / U</v>
          </cell>
          <cell r="D369">
            <v>0</v>
          </cell>
          <cell r="G369">
            <v>0</v>
          </cell>
          <cell r="H369">
            <v>0</v>
          </cell>
        </row>
        <row r="370">
          <cell r="A370">
            <v>0</v>
          </cell>
          <cell r="C370">
            <v>0</v>
          </cell>
          <cell r="D370">
            <v>0</v>
          </cell>
          <cell r="G370">
            <v>0</v>
          </cell>
          <cell r="H370">
            <v>0</v>
          </cell>
        </row>
        <row r="371">
          <cell r="A371" t="str">
            <v>14-06-040</v>
          </cell>
          <cell r="B371" t="str">
            <v>14-06-040</v>
          </cell>
          <cell r="C371" t="str">
            <v>VALVULA DE COMPUERTA Ø100 MM</v>
          </cell>
          <cell r="D371" t="str">
            <v>U</v>
          </cell>
          <cell r="E371">
            <v>1</v>
          </cell>
          <cell r="G371">
            <v>0</v>
          </cell>
          <cell r="H371">
            <v>905899.89359050745</v>
          </cell>
        </row>
        <row r="372">
          <cell r="A372" t="str">
            <v>14-06-040</v>
          </cell>
          <cell r="B372" t="str">
            <v>1HS52</v>
          </cell>
          <cell r="C372" t="str">
            <v>valvula de compuerta diametro 100 mm</v>
          </cell>
          <cell r="D372" t="str">
            <v>u</v>
          </cell>
          <cell r="E372">
            <v>1</v>
          </cell>
          <cell r="F372">
            <v>0.05</v>
          </cell>
          <cell r="G372">
            <v>774880</v>
          </cell>
          <cell r="H372">
            <v>813624</v>
          </cell>
        </row>
        <row r="373">
          <cell r="A373" t="str">
            <v>14-06-040</v>
          </cell>
          <cell r="B373" t="str">
            <v>2C111</v>
          </cell>
          <cell r="C373" t="str">
            <v>mo cuadrilla (1 of + 1 ay)</v>
          </cell>
          <cell r="D373" t="str">
            <v>d</v>
          </cell>
          <cell r="E373">
            <v>0.8</v>
          </cell>
          <cell r="G373">
            <v>108564.47283709361</v>
          </cell>
          <cell r="H373">
            <v>86851.578269674894</v>
          </cell>
        </row>
        <row r="374">
          <cell r="A374" t="str">
            <v>14-06-040</v>
          </cell>
          <cell r="B374" t="str">
            <v>47111</v>
          </cell>
          <cell r="C374" t="str">
            <v>elementos de consumo y proteccion</v>
          </cell>
          <cell r="D374" t="str">
            <v>%</v>
          </cell>
          <cell r="E374">
            <v>86851.578269674894</v>
          </cell>
          <cell r="G374">
            <v>1.2455000000000001E-2</v>
          </cell>
          <cell r="H374">
            <v>1081.7364073488009</v>
          </cell>
        </row>
        <row r="375">
          <cell r="A375" t="str">
            <v>14-06-040</v>
          </cell>
          <cell r="B375" t="str">
            <v>46111</v>
          </cell>
          <cell r="C375" t="str">
            <v>herramienta y equipo menor</v>
          </cell>
          <cell r="D375" t="str">
            <v>%</v>
          </cell>
          <cell r="E375">
            <v>86851.578269674894</v>
          </cell>
          <cell r="G375">
            <v>0.05</v>
          </cell>
          <cell r="H375">
            <v>4342.5789134837451</v>
          </cell>
        </row>
        <row r="376">
          <cell r="A376">
            <v>0</v>
          </cell>
          <cell r="C376" t="str">
            <v>DIRECTO:  905900,0 / U</v>
          </cell>
          <cell r="D376">
            <v>0</v>
          </cell>
          <cell r="G376">
            <v>0</v>
          </cell>
          <cell r="H376">
            <v>0</v>
          </cell>
        </row>
        <row r="377">
          <cell r="A377">
            <v>0</v>
          </cell>
          <cell r="C377">
            <v>0</v>
          </cell>
          <cell r="D377">
            <v>0</v>
          </cell>
          <cell r="G377">
            <v>0</v>
          </cell>
          <cell r="H377">
            <v>0</v>
          </cell>
        </row>
        <row r="378">
          <cell r="A378" t="str">
            <v>14-07-010</v>
          </cell>
          <cell r="B378" t="str">
            <v>14-07-010</v>
          </cell>
          <cell r="C378" t="str">
            <v>ANCLAJE Y DADOS EN CONCRETO</v>
          </cell>
          <cell r="D378" t="str">
            <v>M3</v>
          </cell>
          <cell r="E378">
            <v>1.6390000000000002</v>
          </cell>
          <cell r="G378">
            <v>0</v>
          </cell>
          <cell r="H378">
            <v>660425.13365570363</v>
          </cell>
        </row>
        <row r="379">
          <cell r="A379" t="str">
            <v>14-07-010</v>
          </cell>
          <cell r="B379" t="str">
            <v>72132</v>
          </cell>
          <cell r="C379" t="str">
            <v>aux concreto 3000 psi (21.1 MPa) -obra- 3/4"</v>
          </cell>
          <cell r="D379" t="str">
            <v>m3</v>
          </cell>
          <cell r="E379">
            <v>1</v>
          </cell>
          <cell r="F379">
            <v>0.05</v>
          </cell>
          <cell r="G379">
            <v>397371.06598046987</v>
          </cell>
          <cell r="H379">
            <v>417239.6192794934</v>
          </cell>
        </row>
        <row r="380">
          <cell r="A380" t="str">
            <v>14-07-010</v>
          </cell>
          <cell r="B380" t="str">
            <v>18Z21</v>
          </cell>
          <cell r="C380" t="str">
            <v>triplex formaleta 1.53x2.44m x 19mm verde (6 usos)</v>
          </cell>
          <cell r="D380" t="str">
            <v>u</v>
          </cell>
          <cell r="E380">
            <v>0.89288903175113399</v>
          </cell>
          <cell r="F380">
            <v>0.2</v>
          </cell>
          <cell r="G380">
            <v>137924</v>
          </cell>
          <cell r="H380">
            <v>147780.99217829207</v>
          </cell>
        </row>
        <row r="381">
          <cell r="A381" t="str">
            <v>14-07-010</v>
          </cell>
          <cell r="B381" t="str">
            <v>18Z16</v>
          </cell>
          <cell r="C381" t="str">
            <v>larguero madera comun 2"x4" de 3m</v>
          </cell>
          <cell r="D381" t="str">
            <v>u</v>
          </cell>
          <cell r="E381">
            <v>3</v>
          </cell>
          <cell r="F381">
            <v>0.1</v>
          </cell>
          <cell r="G381">
            <v>6959.9999999999991</v>
          </cell>
          <cell r="H381">
            <v>22967.999999999996</v>
          </cell>
        </row>
        <row r="382">
          <cell r="A382" t="str">
            <v>14-07-010</v>
          </cell>
          <cell r="B382" t="str">
            <v>15421</v>
          </cell>
          <cell r="C382" t="str">
            <v>clavo corriente 1-1/2" a 5"</v>
          </cell>
          <cell r="D382" t="str">
            <v>lb</v>
          </cell>
          <cell r="E382">
            <v>1</v>
          </cell>
          <cell r="G382">
            <v>1624</v>
          </cell>
          <cell r="H382">
            <v>1624</v>
          </cell>
        </row>
        <row r="383">
          <cell r="A383" t="str">
            <v>14-07-010</v>
          </cell>
          <cell r="B383" t="str">
            <v>15231</v>
          </cell>
          <cell r="C383" t="str">
            <v>alambre recocido (alambre cal 18)</v>
          </cell>
          <cell r="D383" t="str">
            <v>kg</v>
          </cell>
          <cell r="E383">
            <v>1</v>
          </cell>
          <cell r="G383">
            <v>2900</v>
          </cell>
          <cell r="H383">
            <v>2900</v>
          </cell>
        </row>
        <row r="384">
          <cell r="A384" t="str">
            <v>14-07-010</v>
          </cell>
          <cell r="B384" t="str">
            <v>72561</v>
          </cell>
          <cell r="C384" t="str">
            <v>aux curado concreto</v>
          </cell>
          <cell r="D384" t="str">
            <v>m2</v>
          </cell>
          <cell r="E384">
            <v>10</v>
          </cell>
          <cell r="G384">
            <v>1109.2</v>
          </cell>
          <cell r="H384">
            <v>11092</v>
          </cell>
        </row>
        <row r="385">
          <cell r="A385" t="str">
            <v>14-07-010</v>
          </cell>
          <cell r="B385" t="str">
            <v>72711</v>
          </cell>
          <cell r="C385" t="str">
            <v>aux desmoldante -separol-</v>
          </cell>
          <cell r="D385" t="str">
            <v>m2</v>
          </cell>
          <cell r="E385">
            <v>10</v>
          </cell>
          <cell r="G385">
            <v>1182.6869447499998</v>
          </cell>
          <cell r="H385">
            <v>11826.869447499997</v>
          </cell>
        </row>
        <row r="386">
          <cell r="A386" t="str">
            <v>14-07-010</v>
          </cell>
          <cell r="B386" t="str">
            <v>44121</v>
          </cell>
          <cell r="C386" t="str">
            <v>vibrador electrico para concreto</v>
          </cell>
          <cell r="D386" t="str">
            <v>d</v>
          </cell>
          <cell r="E386">
            <v>0.125</v>
          </cell>
          <cell r="G386">
            <v>39440</v>
          </cell>
          <cell r="H386">
            <v>4930</v>
          </cell>
        </row>
        <row r="387">
          <cell r="A387" t="str">
            <v>14-07-010</v>
          </cell>
          <cell r="B387" t="str">
            <v>2C114</v>
          </cell>
          <cell r="C387" t="str">
            <v>mo cuadrilla (2 of + 4 ay)</v>
          </cell>
          <cell r="D387" t="str">
            <v>d</v>
          </cell>
          <cell r="E387">
            <v>0.125</v>
          </cell>
          <cell r="G387">
            <v>301668.51490495645</v>
          </cell>
          <cell r="H387">
            <v>37708.564363119556</v>
          </cell>
        </row>
        <row r="388">
          <cell r="A388" t="str">
            <v>14-07-010</v>
          </cell>
          <cell r="B388" t="str">
            <v>47111</v>
          </cell>
          <cell r="C388" t="str">
            <v>elementos de consumo y proteccion</v>
          </cell>
          <cell r="D388" t="str">
            <v>%</v>
          </cell>
          <cell r="E388">
            <v>37708.564363119556</v>
          </cell>
          <cell r="G388">
            <v>1.2455000000000001E-2</v>
          </cell>
          <cell r="H388">
            <v>469.66016914265413</v>
          </cell>
        </row>
        <row r="389">
          <cell r="A389" t="str">
            <v>14-07-010</v>
          </cell>
          <cell r="B389" t="str">
            <v>46111</v>
          </cell>
          <cell r="C389" t="str">
            <v>herramienta y equipo menor</v>
          </cell>
          <cell r="D389" t="str">
            <v>%</v>
          </cell>
          <cell r="E389">
            <v>37708.564363119556</v>
          </cell>
          <cell r="G389">
            <v>0.05</v>
          </cell>
          <cell r="H389">
            <v>1885.4282181559779</v>
          </cell>
        </row>
        <row r="390">
          <cell r="A390">
            <v>0</v>
          </cell>
          <cell r="C390" t="str">
            <v>DIRECTO:  660426,0 / M3</v>
          </cell>
          <cell r="D390">
            <v>0</v>
          </cell>
          <cell r="E390" t="str">
            <v xml:space="preserve">  </v>
          </cell>
          <cell r="G390">
            <v>0</v>
          </cell>
          <cell r="H390">
            <v>0</v>
          </cell>
        </row>
        <row r="391">
          <cell r="A391">
            <v>0</v>
          </cell>
          <cell r="C391">
            <v>0</v>
          </cell>
          <cell r="D391">
            <v>0</v>
          </cell>
          <cell r="G391">
            <v>0</v>
          </cell>
          <cell r="H391">
            <v>0</v>
          </cell>
        </row>
        <row r="392">
          <cell r="A392" t="str">
            <v>14-11-005</v>
          </cell>
          <cell r="B392" t="str">
            <v>14-11-005</v>
          </cell>
          <cell r="C392" t="str">
            <v>TUBERIA PVC NOVAFORT O EQUIVALENTE DE Ø200 MM</v>
          </cell>
          <cell r="D392" t="str">
            <v>M</v>
          </cell>
          <cell r="E392">
            <v>42.174000000000007</v>
          </cell>
          <cell r="G392">
            <v>0</v>
          </cell>
          <cell r="H392">
            <v>56942.490056000104</v>
          </cell>
        </row>
        <row r="393">
          <cell r="A393" t="str">
            <v>14-11-005</v>
          </cell>
          <cell r="B393" t="str">
            <v>1HS61</v>
          </cell>
          <cell r="C393" t="str">
            <v>tubería pvc novafort ø= 200mm</v>
          </cell>
          <cell r="D393" t="str">
            <v>m</v>
          </cell>
          <cell r="E393">
            <v>1</v>
          </cell>
          <cell r="F393">
            <v>0.02</v>
          </cell>
          <cell r="G393">
            <v>34775.64</v>
          </cell>
          <cell r="H393">
            <v>35471.152800000003</v>
          </cell>
        </row>
        <row r="394">
          <cell r="A394" t="str">
            <v>14-11-005</v>
          </cell>
          <cell r="B394" t="str">
            <v>1HS73</v>
          </cell>
          <cell r="C394" t="str">
            <v>unión pvc novafort ø= 200mm</v>
          </cell>
          <cell r="D394" t="str">
            <v>u</v>
          </cell>
          <cell r="E394">
            <v>0.16666666666666666</v>
          </cell>
          <cell r="G394">
            <v>34775.64</v>
          </cell>
          <cell r="H394">
            <v>5795.94</v>
          </cell>
        </row>
        <row r="395">
          <cell r="A395" t="str">
            <v>14-11-005</v>
          </cell>
          <cell r="B395" t="str">
            <v>1HS72</v>
          </cell>
          <cell r="C395" t="str">
            <v>hidrosello pvc novafort ø= 200mm</v>
          </cell>
          <cell r="D395" t="str">
            <v>u</v>
          </cell>
          <cell r="E395">
            <v>0.16666666666666666</v>
          </cell>
          <cell r="G395">
            <v>5211.8799999999992</v>
          </cell>
          <cell r="H395">
            <v>868.64666666666653</v>
          </cell>
        </row>
        <row r="396">
          <cell r="A396" t="str">
            <v>14-11-005</v>
          </cell>
          <cell r="B396" t="str">
            <v>1HS80</v>
          </cell>
          <cell r="C396" t="str">
            <v>acondicionador de superficie novafort x 250cc</v>
          </cell>
          <cell r="D396" t="str">
            <v>u</v>
          </cell>
          <cell r="E396">
            <v>8.3330000000000001E-3</v>
          </cell>
          <cell r="G396">
            <v>90432.439999999988</v>
          </cell>
          <cell r="H396">
            <v>753.57352251999987</v>
          </cell>
        </row>
        <row r="397">
          <cell r="A397" t="str">
            <v>14-11-005</v>
          </cell>
          <cell r="B397" t="str">
            <v>1HS81</v>
          </cell>
          <cell r="C397" t="str">
            <v>adhesivo novafort x 310ml</v>
          </cell>
          <cell r="D397" t="str">
            <v>u</v>
          </cell>
          <cell r="E397">
            <v>5.5559999999999998E-2</v>
          </cell>
          <cell r="G397">
            <v>45332.799999999996</v>
          </cell>
          <cell r="H397">
            <v>2518.6903679999996</v>
          </cell>
        </row>
        <row r="398">
          <cell r="A398" t="str">
            <v>14-11-005</v>
          </cell>
          <cell r="B398" t="str">
            <v>2C111</v>
          </cell>
          <cell r="C398" t="str">
            <v>mo cuadrilla (1 of + 1 ay)</v>
          </cell>
          <cell r="D398" t="str">
            <v>d</v>
          </cell>
          <cell r="E398">
            <v>0.1</v>
          </cell>
          <cell r="G398">
            <v>108564.47283709361</v>
          </cell>
          <cell r="H398">
            <v>10856.447283709362</v>
          </cell>
        </row>
        <row r="399">
          <cell r="A399" t="str">
            <v>14-11-005</v>
          </cell>
          <cell r="B399" t="str">
            <v>47111</v>
          </cell>
          <cell r="C399" t="str">
            <v>elementos de consumo y proteccion</v>
          </cell>
          <cell r="D399" t="str">
            <v>%</v>
          </cell>
          <cell r="E399">
            <v>10856.447283709362</v>
          </cell>
          <cell r="G399">
            <v>1.2455000000000001E-2</v>
          </cell>
          <cell r="H399">
            <v>135.21705091860011</v>
          </cell>
        </row>
        <row r="400">
          <cell r="A400" t="str">
            <v>14-11-005</v>
          </cell>
          <cell r="B400" t="str">
            <v>46111</v>
          </cell>
          <cell r="C400" t="str">
            <v>herramienta y equipo menor</v>
          </cell>
          <cell r="D400" t="str">
            <v>%</v>
          </cell>
          <cell r="E400">
            <v>10856.447283709362</v>
          </cell>
          <cell r="G400">
            <v>0.05</v>
          </cell>
          <cell r="H400">
            <v>542.82236418546813</v>
          </cell>
        </row>
        <row r="401">
          <cell r="A401">
            <v>0</v>
          </cell>
          <cell r="C401" t="str">
            <v>DIRECTO:  56943,0 / M</v>
          </cell>
          <cell r="D401">
            <v>0</v>
          </cell>
          <cell r="G401">
            <v>0</v>
          </cell>
          <cell r="H401">
            <v>0</v>
          </cell>
        </row>
        <row r="402">
          <cell r="A402">
            <v>0</v>
          </cell>
          <cell r="C402">
            <v>0</v>
          </cell>
          <cell r="D402">
            <v>0</v>
          </cell>
          <cell r="G402">
            <v>0</v>
          </cell>
          <cell r="H402">
            <v>0</v>
          </cell>
        </row>
        <row r="403">
          <cell r="A403" t="str">
            <v>14-11-010</v>
          </cell>
          <cell r="B403" t="str">
            <v>14-11-010</v>
          </cell>
          <cell r="C403" t="str">
            <v>TUBERIA PVC NOVAFORT O EQUIVALENTE DE Ø250 MM S8</v>
          </cell>
          <cell r="D403" t="str">
            <v>M</v>
          </cell>
          <cell r="E403">
            <v>41.305</v>
          </cell>
          <cell r="G403">
            <v>0</v>
          </cell>
          <cell r="H403">
            <v>82784.038189333427</v>
          </cell>
        </row>
        <row r="404">
          <cell r="A404" t="str">
            <v>14-11-010</v>
          </cell>
          <cell r="B404" t="str">
            <v>1HS55</v>
          </cell>
          <cell r="C404" t="str">
            <v>tubería pvc novafort ø= 250mm</v>
          </cell>
          <cell r="D404" t="str">
            <v>m</v>
          </cell>
          <cell r="E404">
            <v>1</v>
          </cell>
          <cell r="F404">
            <v>0.02</v>
          </cell>
          <cell r="G404">
            <v>49016.38</v>
          </cell>
          <cell r="H404">
            <v>49996.707600000002</v>
          </cell>
        </row>
        <row r="405">
          <cell r="A405" t="str">
            <v>14-11-010</v>
          </cell>
          <cell r="B405" t="str">
            <v>1HS59</v>
          </cell>
          <cell r="C405" t="str">
            <v>unión pvc novafort ø= 250mm</v>
          </cell>
          <cell r="D405" t="str">
            <v>u</v>
          </cell>
          <cell r="E405">
            <v>0.16666666666666666</v>
          </cell>
          <cell r="G405">
            <v>98778.64</v>
          </cell>
          <cell r="H405">
            <v>16463.106666666667</v>
          </cell>
        </row>
        <row r="406">
          <cell r="A406" t="str">
            <v>14-11-010</v>
          </cell>
          <cell r="B406" t="str">
            <v>1HS76</v>
          </cell>
          <cell r="C406" t="str">
            <v>hidrosello pvc novafort ø= 250mm</v>
          </cell>
          <cell r="D406" t="str">
            <v>u</v>
          </cell>
          <cell r="E406">
            <v>0.16666666666666666</v>
          </cell>
          <cell r="G406">
            <v>9104.84</v>
          </cell>
          <cell r="H406">
            <v>1517.4733333333334</v>
          </cell>
        </row>
        <row r="407">
          <cell r="A407" t="str">
            <v>14-11-010</v>
          </cell>
          <cell r="B407" t="str">
            <v>1HS80</v>
          </cell>
          <cell r="C407" t="str">
            <v>acondicionador de superficie novafort x 250cc</v>
          </cell>
          <cell r="D407" t="str">
            <v>u</v>
          </cell>
          <cell r="E407">
            <v>8.3330000000000001E-3</v>
          </cell>
          <cell r="G407">
            <v>90432.439999999988</v>
          </cell>
          <cell r="H407">
            <v>753.57352251999987</v>
          </cell>
        </row>
        <row r="408">
          <cell r="A408" t="str">
            <v>14-11-010</v>
          </cell>
          <cell r="B408" t="str">
            <v>1HS81</v>
          </cell>
          <cell r="C408" t="str">
            <v>adhesivo novafort x 310ml</v>
          </cell>
          <cell r="D408" t="str">
            <v>u</v>
          </cell>
          <cell r="E408">
            <v>5.5559999999999998E-2</v>
          </cell>
          <cell r="G408">
            <v>45332.799999999996</v>
          </cell>
          <cell r="H408">
            <v>2518.6903679999996</v>
          </cell>
        </row>
        <row r="409">
          <cell r="A409" t="str">
            <v>14-11-010</v>
          </cell>
          <cell r="B409" t="str">
            <v>2C111</v>
          </cell>
          <cell r="C409" t="str">
            <v>mo cuadrilla (1 of + 1 ay)</v>
          </cell>
          <cell r="D409" t="str">
            <v>d</v>
          </cell>
          <cell r="E409">
            <v>0.1</v>
          </cell>
          <cell r="G409">
            <v>108564.47283709361</v>
          </cell>
          <cell r="H409">
            <v>10856.447283709362</v>
          </cell>
        </row>
        <row r="410">
          <cell r="A410" t="str">
            <v>14-11-010</v>
          </cell>
          <cell r="B410" t="str">
            <v>47111</v>
          </cell>
          <cell r="C410" t="str">
            <v>elementos de consumo y proteccion</v>
          </cell>
          <cell r="D410" t="str">
            <v>%</v>
          </cell>
          <cell r="E410">
            <v>10856.447283709362</v>
          </cell>
          <cell r="G410">
            <v>1.2455000000000001E-2</v>
          </cell>
          <cell r="H410">
            <v>135.21705091860011</v>
          </cell>
        </row>
        <row r="411">
          <cell r="A411" t="str">
            <v>14-11-010</v>
          </cell>
          <cell r="B411" t="str">
            <v>46111</v>
          </cell>
          <cell r="C411" t="str">
            <v>herramienta y equipo menor</v>
          </cell>
          <cell r="D411" t="str">
            <v>%</v>
          </cell>
          <cell r="E411">
            <v>10856.447283709362</v>
          </cell>
          <cell r="G411">
            <v>0.05</v>
          </cell>
          <cell r="H411">
            <v>542.82236418546813</v>
          </cell>
        </row>
        <row r="412">
          <cell r="A412">
            <v>0</v>
          </cell>
          <cell r="C412" t="str">
            <v>DIRECTO:  82785,0 / M</v>
          </cell>
          <cell r="D412">
            <v>0</v>
          </cell>
          <cell r="G412">
            <v>0</v>
          </cell>
          <cell r="H412">
            <v>0</v>
          </cell>
        </row>
        <row r="413">
          <cell r="A413">
            <v>0</v>
          </cell>
          <cell r="C413">
            <v>0</v>
          </cell>
          <cell r="D413">
            <v>0</v>
          </cell>
          <cell r="G413">
            <v>0</v>
          </cell>
          <cell r="H413">
            <v>0</v>
          </cell>
        </row>
        <row r="414">
          <cell r="A414" t="str">
            <v>14-12-010</v>
          </cell>
          <cell r="B414" t="str">
            <v>14-12-010</v>
          </cell>
          <cell r="C414" t="str">
            <v>CONSTRUCCION DE BASE Y CAÑUELA PARA CAMARA DE INSPECCION DE Ø1.20M EN CONCRETO DE 28 MPa. INCLUYE TODOS LOS ELEMENTOS NECESARIOS PARA SU CORRECTA INSTALACION Y FUNCIONAMIENTO.</v>
          </cell>
          <cell r="D414" t="str">
            <v>U</v>
          </cell>
          <cell r="E414">
            <v>5</v>
          </cell>
          <cell r="G414">
            <v>0</v>
          </cell>
          <cell r="H414">
            <v>337377.46519732097</v>
          </cell>
        </row>
        <row r="415">
          <cell r="A415" t="str">
            <v>14-12-010</v>
          </cell>
          <cell r="B415" t="str">
            <v>7213B</v>
          </cell>
          <cell r="C415" t="str">
            <v>aux concreto 3000 psi (21.1 MPa) -obra- 3/8"</v>
          </cell>
          <cell r="D415" t="str">
            <v>m3</v>
          </cell>
          <cell r="E415">
            <v>0.57176986295334242</v>
          </cell>
          <cell r="G415">
            <v>449919.06073488999</v>
          </cell>
          <cell r="H415">
            <v>257250.1596964846</v>
          </cell>
        </row>
        <row r="416">
          <cell r="A416" t="str">
            <v>14-12-010</v>
          </cell>
          <cell r="B416" t="str">
            <v>2C112</v>
          </cell>
          <cell r="C416" t="str">
            <v>mo cuadrilla (1 of + 2 ay)</v>
          </cell>
          <cell r="D416" t="str">
            <v>d</v>
          </cell>
          <cell r="E416">
            <v>0.5</v>
          </cell>
          <cell r="G416">
            <v>150834.25745247822</v>
          </cell>
          <cell r="H416">
            <v>75417.128726239112</v>
          </cell>
        </row>
        <row r="417">
          <cell r="A417" t="str">
            <v>14-12-010</v>
          </cell>
          <cell r="B417" t="str">
            <v>47111</v>
          </cell>
          <cell r="C417" t="str">
            <v>elementos de consumo y proteccion</v>
          </cell>
          <cell r="D417" t="str">
            <v>%</v>
          </cell>
          <cell r="E417">
            <v>75417.128726239112</v>
          </cell>
          <cell r="G417">
            <v>1.2455000000000001E-2</v>
          </cell>
          <cell r="H417">
            <v>939.32033828530825</v>
          </cell>
        </row>
        <row r="418">
          <cell r="A418" t="str">
            <v>14-12-010</v>
          </cell>
          <cell r="B418" t="str">
            <v>46111</v>
          </cell>
          <cell r="C418" t="str">
            <v>herramienta y equipo menor</v>
          </cell>
          <cell r="D418" t="str">
            <v>%</v>
          </cell>
          <cell r="E418">
            <v>75417.128726239112</v>
          </cell>
          <cell r="G418">
            <v>0.05</v>
          </cell>
          <cell r="H418">
            <v>3770.8564363119558</v>
          </cell>
        </row>
        <row r="419">
          <cell r="A419">
            <v>0</v>
          </cell>
          <cell r="C419" t="str">
            <v>DIRECTO:  337378,0 / U</v>
          </cell>
          <cell r="D419">
            <v>0</v>
          </cell>
          <cell r="G419">
            <v>0</v>
          </cell>
          <cell r="H419">
            <v>0</v>
          </cell>
        </row>
        <row r="420">
          <cell r="A420">
            <v>0</v>
          </cell>
          <cell r="C420">
            <v>0</v>
          </cell>
          <cell r="D420">
            <v>0</v>
          </cell>
          <cell r="G420">
            <v>0</v>
          </cell>
          <cell r="H420">
            <v>0</v>
          </cell>
        </row>
        <row r="421">
          <cell r="A421" t="str">
            <v>14-12-012</v>
          </cell>
          <cell r="B421" t="str">
            <v>14-12-012</v>
          </cell>
          <cell r="C421" t="str">
            <v>CONSTRUCCION DE CONO PREFABRICADO PARA CAMARA DE INSPECCION DE Ø1.20M EN CONCRETO DE 28 MPa. INCLUYE TODOS LOS ELEMENTOS NECESARIOS PARA SU CORRECTA INSTALACION Y FUNCIONAMIENTO.</v>
          </cell>
          <cell r="D421" t="str">
            <v>U</v>
          </cell>
          <cell r="E421">
            <v>5</v>
          </cell>
          <cell r="G421">
            <v>0</v>
          </cell>
          <cell r="H421">
            <v>485096.48532580654</v>
          </cell>
        </row>
        <row r="422">
          <cell r="A422" t="str">
            <v>14-12-012</v>
          </cell>
          <cell r="B422" t="str">
            <v>1HS84</v>
          </cell>
          <cell r="C422" t="str">
            <v>cono concéntrico Ø 1.20m</v>
          </cell>
          <cell r="D422" t="str">
            <v>u</v>
          </cell>
          <cell r="E422">
            <v>1</v>
          </cell>
          <cell r="F422">
            <v>0.05</v>
          </cell>
          <cell r="G422">
            <v>301600</v>
          </cell>
          <cell r="H422">
            <v>316680</v>
          </cell>
        </row>
        <row r="423">
          <cell r="A423" t="str">
            <v>14-12-012</v>
          </cell>
          <cell r="B423" t="str">
            <v>71A14</v>
          </cell>
          <cell r="C423" t="str">
            <v>aux mortero de pega 1:4</v>
          </cell>
          <cell r="D423" t="str">
            <v>m3</v>
          </cell>
          <cell r="E423">
            <v>1.005309649148734E-2</v>
          </cell>
          <cell r="G423">
            <v>305660.30854178657</v>
          </cell>
          <cell r="H423">
            <v>3072.8325753883723</v>
          </cell>
        </row>
        <row r="424">
          <cell r="A424" t="str">
            <v>14-12-012</v>
          </cell>
          <cell r="B424" t="str">
            <v>4V912</v>
          </cell>
          <cell r="C424" t="str">
            <v>retroexcavadora cat 416-b</v>
          </cell>
          <cell r="D424" t="str">
            <v>h</v>
          </cell>
          <cell r="E424">
            <v>1.2</v>
          </cell>
          <cell r="G424">
            <v>104400</v>
          </cell>
          <cell r="H424">
            <v>125280</v>
          </cell>
        </row>
        <row r="425">
          <cell r="A425" t="str">
            <v>14-12-012</v>
          </cell>
          <cell r="B425" t="str">
            <v>2C112</v>
          </cell>
          <cell r="C425" t="str">
            <v>mo cuadrilla (1 of + 2 ay)</v>
          </cell>
          <cell r="D425" t="str">
            <v>d</v>
          </cell>
          <cell r="E425">
            <v>0.25</v>
          </cell>
          <cell r="G425">
            <v>150834.25745247822</v>
          </cell>
          <cell r="H425">
            <v>37708.564363119556</v>
          </cell>
        </row>
        <row r="426">
          <cell r="A426" t="str">
            <v>14-12-012</v>
          </cell>
          <cell r="B426" t="str">
            <v>47111</v>
          </cell>
          <cell r="C426" t="str">
            <v>elementos de consumo y proteccion</v>
          </cell>
          <cell r="D426" t="str">
            <v>%</v>
          </cell>
          <cell r="E426">
            <v>37708.564363119556</v>
          </cell>
          <cell r="G426">
            <v>1.2455000000000001E-2</v>
          </cell>
          <cell r="H426">
            <v>469.66016914265413</v>
          </cell>
        </row>
        <row r="427">
          <cell r="A427" t="str">
            <v>14-12-012</v>
          </cell>
          <cell r="B427" t="str">
            <v>46111</v>
          </cell>
          <cell r="C427" t="str">
            <v>herramienta y equipo menor</v>
          </cell>
          <cell r="D427" t="str">
            <v>%</v>
          </cell>
          <cell r="E427">
            <v>37708.564363119556</v>
          </cell>
          <cell r="G427">
            <v>0.05</v>
          </cell>
          <cell r="H427">
            <v>1885.4282181559779</v>
          </cell>
        </row>
        <row r="428">
          <cell r="A428">
            <v>0</v>
          </cell>
          <cell r="C428" t="str">
            <v>DIRECTO:  485097,0 / U</v>
          </cell>
          <cell r="D428">
            <v>0</v>
          </cell>
          <cell r="G428">
            <v>0</v>
          </cell>
          <cell r="H428">
            <v>0</v>
          </cell>
        </row>
        <row r="429">
          <cell r="A429">
            <v>0</v>
          </cell>
          <cell r="C429">
            <v>0</v>
          </cell>
          <cell r="D429">
            <v>0</v>
          </cell>
          <cell r="G429">
            <v>0</v>
          </cell>
          <cell r="H429">
            <v>0</v>
          </cell>
        </row>
        <row r="430">
          <cell r="A430" t="str">
            <v>14-12-014</v>
          </cell>
          <cell r="B430" t="str">
            <v>14-12-014</v>
          </cell>
          <cell r="C430" t="str">
            <v>CONSTRUCCION DE CUELLO Y TAPA PREFABRICADOS PARA CAMARA DE INSPECCION DE Ø1.20M EN CONCRETO DE 28 MPa. INCLUYE TODOS LOS ELEMENTOS NECESARIOS PARA SU CORRECTA INSTALACION Y FUNCIONAMIENTO.</v>
          </cell>
          <cell r="D430" t="str">
            <v>U</v>
          </cell>
          <cell r="E430">
            <v>5</v>
          </cell>
          <cell r="G430">
            <v>0</v>
          </cell>
          <cell r="H430">
            <v>341418.04094890517</v>
          </cell>
        </row>
        <row r="431">
          <cell r="A431" t="str">
            <v>14-12-014</v>
          </cell>
          <cell r="B431" t="str">
            <v>1HS82</v>
          </cell>
          <cell r="C431" t="str">
            <v>tapa para camara de inspeccion</v>
          </cell>
          <cell r="D431" t="str">
            <v>u</v>
          </cell>
          <cell r="E431">
            <v>1</v>
          </cell>
          <cell r="F431">
            <v>0.05</v>
          </cell>
          <cell r="G431">
            <v>124699.99999999999</v>
          </cell>
          <cell r="H431">
            <v>130934.99999999999</v>
          </cell>
        </row>
        <row r="432">
          <cell r="A432" t="str">
            <v>14-12-014</v>
          </cell>
          <cell r="B432" t="str">
            <v>1HS83</v>
          </cell>
          <cell r="C432" t="str">
            <v>cuello para camara de inspeccion</v>
          </cell>
          <cell r="D432" t="str">
            <v>u</v>
          </cell>
          <cell r="E432">
            <v>1</v>
          </cell>
          <cell r="F432">
            <v>0.05</v>
          </cell>
          <cell r="G432">
            <v>183802</v>
          </cell>
          <cell r="H432">
            <v>192992.1</v>
          </cell>
        </row>
        <row r="433">
          <cell r="A433" t="str">
            <v>14-12-014</v>
          </cell>
          <cell r="B433" t="str">
            <v>71A14</v>
          </cell>
          <cell r="C433" t="str">
            <v>aux mortero de pega 1:4</v>
          </cell>
          <cell r="D433" t="str">
            <v>m3</v>
          </cell>
          <cell r="E433">
            <v>1.005309649148734E-2</v>
          </cell>
          <cell r="G433">
            <v>305660.30854178657</v>
          </cell>
          <cell r="H433">
            <v>3072.8325753883723</v>
          </cell>
        </row>
        <row r="434">
          <cell r="A434" t="str">
            <v>14-12-014</v>
          </cell>
          <cell r="B434" t="str">
            <v>2C111</v>
          </cell>
          <cell r="C434" t="str">
            <v>mo cuadrilla (1 of + 1 ay)</v>
          </cell>
          <cell r="D434" t="str">
            <v>d</v>
          </cell>
          <cell r="E434">
            <v>0.125</v>
          </cell>
          <cell r="G434">
            <v>108564.47283709361</v>
          </cell>
          <cell r="H434">
            <v>13570.559104636701</v>
          </cell>
        </row>
        <row r="435">
          <cell r="A435" t="str">
            <v>14-12-014</v>
          </cell>
          <cell r="B435" t="str">
            <v>47111</v>
          </cell>
          <cell r="C435" t="str">
            <v>elementos de consumo y proteccion</v>
          </cell>
          <cell r="D435" t="str">
            <v>%</v>
          </cell>
          <cell r="E435">
            <v>13570.559104636701</v>
          </cell>
          <cell r="G435">
            <v>1.2455000000000001E-2</v>
          </cell>
          <cell r="H435">
            <v>169.02131364825013</v>
          </cell>
        </row>
        <row r="436">
          <cell r="A436" t="str">
            <v>14-12-014</v>
          </cell>
          <cell r="B436" t="str">
            <v>46111</v>
          </cell>
          <cell r="C436" t="str">
            <v>herramienta y equipo menor</v>
          </cell>
          <cell r="D436" t="str">
            <v>%</v>
          </cell>
          <cell r="E436">
            <v>13570.559104636701</v>
          </cell>
          <cell r="G436">
            <v>0.05</v>
          </cell>
          <cell r="H436">
            <v>678.52795523183511</v>
          </cell>
        </row>
        <row r="437">
          <cell r="A437">
            <v>0</v>
          </cell>
          <cell r="C437" t="str">
            <v>DIRECTO:  341419,0 / U</v>
          </cell>
          <cell r="D437">
            <v>0</v>
          </cell>
          <cell r="G437">
            <v>0</v>
          </cell>
          <cell r="H437">
            <v>0</v>
          </cell>
        </row>
        <row r="438">
          <cell r="A438">
            <v>0</v>
          </cell>
          <cell r="C438">
            <v>0</v>
          </cell>
          <cell r="D438">
            <v>0</v>
          </cell>
          <cell r="G438">
            <v>0</v>
          </cell>
          <cell r="H438">
            <v>0</v>
          </cell>
        </row>
        <row r="439">
          <cell r="A439" t="str">
            <v>14-12-020</v>
          </cell>
          <cell r="B439" t="str">
            <v>14-12-020</v>
          </cell>
          <cell r="C439" t="str">
            <v>CONSTRUCCION DE CILINDRO PREFABRICADO PARA CAMARA DE INSPECCION DE Ø1.20M EN CONCRETO DE 28 MPa. INCLUYE TODOS LOS ELEMENTOS NECESARIOS PARA SU CORRECTA INSTALACION Y FUNCIONAMIENTO. LOS GANCHOS SE PAGARAN EN SU RESPECTIVO ITEM.</v>
          </cell>
          <cell r="D439" t="str">
            <v>M</v>
          </cell>
          <cell r="E439">
            <v>5.2249999999999996</v>
          </cell>
          <cell r="G439">
            <v>0</v>
          </cell>
          <cell r="H439">
            <v>845080.54601139121</v>
          </cell>
        </row>
        <row r="440">
          <cell r="A440" t="str">
            <v>14-12-020</v>
          </cell>
          <cell r="B440" t="str">
            <v>1HS85</v>
          </cell>
          <cell r="C440" t="str">
            <v>cilindro 0.20m x Ø 1.20m</v>
          </cell>
          <cell r="D440" t="str">
            <v>u</v>
          </cell>
          <cell r="E440">
            <v>1.3</v>
          </cell>
          <cell r="F440">
            <v>0.05</v>
          </cell>
          <cell r="G440">
            <v>121799.99999999999</v>
          </cell>
          <cell r="H440">
            <v>166257</v>
          </cell>
        </row>
        <row r="441">
          <cell r="A441" t="str">
            <v>14-12-020</v>
          </cell>
          <cell r="B441" t="str">
            <v>1HS86</v>
          </cell>
          <cell r="C441" t="str">
            <v>cilindro 0.50m x Ø 1.20m</v>
          </cell>
          <cell r="D441" t="str">
            <v>u</v>
          </cell>
          <cell r="E441">
            <v>0.8</v>
          </cell>
          <cell r="F441">
            <v>0.05</v>
          </cell>
          <cell r="G441">
            <v>223154.99999999997</v>
          </cell>
          <cell r="H441">
            <v>187450.2</v>
          </cell>
        </row>
        <row r="442">
          <cell r="A442" t="str">
            <v>14-12-020</v>
          </cell>
          <cell r="B442" t="str">
            <v>1HS87</v>
          </cell>
          <cell r="C442" t="str">
            <v>cilindro 1.00m x Ø 1.20m</v>
          </cell>
          <cell r="D442" t="str">
            <v>u</v>
          </cell>
          <cell r="E442">
            <v>0.34</v>
          </cell>
          <cell r="F442">
            <v>0.05</v>
          </cell>
          <cell r="G442">
            <v>394110</v>
          </cell>
          <cell r="H442">
            <v>140697.27000000002</v>
          </cell>
        </row>
        <row r="443">
          <cell r="A443" t="str">
            <v>14-12-020</v>
          </cell>
          <cell r="B443" t="str">
            <v>1HS92</v>
          </cell>
          <cell r="C443" t="str">
            <v>union empaque caucho Ø 1.20m</v>
          </cell>
          <cell r="D443" t="str">
            <v>u</v>
          </cell>
          <cell r="E443">
            <v>2.44</v>
          </cell>
          <cell r="G443">
            <v>28999.999999999996</v>
          </cell>
          <cell r="H443">
            <v>70759.999999999985</v>
          </cell>
        </row>
        <row r="444">
          <cell r="A444" t="str">
            <v>14-12-020</v>
          </cell>
          <cell r="B444" t="str">
            <v>71A14</v>
          </cell>
          <cell r="C444" t="str">
            <v>aux mortero de pega 1:4</v>
          </cell>
          <cell r="D444" t="str">
            <v>m3</v>
          </cell>
          <cell r="E444">
            <v>4.3982297150257116E-2</v>
          </cell>
          <cell r="G444">
            <v>305660.30854178657</v>
          </cell>
          <cell r="H444">
            <v>13443.64251732413</v>
          </cell>
        </row>
        <row r="445">
          <cell r="A445" t="str">
            <v>14-12-020</v>
          </cell>
          <cell r="B445" t="str">
            <v>4V912</v>
          </cell>
          <cell r="C445" t="str">
            <v>retroexcavadora cat 416-b</v>
          </cell>
          <cell r="D445" t="str">
            <v>h</v>
          </cell>
          <cell r="E445">
            <v>2</v>
          </cell>
          <cell r="G445">
            <v>104400</v>
          </cell>
          <cell r="H445">
            <v>208800</v>
          </cell>
        </row>
        <row r="446">
          <cell r="A446" t="str">
            <v>14-12-020</v>
          </cell>
          <cell r="B446" t="str">
            <v>2C111</v>
          </cell>
          <cell r="C446" t="str">
            <v>mo cuadrilla (1 of + 1 ay)</v>
          </cell>
          <cell r="D446" t="str">
            <v>d</v>
          </cell>
          <cell r="E446">
            <v>0.5</v>
          </cell>
          <cell r="G446">
            <v>108564.47283709361</v>
          </cell>
          <cell r="H446">
            <v>54282.236418546803</v>
          </cell>
        </row>
        <row r="447">
          <cell r="A447" t="str">
            <v>14-12-020</v>
          </cell>
          <cell r="B447" t="str">
            <v>47111</v>
          </cell>
          <cell r="C447" t="str">
            <v>elementos de consumo y proteccion</v>
          </cell>
          <cell r="D447" t="str">
            <v>%</v>
          </cell>
          <cell r="E447">
            <v>54282.236418546803</v>
          </cell>
          <cell r="G447">
            <v>1.2455000000000001E-2</v>
          </cell>
          <cell r="H447">
            <v>676.08525459300051</v>
          </cell>
        </row>
        <row r="448">
          <cell r="A448" t="str">
            <v>14-12-020</v>
          </cell>
          <cell r="B448" t="str">
            <v>46111</v>
          </cell>
          <cell r="C448" t="str">
            <v>herramienta y equipo menor</v>
          </cell>
          <cell r="D448" t="str">
            <v>%</v>
          </cell>
          <cell r="E448">
            <v>54282.236418546803</v>
          </cell>
          <cell r="G448">
            <v>0.05</v>
          </cell>
          <cell r="H448">
            <v>2714.1118209273404</v>
          </cell>
        </row>
        <row r="449">
          <cell r="A449">
            <v>0</v>
          </cell>
          <cell r="C449" t="str">
            <v>DIRECTO:  845081,0 / M</v>
          </cell>
          <cell r="D449">
            <v>0</v>
          </cell>
          <cell r="G449">
            <v>0</v>
          </cell>
          <cell r="H449">
            <v>0</v>
          </cell>
        </row>
        <row r="450">
          <cell r="A450">
            <v>0</v>
          </cell>
          <cell r="C450">
            <v>0</v>
          </cell>
          <cell r="D450">
            <v>0</v>
          </cell>
          <cell r="G450">
            <v>0</v>
          </cell>
          <cell r="H450">
            <v>0</v>
          </cell>
        </row>
        <row r="451">
          <cell r="A451" t="str">
            <v>14-12-030</v>
          </cell>
          <cell r="B451" t="str">
            <v>14-12-030</v>
          </cell>
          <cell r="C451" t="str">
            <v>CONSTRUCCION DE SUMIDERO TIPO B</v>
          </cell>
          <cell r="D451" t="str">
            <v>U</v>
          </cell>
          <cell r="E451">
            <v>4</v>
          </cell>
          <cell r="G451">
            <v>0</v>
          </cell>
          <cell r="H451">
            <v>601219.86713087792</v>
          </cell>
        </row>
        <row r="452">
          <cell r="A452" t="str">
            <v>14-12-030</v>
          </cell>
          <cell r="B452" t="str">
            <v>72139</v>
          </cell>
          <cell r="C452" t="str">
            <v>aux concreto 2500 psi (17.5 MPa) -obra- 3/4"</v>
          </cell>
          <cell r="D452" t="str">
            <v>m3</v>
          </cell>
          <cell r="E452">
            <v>0.75180000000000002</v>
          </cell>
          <cell r="G452">
            <v>368333.38020325993</v>
          </cell>
          <cell r="H452">
            <v>276913.0352368108</v>
          </cell>
        </row>
        <row r="453">
          <cell r="A453" t="str">
            <v>14-12-030</v>
          </cell>
          <cell r="B453" t="str">
            <v>1H122</v>
          </cell>
          <cell r="C453" t="str">
            <v>reja para sumidero tipo b</v>
          </cell>
          <cell r="D453" t="str">
            <v>u</v>
          </cell>
          <cell r="E453">
            <v>1</v>
          </cell>
          <cell r="G453">
            <v>243599.99999999997</v>
          </cell>
          <cell r="H453">
            <v>243599.99999999997</v>
          </cell>
        </row>
        <row r="454">
          <cell r="A454" t="str">
            <v>14-12-030</v>
          </cell>
          <cell r="B454" t="str">
            <v>4H122</v>
          </cell>
          <cell r="C454" t="str">
            <v>formaleta para sumidero tipo b</v>
          </cell>
          <cell r="D454" t="str">
            <v>u</v>
          </cell>
          <cell r="E454">
            <v>5</v>
          </cell>
          <cell r="G454">
            <v>3479.9999999999995</v>
          </cell>
          <cell r="H454">
            <v>17399.999999999996</v>
          </cell>
        </row>
        <row r="455">
          <cell r="A455" t="str">
            <v>14-12-030</v>
          </cell>
          <cell r="B455" t="str">
            <v>44121</v>
          </cell>
          <cell r="C455" t="str">
            <v>vibrador electrico para concreto</v>
          </cell>
          <cell r="D455" t="str">
            <v>d</v>
          </cell>
          <cell r="E455">
            <v>0.14285999999999999</v>
          </cell>
          <cell r="G455">
            <v>39440</v>
          </cell>
          <cell r="H455">
            <v>5634.3983999999991</v>
          </cell>
        </row>
        <row r="456">
          <cell r="A456" t="str">
            <v>14-12-030</v>
          </cell>
          <cell r="B456" t="str">
            <v>2C111</v>
          </cell>
          <cell r="C456" t="str">
            <v>mo cuadrilla (1 of + 1 ay)</v>
          </cell>
          <cell r="D456" t="str">
            <v>d</v>
          </cell>
          <cell r="E456">
            <v>0.5</v>
          </cell>
          <cell r="G456">
            <v>108564.47283709361</v>
          </cell>
          <cell r="H456">
            <v>54282.236418546803</v>
          </cell>
        </row>
        <row r="457">
          <cell r="A457" t="str">
            <v>14-12-030</v>
          </cell>
          <cell r="B457" t="str">
            <v>47111</v>
          </cell>
          <cell r="C457" t="str">
            <v>elementos de consumo y proteccion</v>
          </cell>
          <cell r="D457" t="str">
            <v>%</v>
          </cell>
          <cell r="E457">
            <v>54282.236418546803</v>
          </cell>
          <cell r="G457">
            <v>1.2455000000000001E-2</v>
          </cell>
          <cell r="H457">
            <v>676.08525459300051</v>
          </cell>
        </row>
        <row r="458">
          <cell r="A458" t="str">
            <v>14-12-030</v>
          </cell>
          <cell r="B458" t="str">
            <v>46111</v>
          </cell>
          <cell r="C458" t="str">
            <v>herramienta y equipo menor</v>
          </cell>
          <cell r="D458" t="str">
            <v>%</v>
          </cell>
          <cell r="E458">
            <v>54282.236418546803</v>
          </cell>
          <cell r="G458">
            <v>0.05</v>
          </cell>
          <cell r="H458">
            <v>2714.1118209273404</v>
          </cell>
        </row>
        <row r="459">
          <cell r="A459">
            <v>0</v>
          </cell>
          <cell r="C459" t="str">
            <v>DIRECTO:  601220,0 / U</v>
          </cell>
          <cell r="D459">
            <v>0</v>
          </cell>
          <cell r="G459">
            <v>0</v>
          </cell>
          <cell r="H459">
            <v>0</v>
          </cell>
        </row>
        <row r="460">
          <cell r="A460">
            <v>0</v>
          </cell>
          <cell r="C460">
            <v>0</v>
          </cell>
          <cell r="D460">
            <v>0</v>
          </cell>
          <cell r="G460">
            <v>0</v>
          </cell>
          <cell r="H460">
            <v>0</v>
          </cell>
        </row>
        <row r="461">
          <cell r="A461" t="str">
            <v>14-12-060</v>
          </cell>
          <cell r="B461" t="str">
            <v>14-12-060</v>
          </cell>
          <cell r="C461" t="str">
            <v>ADECUACION DE CAMARAS EXISTENTES PARA EMPALMES CON LA RED PROYECTADA, YA SEA REALZAR O PROFUNDIZAR LA CAMARA.</v>
          </cell>
          <cell r="D461" t="str">
            <v>U</v>
          </cell>
          <cell r="E461">
            <v>44</v>
          </cell>
          <cell r="G461">
            <v>0</v>
          </cell>
          <cell r="H461">
            <v>745190.05336923769</v>
          </cell>
        </row>
        <row r="462">
          <cell r="A462" t="str">
            <v>14-12-060</v>
          </cell>
          <cell r="B462" t="str">
            <v>7213B</v>
          </cell>
          <cell r="C462" t="str">
            <v>aux concreto 3000 psi (21.1 MPa) -obra- 3/8"</v>
          </cell>
          <cell r="D462" t="str">
            <v>m3</v>
          </cell>
          <cell r="E462">
            <v>1.1435397259066848</v>
          </cell>
          <cell r="G462">
            <v>449919.06073488999</v>
          </cell>
          <cell r="H462">
            <v>514500.31939296919</v>
          </cell>
        </row>
        <row r="463">
          <cell r="A463" t="str">
            <v>14-12-060</v>
          </cell>
          <cell r="B463" t="str">
            <v>2C111</v>
          </cell>
          <cell r="C463" t="str">
            <v>mo cuadrilla (1 of + 1 ay)</v>
          </cell>
          <cell r="D463" t="str">
            <v>d</v>
          </cell>
          <cell r="E463">
            <v>2</v>
          </cell>
          <cell r="G463">
            <v>108564.47283709361</v>
          </cell>
          <cell r="H463">
            <v>217128.94567418721</v>
          </cell>
        </row>
        <row r="464">
          <cell r="A464" t="str">
            <v>14-12-060</v>
          </cell>
          <cell r="B464" t="str">
            <v>47111</v>
          </cell>
          <cell r="C464" t="str">
            <v>elementos de consumo y proteccion</v>
          </cell>
          <cell r="D464" t="str">
            <v>%</v>
          </cell>
          <cell r="E464">
            <v>217128.94567418721</v>
          </cell>
          <cell r="G464">
            <v>1.2455000000000001E-2</v>
          </cell>
          <cell r="H464">
            <v>2704.3410183720021</v>
          </cell>
        </row>
        <row r="465">
          <cell r="A465" t="str">
            <v>14-12-060</v>
          </cell>
          <cell r="B465" t="str">
            <v>46111</v>
          </cell>
          <cell r="C465" t="str">
            <v>herramienta y equipo menor</v>
          </cell>
          <cell r="D465" t="str">
            <v>%</v>
          </cell>
          <cell r="E465">
            <v>217128.94567418721</v>
          </cell>
          <cell r="G465">
            <v>0.05</v>
          </cell>
          <cell r="H465">
            <v>10856.447283709362</v>
          </cell>
        </row>
        <row r="466">
          <cell r="A466">
            <v>0</v>
          </cell>
          <cell r="C466" t="str">
            <v>DIRECTO:  745191,0 / U</v>
          </cell>
          <cell r="D466">
            <v>0</v>
          </cell>
          <cell r="G466">
            <v>0</v>
          </cell>
          <cell r="H466">
            <v>0</v>
          </cell>
        </row>
        <row r="467">
          <cell r="A467">
            <v>0</v>
          </cell>
          <cell r="B467" t="str">
            <v>15</v>
          </cell>
          <cell r="C467" t="str">
            <v>INSTALACIONES ELECTRICAS</v>
          </cell>
          <cell r="D467">
            <v>0</v>
          </cell>
          <cell r="G467">
            <v>0</v>
          </cell>
          <cell r="H467">
            <v>0</v>
          </cell>
        </row>
        <row r="468">
          <cell r="A468" t="str">
            <v>15-01-010</v>
          </cell>
          <cell r="B468" t="str">
            <v>15-01-010</v>
          </cell>
          <cell r="C468" t="str">
            <v>SUMINISTRO, MONTAJE Y PUESTA EN OPERACION DE: POSTE DE CONCRETO DE 12M, 1050KG.</v>
          </cell>
          <cell r="D468" t="str">
            <v>U</v>
          </cell>
          <cell r="E468">
            <v>25</v>
          </cell>
          <cell r="G468">
            <v>0</v>
          </cell>
          <cell r="H468">
            <v>2246445.5451471992</v>
          </cell>
        </row>
        <row r="469">
          <cell r="A469" t="str">
            <v>15-01-010</v>
          </cell>
          <cell r="B469" t="str">
            <v>7213B</v>
          </cell>
          <cell r="C469" t="str">
            <v>aux concreto 3000 psi (21.1 MPa) -obra- 3/8"</v>
          </cell>
          <cell r="D469" t="str">
            <v>m3</v>
          </cell>
          <cell r="E469">
            <v>0.21782000000000001</v>
          </cell>
          <cell r="F469">
            <v>0.35</v>
          </cell>
          <cell r="G469">
            <v>449919.06073488999</v>
          </cell>
          <cell r="H469">
            <v>132301.84924251956</v>
          </cell>
        </row>
        <row r="470">
          <cell r="A470" t="str">
            <v>15-01-010</v>
          </cell>
          <cell r="B470" t="str">
            <v>1E574</v>
          </cell>
          <cell r="C470" t="str">
            <v>poste de concreto de 12 mts</v>
          </cell>
          <cell r="D470" t="str">
            <v>u</v>
          </cell>
          <cell r="E470">
            <v>1</v>
          </cell>
          <cell r="F470">
            <v>0.35</v>
          </cell>
          <cell r="G470">
            <v>973100</v>
          </cell>
          <cell r="H470">
            <v>1313685</v>
          </cell>
        </row>
        <row r="471">
          <cell r="A471" t="str">
            <v>15-01-010</v>
          </cell>
          <cell r="B471" t="str">
            <v>4V913</v>
          </cell>
          <cell r="C471" t="str">
            <v>grua 20 ton</v>
          </cell>
          <cell r="D471" t="str">
            <v>h</v>
          </cell>
          <cell r="E471">
            <v>2</v>
          </cell>
          <cell r="F471">
            <v>0.35</v>
          </cell>
          <cell r="G471">
            <v>150800</v>
          </cell>
          <cell r="H471">
            <v>407160</v>
          </cell>
        </row>
        <row r="472">
          <cell r="A472" t="str">
            <v>15-01-010</v>
          </cell>
          <cell r="B472" t="str">
            <v>2E134</v>
          </cell>
          <cell r="C472" t="str">
            <v>cuadrilla electrica dia</v>
          </cell>
          <cell r="D472" t="str">
            <v>dia</v>
          </cell>
          <cell r="E472">
            <v>0.93408000000000002</v>
          </cell>
          <cell r="F472">
            <v>0.35</v>
          </cell>
          <cell r="G472">
            <v>212586.45</v>
          </cell>
          <cell r="H472">
            <v>268073.21414160001</v>
          </cell>
        </row>
        <row r="473">
          <cell r="A473" t="str">
            <v>15-01-010</v>
          </cell>
          <cell r="B473" t="str">
            <v>61213</v>
          </cell>
          <cell r="C473" t="str">
            <v>transporte a envigado</v>
          </cell>
          <cell r="D473" t="str">
            <v>t</v>
          </cell>
          <cell r="E473">
            <v>10.142899999999999</v>
          </cell>
          <cell r="F473">
            <v>0.35</v>
          </cell>
          <cell r="G473">
            <v>8166.4</v>
          </cell>
          <cell r="H473">
            <v>111821.82105599999</v>
          </cell>
        </row>
        <row r="474">
          <cell r="A474" t="str">
            <v>15-01-010</v>
          </cell>
          <cell r="B474" t="str">
            <v>46111</v>
          </cell>
          <cell r="C474" t="str">
            <v>herramienta y equipo menor</v>
          </cell>
          <cell r="D474" t="str">
            <v>%</v>
          </cell>
          <cell r="E474">
            <v>268073.21414160001</v>
          </cell>
          <cell r="G474">
            <v>0.05</v>
          </cell>
          <cell r="H474">
            <v>13403.660707080002</v>
          </cell>
        </row>
        <row r="475">
          <cell r="A475">
            <v>0</v>
          </cell>
          <cell r="C475" t="str">
            <v>DIRECTO:  2246446,0 / U</v>
          </cell>
          <cell r="D475">
            <v>0</v>
          </cell>
          <cell r="G475">
            <v>0</v>
          </cell>
          <cell r="H475">
            <v>0</v>
          </cell>
        </row>
        <row r="476">
          <cell r="A476">
            <v>0</v>
          </cell>
          <cell r="C476">
            <v>0</v>
          </cell>
          <cell r="D476">
            <v>0</v>
          </cell>
          <cell r="G476">
            <v>0</v>
          </cell>
          <cell r="H476">
            <v>0</v>
          </cell>
        </row>
        <row r="477">
          <cell r="A477" t="str">
            <v>15-01-028</v>
          </cell>
          <cell r="B477" t="str">
            <v>15-01-028</v>
          </cell>
          <cell r="C477" t="str">
            <v>SUMINISTRO, MONTAJE Y PUESTA EN OPERACION DE: TRASLADO DE TRANSFORMADOR MONOFASICO EXISTENTE SEGUN NORMA RA3-026.</v>
          </cell>
          <cell r="D477" t="str">
            <v>U</v>
          </cell>
          <cell r="E477">
            <v>6</v>
          </cell>
          <cell r="G477">
            <v>0</v>
          </cell>
          <cell r="H477">
            <v>316648.63166625006</v>
          </cell>
        </row>
        <row r="478">
          <cell r="A478" t="str">
            <v>15-01-028</v>
          </cell>
          <cell r="B478" t="str">
            <v>2E134</v>
          </cell>
          <cell r="C478" t="str">
            <v>cuadrilla electrica dia</v>
          </cell>
          <cell r="D478" t="str">
            <v>dia</v>
          </cell>
          <cell r="E478">
            <v>0.67</v>
          </cell>
          <cell r="F478">
            <v>0.35</v>
          </cell>
          <cell r="G478">
            <v>212586.45</v>
          </cell>
          <cell r="H478">
            <v>192284.44402500003</v>
          </cell>
        </row>
        <row r="479">
          <cell r="A479" t="str">
            <v>15-01-028</v>
          </cell>
          <cell r="B479" t="str">
            <v>61213</v>
          </cell>
          <cell r="C479" t="str">
            <v>transporte a envigado</v>
          </cell>
          <cell r="D479" t="str">
            <v>t</v>
          </cell>
          <cell r="E479">
            <v>10.4085</v>
          </cell>
          <cell r="F479">
            <v>0.35</v>
          </cell>
          <cell r="G479">
            <v>8166.4</v>
          </cell>
          <cell r="H479">
            <v>114749.96544</v>
          </cell>
        </row>
        <row r="480">
          <cell r="A480" t="str">
            <v>15-01-028</v>
          </cell>
          <cell r="B480" t="str">
            <v>46111</v>
          </cell>
          <cell r="C480" t="str">
            <v>herramienta y equipo menor</v>
          </cell>
          <cell r="D480" t="str">
            <v>%</v>
          </cell>
          <cell r="E480">
            <v>192284.44402500003</v>
          </cell>
          <cell r="G480">
            <v>0.05</v>
          </cell>
          <cell r="H480">
            <v>9614.2222012500024</v>
          </cell>
        </row>
        <row r="481">
          <cell r="A481">
            <v>0</v>
          </cell>
          <cell r="C481" t="str">
            <v>DIRECTO:  316649,0 / U</v>
          </cell>
          <cell r="D481">
            <v>0</v>
          </cell>
          <cell r="G481">
            <v>0</v>
          </cell>
          <cell r="H481">
            <v>0</v>
          </cell>
        </row>
        <row r="482">
          <cell r="A482">
            <v>0</v>
          </cell>
          <cell r="C482">
            <v>0</v>
          </cell>
          <cell r="D482">
            <v>0</v>
          </cell>
          <cell r="G482">
            <v>0</v>
          </cell>
          <cell r="H482">
            <v>0</v>
          </cell>
        </row>
        <row r="483">
          <cell r="A483" t="str">
            <v>15-01-030</v>
          </cell>
          <cell r="B483" t="str">
            <v>15-01-030</v>
          </cell>
          <cell r="C483" t="str">
            <v>SUMINISTRO, MONTAJE Y PUESTA EN OPERACION DE: GRUPO DE NORMA RA6-001.</v>
          </cell>
          <cell r="D483" t="str">
            <v>U</v>
          </cell>
          <cell r="E483">
            <v>12</v>
          </cell>
          <cell r="G483">
            <v>0</v>
          </cell>
          <cell r="H483">
            <v>446044.49975573999</v>
          </cell>
        </row>
        <row r="484">
          <cell r="A484" t="str">
            <v>15-01-030</v>
          </cell>
          <cell r="B484" t="str">
            <v>1E547</v>
          </cell>
          <cell r="C484" t="str">
            <v>guarda cabo</v>
          </cell>
          <cell r="D484" t="str">
            <v>u</v>
          </cell>
          <cell r="E484">
            <v>1</v>
          </cell>
          <cell r="F484">
            <v>0.35</v>
          </cell>
          <cell r="G484">
            <v>1530</v>
          </cell>
          <cell r="H484">
            <v>2065.5</v>
          </cell>
        </row>
        <row r="485">
          <cell r="A485" t="str">
            <v>15-01-030</v>
          </cell>
          <cell r="B485" t="str">
            <v>1E565</v>
          </cell>
          <cell r="C485" t="str">
            <v>manguera de 1/2"</v>
          </cell>
          <cell r="D485" t="str">
            <v>m</v>
          </cell>
          <cell r="E485">
            <v>2.5</v>
          </cell>
          <cell r="F485">
            <v>0.35</v>
          </cell>
          <cell r="G485">
            <v>1673</v>
          </cell>
          <cell r="H485">
            <v>5646.375</v>
          </cell>
        </row>
        <row r="486">
          <cell r="A486" t="str">
            <v>15-01-030</v>
          </cell>
          <cell r="B486" t="str">
            <v>1E511</v>
          </cell>
          <cell r="C486" t="str">
            <v>arandela cuadrada de 5/8x3/16"</v>
          </cell>
          <cell r="D486" t="str">
            <v>u</v>
          </cell>
          <cell r="E486">
            <v>1</v>
          </cell>
          <cell r="F486">
            <v>0.35</v>
          </cell>
          <cell r="G486">
            <v>5200</v>
          </cell>
          <cell r="H486">
            <v>7020.0000000000009</v>
          </cell>
        </row>
        <row r="487">
          <cell r="A487" t="str">
            <v>15-01-030</v>
          </cell>
          <cell r="B487" t="str">
            <v>1E514</v>
          </cell>
          <cell r="C487" t="str">
            <v>aislador tensor de 41/4"-13.2kv</v>
          </cell>
          <cell r="D487" t="str">
            <v>u</v>
          </cell>
          <cell r="E487">
            <v>1</v>
          </cell>
          <cell r="F487">
            <v>0.35</v>
          </cell>
          <cell r="G487">
            <v>7920</v>
          </cell>
          <cell r="H487">
            <v>10692</v>
          </cell>
        </row>
        <row r="488">
          <cell r="A488" t="str">
            <v>15-01-030</v>
          </cell>
          <cell r="B488" t="str">
            <v>18133</v>
          </cell>
          <cell r="C488" t="str">
            <v>bloque 15x20x40 intermed 2 perforaciones r13 (13.0 kg)</v>
          </cell>
          <cell r="D488" t="str">
            <v>u</v>
          </cell>
          <cell r="E488">
            <v>4.14377</v>
          </cell>
          <cell r="F488">
            <v>0.35</v>
          </cell>
          <cell r="G488">
            <v>2671.48</v>
          </cell>
          <cell r="H488">
            <v>14944.498217460001</v>
          </cell>
        </row>
        <row r="489">
          <cell r="A489" t="str">
            <v>15-01-030</v>
          </cell>
          <cell r="B489" t="str">
            <v>1E587</v>
          </cell>
          <cell r="C489" t="str">
            <v>varilla de anclaje de 2.4 mts</v>
          </cell>
          <cell r="D489" t="str">
            <v>u</v>
          </cell>
          <cell r="E489">
            <v>1</v>
          </cell>
          <cell r="F489">
            <v>0.35</v>
          </cell>
          <cell r="G489">
            <v>18234</v>
          </cell>
          <cell r="H489">
            <v>24615.9</v>
          </cell>
        </row>
        <row r="490">
          <cell r="A490" t="str">
            <v>15-01-030</v>
          </cell>
          <cell r="B490" t="str">
            <v>1E523</v>
          </cell>
          <cell r="C490" t="str">
            <v>cable super gx de 1/4"</v>
          </cell>
          <cell r="D490" t="str">
            <v>m</v>
          </cell>
          <cell r="E490">
            <v>15</v>
          </cell>
          <cell r="F490">
            <v>0.35</v>
          </cell>
          <cell r="G490">
            <v>1249</v>
          </cell>
          <cell r="H490">
            <v>25292.25</v>
          </cell>
        </row>
        <row r="491">
          <cell r="A491" t="str">
            <v>15-01-030</v>
          </cell>
          <cell r="B491" t="str">
            <v>1E519</v>
          </cell>
          <cell r="C491" t="str">
            <v>brazo viento farol primario</v>
          </cell>
          <cell r="D491" t="str">
            <v>u</v>
          </cell>
          <cell r="E491">
            <v>1</v>
          </cell>
          <cell r="F491">
            <v>0.35</v>
          </cell>
          <cell r="G491">
            <v>52200</v>
          </cell>
          <cell r="H491">
            <v>70470</v>
          </cell>
        </row>
        <row r="492">
          <cell r="A492" t="str">
            <v>15-01-030</v>
          </cell>
          <cell r="B492" t="str">
            <v>2E134</v>
          </cell>
          <cell r="C492" t="str">
            <v>cuadrilla electrica dia</v>
          </cell>
          <cell r="D492" t="str">
            <v>dia</v>
          </cell>
          <cell r="E492">
            <v>0.57567999999999997</v>
          </cell>
          <cell r="F492">
            <v>0.35</v>
          </cell>
          <cell r="G492">
            <v>212586.45</v>
          </cell>
          <cell r="H492">
            <v>165215.38617360001</v>
          </cell>
        </row>
        <row r="493">
          <cell r="A493" t="str">
            <v>15-01-030</v>
          </cell>
          <cell r="B493" t="str">
            <v>61213</v>
          </cell>
          <cell r="C493" t="str">
            <v>transporte a envigado</v>
          </cell>
          <cell r="D493" t="str">
            <v>t</v>
          </cell>
          <cell r="E493">
            <v>10.142899999999999</v>
          </cell>
          <cell r="F493">
            <v>0.35</v>
          </cell>
          <cell r="G493">
            <v>8166.4</v>
          </cell>
          <cell r="H493">
            <v>111821.82105599999</v>
          </cell>
        </row>
        <row r="494">
          <cell r="A494" t="str">
            <v>15-01-030</v>
          </cell>
          <cell r="B494" t="str">
            <v>46111</v>
          </cell>
          <cell r="C494" t="str">
            <v>herramienta y equipo menor</v>
          </cell>
          <cell r="D494" t="str">
            <v>%</v>
          </cell>
          <cell r="E494">
            <v>165215.38617360001</v>
          </cell>
          <cell r="G494">
            <v>0.05</v>
          </cell>
          <cell r="H494">
            <v>8260.7693086800009</v>
          </cell>
        </row>
        <row r="495">
          <cell r="A495">
            <v>0</v>
          </cell>
          <cell r="C495" t="str">
            <v>DIRECTO:  446045,0 / U</v>
          </cell>
          <cell r="D495">
            <v>0</v>
          </cell>
          <cell r="G495">
            <v>0</v>
          </cell>
          <cell r="H495">
            <v>0</v>
          </cell>
        </row>
        <row r="496">
          <cell r="A496">
            <v>0</v>
          </cell>
          <cell r="C496">
            <v>0</v>
          </cell>
          <cell r="D496">
            <v>0</v>
          </cell>
          <cell r="G496">
            <v>0</v>
          </cell>
          <cell r="H496">
            <v>0</v>
          </cell>
        </row>
        <row r="497">
          <cell r="A497" t="str">
            <v>15-01-040</v>
          </cell>
          <cell r="B497" t="str">
            <v>15-01-040</v>
          </cell>
          <cell r="C497" t="str">
            <v>SUMINISTRO, MONTAJE Y PUESTA EN OPERACION DE: GRUPO DE NORMA RA6-002.</v>
          </cell>
          <cell r="D497" t="str">
            <v>U</v>
          </cell>
          <cell r="E497">
            <v>3</v>
          </cell>
          <cell r="G497">
            <v>0</v>
          </cell>
          <cell r="H497">
            <v>446044.49975573999</v>
          </cell>
        </row>
        <row r="498">
          <cell r="A498" t="str">
            <v>15-01-040</v>
          </cell>
          <cell r="B498" t="str">
            <v>1E547</v>
          </cell>
          <cell r="C498" t="str">
            <v>guarda cabo</v>
          </cell>
          <cell r="D498" t="str">
            <v>u</v>
          </cell>
          <cell r="E498">
            <v>1</v>
          </cell>
          <cell r="F498">
            <v>0.35</v>
          </cell>
          <cell r="G498">
            <v>1530</v>
          </cell>
          <cell r="H498">
            <v>2065.5</v>
          </cell>
        </row>
        <row r="499">
          <cell r="A499" t="str">
            <v>15-01-040</v>
          </cell>
          <cell r="B499" t="str">
            <v>1E565</v>
          </cell>
          <cell r="C499" t="str">
            <v>manguera de 1/2"</v>
          </cell>
          <cell r="D499" t="str">
            <v>m</v>
          </cell>
          <cell r="E499">
            <v>2.5</v>
          </cell>
          <cell r="F499">
            <v>0.35</v>
          </cell>
          <cell r="G499">
            <v>1673</v>
          </cell>
          <cell r="H499">
            <v>5646.375</v>
          </cell>
        </row>
        <row r="500">
          <cell r="A500" t="str">
            <v>15-01-040</v>
          </cell>
          <cell r="B500" t="str">
            <v>1E511</v>
          </cell>
          <cell r="C500" t="str">
            <v>arandela cuadrada de 5/8x3/16"</v>
          </cell>
          <cell r="D500" t="str">
            <v>u</v>
          </cell>
          <cell r="E500">
            <v>1</v>
          </cell>
          <cell r="F500">
            <v>0.35</v>
          </cell>
          <cell r="G500">
            <v>5200</v>
          </cell>
          <cell r="H500">
            <v>7020.0000000000009</v>
          </cell>
        </row>
        <row r="501">
          <cell r="A501" t="str">
            <v>15-01-040</v>
          </cell>
          <cell r="B501" t="str">
            <v>1E514</v>
          </cell>
          <cell r="C501" t="str">
            <v>aislador tensor de 41/4"-13.2kv</v>
          </cell>
          <cell r="D501" t="str">
            <v>u</v>
          </cell>
          <cell r="E501">
            <v>1</v>
          </cell>
          <cell r="F501">
            <v>0.35</v>
          </cell>
          <cell r="G501">
            <v>7920</v>
          </cell>
          <cell r="H501">
            <v>10692</v>
          </cell>
        </row>
        <row r="502">
          <cell r="A502" t="str">
            <v>15-01-040</v>
          </cell>
          <cell r="B502" t="str">
            <v>18133</v>
          </cell>
          <cell r="C502" t="str">
            <v>bloque 15x20x40 intermed 2 perforaciones r13 (13.0 kg)</v>
          </cell>
          <cell r="D502" t="str">
            <v>u</v>
          </cell>
          <cell r="E502">
            <v>4.14377</v>
          </cell>
          <cell r="F502">
            <v>0.35</v>
          </cell>
          <cell r="G502">
            <v>2671.48</v>
          </cell>
          <cell r="H502">
            <v>14944.498217460001</v>
          </cell>
        </row>
        <row r="503">
          <cell r="A503" t="str">
            <v>15-01-040</v>
          </cell>
          <cell r="B503" t="str">
            <v>1E587</v>
          </cell>
          <cell r="C503" t="str">
            <v>varilla de anclaje de 2.4 mts</v>
          </cell>
          <cell r="D503" t="str">
            <v>u</v>
          </cell>
          <cell r="E503">
            <v>1</v>
          </cell>
          <cell r="F503">
            <v>0.35</v>
          </cell>
          <cell r="G503">
            <v>18234</v>
          </cell>
          <cell r="H503">
            <v>24615.9</v>
          </cell>
        </row>
        <row r="504">
          <cell r="A504" t="str">
            <v>15-01-040</v>
          </cell>
          <cell r="B504" t="str">
            <v>1E523</v>
          </cell>
          <cell r="C504" t="str">
            <v>cable super gx de 1/4"</v>
          </cell>
          <cell r="D504" t="str">
            <v>m</v>
          </cell>
          <cell r="E504">
            <v>15</v>
          </cell>
          <cell r="F504">
            <v>0.35</v>
          </cell>
          <cell r="G504">
            <v>1249</v>
          </cell>
          <cell r="H504">
            <v>25292.25</v>
          </cell>
        </row>
        <row r="505">
          <cell r="A505" t="str">
            <v>15-01-040</v>
          </cell>
          <cell r="B505" t="str">
            <v>1E519</v>
          </cell>
          <cell r="C505" t="str">
            <v>brazo viento farol primario</v>
          </cell>
          <cell r="D505" t="str">
            <v>u</v>
          </cell>
          <cell r="E505">
            <v>1</v>
          </cell>
          <cell r="F505">
            <v>0.35</v>
          </cell>
          <cell r="G505">
            <v>52200</v>
          </cell>
          <cell r="H505">
            <v>70470</v>
          </cell>
        </row>
        <row r="506">
          <cell r="A506" t="str">
            <v>15-01-040</v>
          </cell>
          <cell r="B506" t="str">
            <v>2E134</v>
          </cell>
          <cell r="C506" t="str">
            <v>cuadrilla electrica dia</v>
          </cell>
          <cell r="D506" t="str">
            <v>dia</v>
          </cell>
          <cell r="E506">
            <v>0.57567999999999997</v>
          </cell>
          <cell r="F506">
            <v>0.35</v>
          </cell>
          <cell r="G506">
            <v>212586.45</v>
          </cell>
          <cell r="H506">
            <v>165215.38617360001</v>
          </cell>
        </row>
        <row r="507">
          <cell r="A507" t="str">
            <v>15-01-040</v>
          </cell>
          <cell r="B507" t="str">
            <v>61213</v>
          </cell>
          <cell r="C507" t="str">
            <v>transporte a envigado</v>
          </cell>
          <cell r="D507" t="str">
            <v>t</v>
          </cell>
          <cell r="E507">
            <v>10.142899999999999</v>
          </cell>
          <cell r="F507">
            <v>0.35</v>
          </cell>
          <cell r="G507">
            <v>8166.4</v>
          </cell>
          <cell r="H507">
            <v>111821.82105599999</v>
          </cell>
        </row>
        <row r="508">
          <cell r="A508" t="str">
            <v>15-01-040</v>
          </cell>
          <cell r="B508" t="str">
            <v>46111</v>
          </cell>
          <cell r="C508" t="str">
            <v>herramienta y equipo menor</v>
          </cell>
          <cell r="D508" t="str">
            <v>%</v>
          </cell>
          <cell r="E508">
            <v>165215.38617360001</v>
          </cell>
          <cell r="G508">
            <v>0.05</v>
          </cell>
          <cell r="H508">
            <v>8260.7693086800009</v>
          </cell>
        </row>
        <row r="509">
          <cell r="A509">
            <v>0</v>
          </cell>
          <cell r="C509" t="str">
            <v>DIRECTO:  446045,0 / U</v>
          </cell>
          <cell r="D509">
            <v>0</v>
          </cell>
          <cell r="G509">
            <v>0</v>
          </cell>
          <cell r="H509">
            <v>0</v>
          </cell>
        </row>
        <row r="510">
          <cell r="A510">
            <v>0</v>
          </cell>
          <cell r="C510">
            <v>0</v>
          </cell>
          <cell r="D510">
            <v>0</v>
          </cell>
          <cell r="G510">
            <v>0</v>
          </cell>
          <cell r="H510">
            <v>0</v>
          </cell>
        </row>
        <row r="511">
          <cell r="A511" t="str">
            <v>15-01-068</v>
          </cell>
          <cell r="B511" t="str">
            <v>15-01-068</v>
          </cell>
          <cell r="C511" t="str">
            <v>SUMINISTRO, MONTAJE Y PUESTA EN OPERACION DE: GRUPO DE NORMA RA2-026.</v>
          </cell>
          <cell r="D511" t="str">
            <v>U</v>
          </cell>
          <cell r="E511">
            <v>6</v>
          </cell>
          <cell r="G511">
            <v>0</v>
          </cell>
          <cell r="H511">
            <v>3635888.2761261379</v>
          </cell>
        </row>
        <row r="512">
          <cell r="A512" t="str">
            <v>15-01-068</v>
          </cell>
          <cell r="B512" t="str">
            <v>1E626</v>
          </cell>
          <cell r="C512" t="str">
            <v>tornillo de 5/8" 1-1/2</v>
          </cell>
          <cell r="D512" t="str">
            <v>u</v>
          </cell>
          <cell r="E512">
            <v>6</v>
          </cell>
          <cell r="F512">
            <v>0.35</v>
          </cell>
          <cell r="G512">
            <v>1180</v>
          </cell>
          <cell r="H512">
            <v>9558</v>
          </cell>
        </row>
        <row r="513">
          <cell r="A513" t="str">
            <v>15-01-068</v>
          </cell>
          <cell r="B513" t="str">
            <v>1E620</v>
          </cell>
          <cell r="C513" t="str">
            <v>conectores 10-10</v>
          </cell>
          <cell r="D513" t="str">
            <v>u</v>
          </cell>
          <cell r="E513">
            <v>12</v>
          </cell>
          <cell r="F513">
            <v>0.35</v>
          </cell>
          <cell r="G513">
            <v>2432</v>
          </cell>
          <cell r="H513">
            <v>39398.400000000001</v>
          </cell>
        </row>
        <row r="514">
          <cell r="A514" t="str">
            <v>15-01-068</v>
          </cell>
          <cell r="B514" t="str">
            <v>1E621</v>
          </cell>
          <cell r="C514" t="str">
            <v>varilla de anclaje 5/8"x1.8 (ra7-038)</v>
          </cell>
          <cell r="D514" t="str">
            <v>u</v>
          </cell>
          <cell r="E514">
            <v>2</v>
          </cell>
          <cell r="F514">
            <v>0.35</v>
          </cell>
          <cell r="G514">
            <v>18716</v>
          </cell>
          <cell r="H514">
            <v>50533.200000000004</v>
          </cell>
        </row>
        <row r="515">
          <cell r="A515" t="str">
            <v>15-01-068</v>
          </cell>
          <cell r="B515" t="str">
            <v>1E622</v>
          </cell>
          <cell r="C515" t="str">
            <v>diagonal en v de 48"</v>
          </cell>
          <cell r="D515" t="str">
            <v>u</v>
          </cell>
          <cell r="E515">
            <v>2</v>
          </cell>
          <cell r="F515">
            <v>0.35</v>
          </cell>
          <cell r="G515">
            <v>22300</v>
          </cell>
          <cell r="H515">
            <v>60210.000000000007</v>
          </cell>
        </row>
        <row r="516">
          <cell r="A516" t="str">
            <v>15-01-068</v>
          </cell>
          <cell r="B516" t="str">
            <v>1E541</v>
          </cell>
          <cell r="C516" t="str">
            <v>eslabones</v>
          </cell>
          <cell r="D516" t="str">
            <v>u</v>
          </cell>
          <cell r="E516">
            <v>8</v>
          </cell>
          <cell r="F516">
            <v>0.35</v>
          </cell>
          <cell r="G516">
            <v>7218</v>
          </cell>
          <cell r="H516">
            <v>77954.400000000009</v>
          </cell>
        </row>
        <row r="517">
          <cell r="A517" t="str">
            <v>15-01-068</v>
          </cell>
          <cell r="B517" t="str">
            <v>1E538</v>
          </cell>
          <cell r="C517" t="str">
            <v>espaciador de 5/8" x 12"</v>
          </cell>
          <cell r="D517" t="str">
            <v>u</v>
          </cell>
          <cell r="E517">
            <v>12</v>
          </cell>
          <cell r="F517">
            <v>0.35</v>
          </cell>
          <cell r="G517">
            <v>6341</v>
          </cell>
          <cell r="H517">
            <v>102724.20000000001</v>
          </cell>
        </row>
        <row r="518">
          <cell r="A518" t="str">
            <v>15-01-068</v>
          </cell>
          <cell r="B518" t="str">
            <v>1E623</v>
          </cell>
          <cell r="C518" t="str">
            <v>conector transversal universal</v>
          </cell>
          <cell r="D518" t="str">
            <v>u</v>
          </cell>
          <cell r="E518">
            <v>6</v>
          </cell>
          <cell r="F518">
            <v>0.35</v>
          </cell>
          <cell r="G518">
            <v>18560</v>
          </cell>
          <cell r="H518">
            <v>150336</v>
          </cell>
        </row>
        <row r="519">
          <cell r="A519" t="str">
            <v>15-01-068</v>
          </cell>
          <cell r="B519" t="str">
            <v>1E512</v>
          </cell>
          <cell r="C519" t="str">
            <v>alambre de cobre desnudo no. 4</v>
          </cell>
          <cell r="D519" t="str">
            <v>m</v>
          </cell>
          <cell r="E519">
            <v>24</v>
          </cell>
          <cell r="F519">
            <v>0.35</v>
          </cell>
          <cell r="G519">
            <v>6148</v>
          </cell>
          <cell r="H519">
            <v>199195.2</v>
          </cell>
        </row>
        <row r="520">
          <cell r="A520" t="str">
            <v>15-01-068</v>
          </cell>
          <cell r="B520" t="str">
            <v>1E624</v>
          </cell>
          <cell r="C520" t="str">
            <v>cruceta de 2.4 m</v>
          </cell>
          <cell r="D520" t="str">
            <v>u</v>
          </cell>
          <cell r="E520">
            <v>2</v>
          </cell>
          <cell r="F520">
            <v>0.35</v>
          </cell>
          <cell r="G520">
            <v>84800</v>
          </cell>
          <cell r="H520">
            <v>228960.00000000003</v>
          </cell>
        </row>
        <row r="521">
          <cell r="A521" t="str">
            <v>15-01-068</v>
          </cell>
          <cell r="B521" t="str">
            <v>1E625</v>
          </cell>
          <cell r="C521" t="str">
            <v>alambre desnudo n 6</v>
          </cell>
          <cell r="D521" t="str">
            <v>m</v>
          </cell>
          <cell r="E521">
            <v>50</v>
          </cell>
          <cell r="F521">
            <v>0.35</v>
          </cell>
          <cell r="G521">
            <v>3480</v>
          </cell>
          <cell r="H521">
            <v>234900.00000000003</v>
          </cell>
        </row>
        <row r="522">
          <cell r="A522" t="str">
            <v>15-01-068</v>
          </cell>
          <cell r="B522" t="str">
            <v>1E561</v>
          </cell>
          <cell r="C522" t="str">
            <v>pararrayos 15 kv</v>
          </cell>
          <cell r="D522" t="str">
            <v>u</v>
          </cell>
          <cell r="E522">
            <v>6</v>
          </cell>
          <cell r="F522">
            <v>0.35</v>
          </cell>
          <cell r="G522">
            <v>87614</v>
          </cell>
          <cell r="H522">
            <v>709673.4</v>
          </cell>
        </row>
        <row r="523">
          <cell r="A523" t="str">
            <v>15-01-068</v>
          </cell>
          <cell r="B523" t="str">
            <v>1E562</v>
          </cell>
          <cell r="C523" t="str">
            <v>cortacircuito de 15 kv</v>
          </cell>
          <cell r="D523" t="str">
            <v>u</v>
          </cell>
          <cell r="E523">
            <v>6</v>
          </cell>
          <cell r="F523">
            <v>0.35</v>
          </cell>
          <cell r="G523">
            <v>181169</v>
          </cell>
          <cell r="H523">
            <v>1467468.9000000001</v>
          </cell>
        </row>
        <row r="524">
          <cell r="A524" t="str">
            <v>15-01-068</v>
          </cell>
          <cell r="B524" t="str">
            <v>2E134</v>
          </cell>
          <cell r="C524" t="str">
            <v>cuadrilla electrica dia</v>
          </cell>
          <cell r="D524" t="str">
            <v>dia</v>
          </cell>
          <cell r="E524">
            <v>0.85409999999999997</v>
          </cell>
          <cell r="F524">
            <v>0.35</v>
          </cell>
          <cell r="G524">
            <v>212586.45</v>
          </cell>
          <cell r="H524">
            <v>245119.61737575004</v>
          </cell>
        </row>
        <row r="525">
          <cell r="A525" t="str">
            <v>15-01-068</v>
          </cell>
          <cell r="B525" t="str">
            <v>61213</v>
          </cell>
          <cell r="C525" t="str">
            <v>transporte a envigado</v>
          </cell>
          <cell r="D525" t="str">
            <v>t</v>
          </cell>
          <cell r="E525">
            <v>4.3176899999999998</v>
          </cell>
          <cell r="F525">
            <v>0.35</v>
          </cell>
          <cell r="G525">
            <v>8166.4</v>
          </cell>
          <cell r="H525">
            <v>47600.977881600003</v>
          </cell>
        </row>
        <row r="526">
          <cell r="A526" t="str">
            <v>15-01-068</v>
          </cell>
          <cell r="B526" t="str">
            <v>46111</v>
          </cell>
          <cell r="C526" t="str">
            <v>herramienta y equipo menor</v>
          </cell>
          <cell r="D526" t="str">
            <v>%</v>
          </cell>
          <cell r="E526">
            <v>245119.61737575004</v>
          </cell>
          <cell r="G526">
            <v>0.05</v>
          </cell>
          <cell r="H526">
            <v>12255.980868787503</v>
          </cell>
        </row>
        <row r="527">
          <cell r="A527">
            <v>0</v>
          </cell>
          <cell r="C527" t="str">
            <v>DIRECTO:  3635889,0 / U</v>
          </cell>
          <cell r="D527">
            <v>0</v>
          </cell>
          <cell r="G527">
            <v>0</v>
          </cell>
          <cell r="H527">
            <v>0</v>
          </cell>
        </row>
        <row r="528">
          <cell r="A528">
            <v>0</v>
          </cell>
          <cell r="C528">
            <v>0</v>
          </cell>
          <cell r="D528">
            <v>0</v>
          </cell>
          <cell r="G528">
            <v>0</v>
          </cell>
          <cell r="H528">
            <v>0</v>
          </cell>
        </row>
        <row r="529">
          <cell r="A529" t="str">
            <v>15-01-115</v>
          </cell>
          <cell r="B529" t="str">
            <v>15-01-115</v>
          </cell>
          <cell r="C529" t="str">
            <v>SUMINISTRO, MONTAJE Y PUESTA EN OPERACION DE: GRUPO DE NORMA RA2-301.</v>
          </cell>
          <cell r="D529" t="str">
            <v>U</v>
          </cell>
          <cell r="E529">
            <v>4</v>
          </cell>
          <cell r="G529">
            <v>0</v>
          </cell>
          <cell r="H529">
            <v>494901.25394501258</v>
          </cell>
        </row>
        <row r="530">
          <cell r="A530" t="str">
            <v>15-01-115</v>
          </cell>
          <cell r="B530" t="str">
            <v>1E617</v>
          </cell>
          <cell r="C530" t="str">
            <v>espigo para aislador 6"x3/4" rosca de nylon</v>
          </cell>
          <cell r="D530" t="str">
            <v>u</v>
          </cell>
          <cell r="E530">
            <v>3</v>
          </cell>
          <cell r="F530">
            <v>0.35</v>
          </cell>
          <cell r="G530">
            <v>5</v>
          </cell>
          <cell r="H530">
            <v>20.25</v>
          </cell>
        </row>
        <row r="531">
          <cell r="A531" t="str">
            <v>15-01-115</v>
          </cell>
          <cell r="B531" t="str">
            <v>1E646</v>
          </cell>
          <cell r="C531" t="str">
            <v>perno hexagonal 5/8"x50.8mm</v>
          </cell>
          <cell r="D531" t="str">
            <v>u</v>
          </cell>
          <cell r="E531">
            <v>1</v>
          </cell>
          <cell r="F531">
            <v>0.35</v>
          </cell>
          <cell r="G531">
            <v>15</v>
          </cell>
          <cell r="H531">
            <v>20.25</v>
          </cell>
        </row>
        <row r="532">
          <cell r="A532" t="str">
            <v>15-01-115</v>
          </cell>
          <cell r="B532" t="str">
            <v>1E540</v>
          </cell>
          <cell r="C532" t="str">
            <v>espaciador de 5/8"x8" (200mm)</v>
          </cell>
          <cell r="D532" t="str">
            <v>u</v>
          </cell>
          <cell r="E532">
            <v>2</v>
          </cell>
          <cell r="F532">
            <v>0.35</v>
          </cell>
          <cell r="G532">
            <v>5814</v>
          </cell>
          <cell r="H532">
            <v>15697.800000000001</v>
          </cell>
        </row>
        <row r="533">
          <cell r="A533" t="str">
            <v>15-01-115</v>
          </cell>
          <cell r="B533" t="str">
            <v>1E538</v>
          </cell>
          <cell r="C533" t="str">
            <v>espaciador de 5/8" x 12"</v>
          </cell>
          <cell r="D533" t="str">
            <v>u</v>
          </cell>
          <cell r="E533">
            <v>2</v>
          </cell>
          <cell r="F533">
            <v>0.35</v>
          </cell>
          <cell r="G533">
            <v>6341</v>
          </cell>
          <cell r="H533">
            <v>17120.7</v>
          </cell>
        </row>
        <row r="534">
          <cell r="A534" t="str">
            <v>15-01-115</v>
          </cell>
          <cell r="B534" t="str">
            <v>1E544</v>
          </cell>
          <cell r="C534" t="str">
            <v>estribo</v>
          </cell>
          <cell r="D534" t="str">
            <v>u</v>
          </cell>
          <cell r="E534">
            <v>3</v>
          </cell>
          <cell r="F534">
            <v>0.35</v>
          </cell>
          <cell r="G534">
            <v>8910</v>
          </cell>
          <cell r="H534">
            <v>36085.5</v>
          </cell>
        </row>
        <row r="535">
          <cell r="A535" t="str">
            <v>15-01-115</v>
          </cell>
          <cell r="B535" t="str">
            <v>1E575</v>
          </cell>
          <cell r="C535" t="str">
            <v>mensula de soporte 610 mm</v>
          </cell>
          <cell r="D535" t="str">
            <v>u</v>
          </cell>
          <cell r="E535">
            <v>1</v>
          </cell>
          <cell r="F535">
            <v>0.35</v>
          </cell>
          <cell r="G535">
            <v>44360</v>
          </cell>
          <cell r="H535">
            <v>59886.000000000007</v>
          </cell>
        </row>
        <row r="536">
          <cell r="A536" t="str">
            <v>15-01-115</v>
          </cell>
          <cell r="B536" t="str">
            <v>1E619</v>
          </cell>
          <cell r="C536" t="str">
            <v>pieamigo cruceta de 2400 mm</v>
          </cell>
          <cell r="D536" t="str">
            <v>u</v>
          </cell>
          <cell r="E536">
            <v>1</v>
          </cell>
          <cell r="F536">
            <v>0.35</v>
          </cell>
          <cell r="G536">
            <v>56000</v>
          </cell>
          <cell r="H536">
            <v>75600</v>
          </cell>
        </row>
        <row r="537">
          <cell r="A537" t="str">
            <v>15-01-115</v>
          </cell>
          <cell r="B537" t="str">
            <v>1E530</v>
          </cell>
          <cell r="C537" t="str">
            <v>cruceta metalica de 1500 mm</v>
          </cell>
          <cell r="D537" t="str">
            <v>u</v>
          </cell>
          <cell r="E537">
            <v>1</v>
          </cell>
          <cell r="F537">
            <v>0.35</v>
          </cell>
          <cell r="G537">
            <v>62747</v>
          </cell>
          <cell r="H537">
            <v>84708.450000000012</v>
          </cell>
        </row>
        <row r="538">
          <cell r="A538" t="str">
            <v>15-01-115</v>
          </cell>
          <cell r="B538" t="str">
            <v>1E515</v>
          </cell>
          <cell r="C538" t="str">
            <v>aislador polimerico tipo suspension 13.2kv</v>
          </cell>
          <cell r="D538" t="str">
            <v>u</v>
          </cell>
          <cell r="E538">
            <v>3</v>
          </cell>
          <cell r="F538">
            <v>0.35</v>
          </cell>
          <cell r="G538">
            <v>25829</v>
          </cell>
          <cell r="H538">
            <v>104607.45000000001</v>
          </cell>
        </row>
        <row r="539">
          <cell r="A539" t="str">
            <v>15-01-115</v>
          </cell>
          <cell r="B539" t="str">
            <v>2E134</v>
          </cell>
          <cell r="C539" t="str">
            <v>cuadrilla electrica dia</v>
          </cell>
          <cell r="D539" t="str">
            <v>dia</v>
          </cell>
          <cell r="E539">
            <v>0.25669999999999998</v>
          </cell>
          <cell r="F539">
            <v>0.35</v>
          </cell>
          <cell r="G539">
            <v>212586.45</v>
          </cell>
          <cell r="H539">
            <v>73670.771315250007</v>
          </cell>
        </row>
        <row r="540">
          <cell r="A540" t="str">
            <v>15-01-115</v>
          </cell>
          <cell r="B540" t="str">
            <v>61213</v>
          </cell>
          <cell r="C540" t="str">
            <v>transporte a envigado</v>
          </cell>
          <cell r="D540" t="str">
            <v>t</v>
          </cell>
          <cell r="E540">
            <v>2.1588500000000002</v>
          </cell>
          <cell r="F540">
            <v>0.35</v>
          </cell>
          <cell r="G540">
            <v>8166.4</v>
          </cell>
          <cell r="H540">
            <v>23800.544064000002</v>
          </cell>
        </row>
        <row r="541">
          <cell r="A541" t="str">
            <v>15-01-115</v>
          </cell>
          <cell r="B541" t="str">
            <v>46111</v>
          </cell>
          <cell r="C541" t="str">
            <v>herramienta y equipo menor</v>
          </cell>
          <cell r="D541" t="str">
            <v>%</v>
          </cell>
          <cell r="E541">
            <v>73670.771315250007</v>
          </cell>
          <cell r="G541">
            <v>0.05</v>
          </cell>
          <cell r="H541">
            <v>3683.5385657625006</v>
          </cell>
        </row>
        <row r="542">
          <cell r="A542">
            <v>0</v>
          </cell>
          <cell r="C542" t="str">
            <v>DIRECTO:  494902,0 / U</v>
          </cell>
          <cell r="D542">
            <v>0</v>
          </cell>
          <cell r="G542">
            <v>0</v>
          </cell>
          <cell r="H542">
            <v>0</v>
          </cell>
        </row>
        <row r="543">
          <cell r="A543">
            <v>0</v>
          </cell>
          <cell r="C543">
            <v>0</v>
          </cell>
          <cell r="D543">
            <v>0</v>
          </cell>
          <cell r="G543">
            <v>0</v>
          </cell>
          <cell r="H543">
            <v>0</v>
          </cell>
        </row>
        <row r="544">
          <cell r="A544" t="str">
            <v>15-01-120</v>
          </cell>
          <cell r="B544" t="str">
            <v>15-01-120</v>
          </cell>
          <cell r="C544" t="str">
            <v>SUMINISTRO, MONTAJE Y PUESTA EN OPERACION DE: GRUPO DE NORMA RA2-302.</v>
          </cell>
          <cell r="D544" t="str">
            <v>U</v>
          </cell>
          <cell r="E544">
            <v>4</v>
          </cell>
          <cell r="G544">
            <v>0</v>
          </cell>
          <cell r="H544">
            <v>862567.00394501258</v>
          </cell>
        </row>
        <row r="545">
          <cell r="A545" t="str">
            <v>15-01-120</v>
          </cell>
          <cell r="B545" t="str">
            <v>1E580</v>
          </cell>
          <cell r="C545" t="str">
            <v>tornillo de 5/8" x 8"</v>
          </cell>
          <cell r="D545" t="str">
            <v>u</v>
          </cell>
          <cell r="E545">
            <v>2</v>
          </cell>
          <cell r="F545">
            <v>0.35</v>
          </cell>
          <cell r="G545">
            <v>4939</v>
          </cell>
          <cell r="H545">
            <v>13335.300000000001</v>
          </cell>
        </row>
        <row r="546">
          <cell r="A546" t="str">
            <v>15-01-120</v>
          </cell>
          <cell r="B546" t="str">
            <v>1E578</v>
          </cell>
          <cell r="C546" t="str">
            <v>tornillo galv. de 5/8" x 12"</v>
          </cell>
          <cell r="D546" t="str">
            <v>u</v>
          </cell>
          <cell r="E546">
            <v>2</v>
          </cell>
          <cell r="F546">
            <v>0.35</v>
          </cell>
          <cell r="G546">
            <v>6300</v>
          </cell>
          <cell r="H546">
            <v>17010</v>
          </cell>
        </row>
        <row r="547">
          <cell r="A547" t="str">
            <v>15-01-120</v>
          </cell>
          <cell r="B547" t="str">
            <v>1E542</v>
          </cell>
          <cell r="C547" t="str">
            <v>espigo para aislador b=38 mm</v>
          </cell>
          <cell r="D547" t="str">
            <v>u</v>
          </cell>
          <cell r="E547">
            <v>3</v>
          </cell>
          <cell r="F547">
            <v>0.35</v>
          </cell>
          <cell r="G547">
            <v>11876</v>
          </cell>
          <cell r="H547">
            <v>48097.8</v>
          </cell>
        </row>
        <row r="548">
          <cell r="A548" t="str">
            <v>15-01-120</v>
          </cell>
          <cell r="B548" t="str">
            <v>1E575</v>
          </cell>
          <cell r="C548" t="str">
            <v>mensula de soporte 610 mm</v>
          </cell>
          <cell r="D548" t="str">
            <v>u</v>
          </cell>
          <cell r="E548">
            <v>1</v>
          </cell>
          <cell r="F548">
            <v>0.35</v>
          </cell>
          <cell r="G548">
            <v>44360</v>
          </cell>
          <cell r="H548">
            <v>59886.000000000007</v>
          </cell>
        </row>
        <row r="549">
          <cell r="A549" t="str">
            <v>15-01-120</v>
          </cell>
          <cell r="B549" t="str">
            <v>1E518</v>
          </cell>
          <cell r="C549" t="str">
            <v>brazo angular tipo c</v>
          </cell>
          <cell r="D549" t="str">
            <v>u</v>
          </cell>
          <cell r="E549">
            <v>1</v>
          </cell>
          <cell r="F549">
            <v>0.35</v>
          </cell>
          <cell r="G549">
            <v>70160</v>
          </cell>
          <cell r="H549">
            <v>94716</v>
          </cell>
        </row>
        <row r="550">
          <cell r="A550" t="str">
            <v>15-01-120</v>
          </cell>
          <cell r="B550" t="str">
            <v>1E515</v>
          </cell>
          <cell r="C550" t="str">
            <v>aislador polimerico tipo suspension 13.2kv</v>
          </cell>
          <cell r="D550" t="str">
            <v>u</v>
          </cell>
          <cell r="E550">
            <v>3</v>
          </cell>
          <cell r="F550">
            <v>0.35</v>
          </cell>
          <cell r="G550">
            <v>25829</v>
          </cell>
          <cell r="H550">
            <v>104607.45000000001</v>
          </cell>
        </row>
        <row r="551">
          <cell r="A551" t="str">
            <v>15-01-120</v>
          </cell>
          <cell r="B551" t="str">
            <v>1E516</v>
          </cell>
          <cell r="C551" t="str">
            <v>amarre preformado cable cubierto</v>
          </cell>
          <cell r="D551" t="str">
            <v>u</v>
          </cell>
          <cell r="E551">
            <v>3</v>
          </cell>
          <cell r="F551">
            <v>0.35</v>
          </cell>
          <cell r="G551">
            <v>104632</v>
          </cell>
          <cell r="H551">
            <v>423759.60000000003</v>
          </cell>
        </row>
        <row r="552">
          <cell r="A552" t="str">
            <v>15-01-120</v>
          </cell>
          <cell r="B552" t="str">
            <v>2E134</v>
          </cell>
          <cell r="C552" t="str">
            <v>cuadrilla electrica dia</v>
          </cell>
          <cell r="D552" t="str">
            <v>dia</v>
          </cell>
          <cell r="E552">
            <v>0.25669999999999998</v>
          </cell>
          <cell r="F552">
            <v>0.35</v>
          </cell>
          <cell r="G552">
            <v>212586.45</v>
          </cell>
          <cell r="H552">
            <v>73670.771315250007</v>
          </cell>
        </row>
        <row r="553">
          <cell r="A553" t="str">
            <v>15-01-120</v>
          </cell>
          <cell r="B553" t="str">
            <v>61213</v>
          </cell>
          <cell r="C553" t="str">
            <v>transporte a envigado</v>
          </cell>
          <cell r="D553" t="str">
            <v>t</v>
          </cell>
          <cell r="E553">
            <v>2.1588500000000002</v>
          </cell>
          <cell r="F553">
            <v>0.35</v>
          </cell>
          <cell r="G553">
            <v>8166.4</v>
          </cell>
          <cell r="H553">
            <v>23800.544064000002</v>
          </cell>
        </row>
        <row r="554">
          <cell r="A554" t="str">
            <v>15-01-120</v>
          </cell>
          <cell r="B554" t="str">
            <v>46111</v>
          </cell>
          <cell r="C554" t="str">
            <v>herramienta y equipo menor</v>
          </cell>
          <cell r="D554" t="str">
            <v>%</v>
          </cell>
          <cell r="E554">
            <v>73670.771315250007</v>
          </cell>
          <cell r="G554">
            <v>0.05</v>
          </cell>
          <cell r="H554">
            <v>3683.5385657625006</v>
          </cell>
        </row>
        <row r="555">
          <cell r="A555">
            <v>0</v>
          </cell>
          <cell r="C555" t="str">
            <v>DIRECTO:  862568,0 / U</v>
          </cell>
          <cell r="D555">
            <v>0</v>
          </cell>
          <cell r="G555">
            <v>0</v>
          </cell>
          <cell r="H555">
            <v>0</v>
          </cell>
        </row>
        <row r="556">
          <cell r="A556">
            <v>0</v>
          </cell>
          <cell r="C556">
            <v>0</v>
          </cell>
          <cell r="D556">
            <v>0</v>
          </cell>
          <cell r="G556">
            <v>0</v>
          </cell>
          <cell r="H556">
            <v>0</v>
          </cell>
        </row>
        <row r="557">
          <cell r="A557" t="str">
            <v>15-01-125</v>
          </cell>
          <cell r="B557" t="str">
            <v>15-01-125</v>
          </cell>
          <cell r="C557" t="str">
            <v>SUMINISTRO, MONTAJE Y PUESTA EN OPERACION DE: GRUPO DE NORMA RA2-303.</v>
          </cell>
          <cell r="D557" t="str">
            <v>U</v>
          </cell>
          <cell r="E557">
            <v>13</v>
          </cell>
          <cell r="G557">
            <v>0</v>
          </cell>
          <cell r="H557">
            <v>1112627.5039450128</v>
          </cell>
        </row>
        <row r="558">
          <cell r="A558" t="str">
            <v>15-01-125</v>
          </cell>
          <cell r="B558" t="str">
            <v>1E547</v>
          </cell>
          <cell r="C558" t="str">
            <v>guarda cabo</v>
          </cell>
          <cell r="D558" t="str">
            <v>u</v>
          </cell>
          <cell r="E558">
            <v>3</v>
          </cell>
          <cell r="F558">
            <v>0.35</v>
          </cell>
          <cell r="G558">
            <v>1530</v>
          </cell>
          <cell r="H558">
            <v>6196.5</v>
          </cell>
        </row>
        <row r="559">
          <cell r="A559" t="str">
            <v>15-01-125</v>
          </cell>
          <cell r="B559" t="str">
            <v>1E582</v>
          </cell>
          <cell r="C559" t="str">
            <v>tuerca de ojo de 5/8"</v>
          </cell>
          <cell r="D559" t="str">
            <v>u</v>
          </cell>
          <cell r="E559">
            <v>2</v>
          </cell>
          <cell r="F559">
            <v>0.35</v>
          </cell>
          <cell r="G559">
            <v>6520</v>
          </cell>
          <cell r="H559">
            <v>17604</v>
          </cell>
        </row>
        <row r="560">
          <cell r="A560" t="str">
            <v>15-01-125</v>
          </cell>
          <cell r="B560" t="str">
            <v>1E540</v>
          </cell>
          <cell r="C560" t="str">
            <v>espaciador de 5/8"x8" (200mm)</v>
          </cell>
          <cell r="D560" t="str">
            <v>u</v>
          </cell>
          <cell r="E560">
            <v>4</v>
          </cell>
          <cell r="F560">
            <v>0.35</v>
          </cell>
          <cell r="G560">
            <v>5814</v>
          </cell>
          <cell r="H560">
            <v>31395.600000000002</v>
          </cell>
        </row>
        <row r="561">
          <cell r="A561" t="str">
            <v>15-01-125</v>
          </cell>
          <cell r="B561" t="str">
            <v>1E548</v>
          </cell>
          <cell r="C561" t="str">
            <v>grapa de retencion tipo pistola</v>
          </cell>
          <cell r="D561" t="str">
            <v>u</v>
          </cell>
          <cell r="E561">
            <v>1</v>
          </cell>
          <cell r="F561">
            <v>0.35</v>
          </cell>
          <cell r="G561">
            <v>25000</v>
          </cell>
          <cell r="H561">
            <v>33750</v>
          </cell>
        </row>
        <row r="562">
          <cell r="A562" t="str">
            <v>15-01-125</v>
          </cell>
          <cell r="B562" t="str">
            <v>1E544</v>
          </cell>
          <cell r="C562" t="str">
            <v>estribo</v>
          </cell>
          <cell r="D562" t="str">
            <v>u</v>
          </cell>
          <cell r="E562">
            <v>3</v>
          </cell>
          <cell r="F562">
            <v>0.35</v>
          </cell>
          <cell r="G562">
            <v>8910</v>
          </cell>
          <cell r="H562">
            <v>36085.5</v>
          </cell>
        </row>
        <row r="563">
          <cell r="A563" t="str">
            <v>15-01-125</v>
          </cell>
          <cell r="B563" t="str">
            <v>1E541</v>
          </cell>
          <cell r="C563" t="str">
            <v>eslabones</v>
          </cell>
          <cell r="D563" t="str">
            <v>u</v>
          </cell>
          <cell r="E563">
            <v>5</v>
          </cell>
          <cell r="F563">
            <v>0.35</v>
          </cell>
          <cell r="G563">
            <v>7218</v>
          </cell>
          <cell r="H563">
            <v>48721.5</v>
          </cell>
        </row>
        <row r="564">
          <cell r="A564" t="str">
            <v>15-01-125</v>
          </cell>
          <cell r="B564" t="str">
            <v>1E538</v>
          </cell>
          <cell r="C564" t="str">
            <v>espaciador de 5/8" x 12"</v>
          </cell>
          <cell r="D564" t="str">
            <v>u</v>
          </cell>
          <cell r="E564">
            <v>6</v>
          </cell>
          <cell r="F564">
            <v>0.35</v>
          </cell>
          <cell r="G564">
            <v>6341</v>
          </cell>
          <cell r="H564">
            <v>51362.100000000006</v>
          </cell>
        </row>
        <row r="565">
          <cell r="A565" t="str">
            <v>15-01-125</v>
          </cell>
          <cell r="B565" t="str">
            <v>1E536</v>
          </cell>
          <cell r="C565" t="str">
            <v>diagonal en "v" 920 mm</v>
          </cell>
          <cell r="D565" t="str">
            <v>u</v>
          </cell>
          <cell r="E565">
            <v>2</v>
          </cell>
          <cell r="F565">
            <v>0.35</v>
          </cell>
          <cell r="G565">
            <v>32805</v>
          </cell>
          <cell r="H565">
            <v>88573.5</v>
          </cell>
        </row>
        <row r="566">
          <cell r="A566" t="str">
            <v>15-01-125</v>
          </cell>
          <cell r="B566" t="str">
            <v>1E515</v>
          </cell>
          <cell r="C566" t="str">
            <v>aislador polimerico tipo suspension 13.2kv</v>
          </cell>
          <cell r="D566" t="str">
            <v>u</v>
          </cell>
          <cell r="E566">
            <v>3</v>
          </cell>
          <cell r="F566">
            <v>0.35</v>
          </cell>
          <cell r="G566">
            <v>25829</v>
          </cell>
          <cell r="H566">
            <v>104607.45000000001</v>
          </cell>
        </row>
        <row r="567">
          <cell r="A567" t="str">
            <v>15-01-125</v>
          </cell>
          <cell r="B567" t="str">
            <v>1E530</v>
          </cell>
          <cell r="C567" t="str">
            <v>cruceta metalica de 1500 mm</v>
          </cell>
          <cell r="D567" t="str">
            <v>u</v>
          </cell>
          <cell r="E567">
            <v>2</v>
          </cell>
          <cell r="F567">
            <v>0.35</v>
          </cell>
          <cell r="G567">
            <v>62747</v>
          </cell>
          <cell r="H567">
            <v>169416.90000000002</v>
          </cell>
        </row>
        <row r="568">
          <cell r="A568" t="str">
            <v>15-01-125</v>
          </cell>
          <cell r="B568" t="str">
            <v>1E516</v>
          </cell>
          <cell r="C568" t="str">
            <v>amarre preformado cable cubierto</v>
          </cell>
          <cell r="D568" t="str">
            <v>u</v>
          </cell>
          <cell r="E568">
            <v>3</v>
          </cell>
          <cell r="F568">
            <v>0.35</v>
          </cell>
          <cell r="G568">
            <v>104632</v>
          </cell>
          <cell r="H568">
            <v>423759.60000000003</v>
          </cell>
        </row>
        <row r="569">
          <cell r="A569" t="str">
            <v>15-01-125</v>
          </cell>
          <cell r="B569" t="str">
            <v>2E134</v>
          </cell>
          <cell r="C569" t="str">
            <v>cuadrilla electrica dia</v>
          </cell>
          <cell r="D569" t="str">
            <v>dia</v>
          </cell>
          <cell r="E569">
            <v>0.25669999999999998</v>
          </cell>
          <cell r="F569">
            <v>0.35</v>
          </cell>
          <cell r="G569">
            <v>212586.45</v>
          </cell>
          <cell r="H569">
            <v>73670.771315250007</v>
          </cell>
        </row>
        <row r="570">
          <cell r="A570" t="str">
            <v>15-01-125</v>
          </cell>
          <cell r="B570" t="str">
            <v>61213</v>
          </cell>
          <cell r="C570" t="str">
            <v>transporte a envigado</v>
          </cell>
          <cell r="D570" t="str">
            <v>t</v>
          </cell>
          <cell r="E570">
            <v>2.1588500000000002</v>
          </cell>
          <cell r="F570">
            <v>0.35</v>
          </cell>
          <cell r="G570">
            <v>8166.4</v>
          </cell>
          <cell r="H570">
            <v>23800.544064000002</v>
          </cell>
        </row>
        <row r="571">
          <cell r="A571" t="str">
            <v>15-01-125</v>
          </cell>
          <cell r="B571" t="str">
            <v>46111</v>
          </cell>
          <cell r="C571" t="str">
            <v>herramienta y equipo menor</v>
          </cell>
          <cell r="D571" t="str">
            <v>%</v>
          </cell>
          <cell r="E571">
            <v>73670.771315250007</v>
          </cell>
          <cell r="G571">
            <v>0.05</v>
          </cell>
          <cell r="H571">
            <v>3683.5385657625006</v>
          </cell>
        </row>
        <row r="572">
          <cell r="A572">
            <v>0</v>
          </cell>
          <cell r="C572" t="str">
            <v>DIRECTO:  1112628,0 / U</v>
          </cell>
          <cell r="D572">
            <v>0</v>
          </cell>
          <cell r="G572">
            <v>0</v>
          </cell>
          <cell r="H572">
            <v>0</v>
          </cell>
        </row>
        <row r="573">
          <cell r="A573">
            <v>0</v>
          </cell>
          <cell r="C573">
            <v>0</v>
          </cell>
          <cell r="D573">
            <v>0</v>
          </cell>
          <cell r="G573">
            <v>0</v>
          </cell>
          <cell r="H573">
            <v>0</v>
          </cell>
        </row>
        <row r="574">
          <cell r="A574" t="str">
            <v>15-01-136</v>
          </cell>
          <cell r="B574" t="str">
            <v>15-01-136</v>
          </cell>
          <cell r="C574" t="str">
            <v>SUMINISTRO, MONTAJE Y PUESTA EN OPERACION DE: GRUPO DE NORMA RA2-304.</v>
          </cell>
          <cell r="D574" t="str">
            <v>U</v>
          </cell>
          <cell r="E574">
            <v>4</v>
          </cell>
          <cell r="G574">
            <v>0</v>
          </cell>
          <cell r="H574">
            <v>1624913.3539450127</v>
          </cell>
        </row>
        <row r="575">
          <cell r="A575" t="str">
            <v>15-01-136</v>
          </cell>
          <cell r="B575" t="str">
            <v>1E601</v>
          </cell>
          <cell r="C575" t="str">
            <v>tornillo galv. de 5/8" x 2"</v>
          </cell>
          <cell r="D575" t="str">
            <v>u</v>
          </cell>
          <cell r="E575">
            <v>4</v>
          </cell>
          <cell r="F575">
            <v>0.35</v>
          </cell>
          <cell r="G575">
            <v>1300</v>
          </cell>
          <cell r="H575">
            <v>7020.0000000000009</v>
          </cell>
        </row>
        <row r="576">
          <cell r="A576" t="str">
            <v>15-01-136</v>
          </cell>
          <cell r="B576" t="str">
            <v>1E547</v>
          </cell>
          <cell r="C576" t="str">
            <v>guarda cabo</v>
          </cell>
          <cell r="D576" t="str">
            <v>u</v>
          </cell>
          <cell r="E576">
            <v>6</v>
          </cell>
          <cell r="F576">
            <v>0.35</v>
          </cell>
          <cell r="G576">
            <v>1530</v>
          </cell>
          <cell r="H576">
            <v>12393</v>
          </cell>
        </row>
        <row r="577">
          <cell r="A577" t="str">
            <v>15-01-136</v>
          </cell>
          <cell r="B577" t="str">
            <v>1E582</v>
          </cell>
          <cell r="C577" t="str">
            <v>tuerca de ojo de 5/8"</v>
          </cell>
          <cell r="D577" t="str">
            <v>u</v>
          </cell>
          <cell r="E577">
            <v>4</v>
          </cell>
          <cell r="F577">
            <v>0.35</v>
          </cell>
          <cell r="G577">
            <v>6520</v>
          </cell>
          <cell r="H577">
            <v>35208</v>
          </cell>
        </row>
        <row r="578">
          <cell r="A578" t="str">
            <v>15-01-136</v>
          </cell>
          <cell r="B578" t="str">
            <v>1E602</v>
          </cell>
          <cell r="C578" t="str">
            <v>diagonal en v de 36"</v>
          </cell>
          <cell r="D578" t="str">
            <v>u</v>
          </cell>
          <cell r="E578">
            <v>2</v>
          </cell>
          <cell r="F578">
            <v>0.35</v>
          </cell>
          <cell r="G578">
            <v>17100</v>
          </cell>
          <cell r="H578">
            <v>46170</v>
          </cell>
        </row>
        <row r="579">
          <cell r="A579" t="str">
            <v>15-01-136</v>
          </cell>
          <cell r="B579" t="str">
            <v>1E538</v>
          </cell>
          <cell r="C579" t="str">
            <v>espaciador de 5/8" x 12"</v>
          </cell>
          <cell r="D579" t="str">
            <v>u</v>
          </cell>
          <cell r="E579">
            <v>6</v>
          </cell>
          <cell r="F579">
            <v>0.35</v>
          </cell>
          <cell r="G579">
            <v>6341</v>
          </cell>
          <cell r="H579">
            <v>51362.100000000006</v>
          </cell>
        </row>
        <row r="580">
          <cell r="A580" t="str">
            <v>15-01-136</v>
          </cell>
          <cell r="B580" t="str">
            <v>1E548</v>
          </cell>
          <cell r="C580" t="str">
            <v>grapa de retencion tipo pistola</v>
          </cell>
          <cell r="D580" t="str">
            <v>u</v>
          </cell>
          <cell r="E580">
            <v>2</v>
          </cell>
          <cell r="F580">
            <v>0.35</v>
          </cell>
          <cell r="G580">
            <v>25000</v>
          </cell>
          <cell r="H580">
            <v>67500</v>
          </cell>
        </row>
        <row r="581">
          <cell r="A581" t="str">
            <v>15-01-136</v>
          </cell>
          <cell r="B581" t="str">
            <v>1E541</v>
          </cell>
          <cell r="C581" t="str">
            <v>eslabones</v>
          </cell>
          <cell r="D581" t="str">
            <v>u</v>
          </cell>
          <cell r="E581">
            <v>8</v>
          </cell>
          <cell r="F581">
            <v>0.35</v>
          </cell>
          <cell r="G581">
            <v>7218</v>
          </cell>
          <cell r="H581">
            <v>77954.400000000009</v>
          </cell>
        </row>
        <row r="582">
          <cell r="A582" t="str">
            <v>15-01-136</v>
          </cell>
          <cell r="B582" t="str">
            <v>1E530</v>
          </cell>
          <cell r="C582" t="str">
            <v>cruceta metalica de 1500 mm</v>
          </cell>
          <cell r="D582" t="str">
            <v>u</v>
          </cell>
          <cell r="E582">
            <v>2</v>
          </cell>
          <cell r="F582">
            <v>0.35</v>
          </cell>
          <cell r="G582">
            <v>62747</v>
          </cell>
          <cell r="H582">
            <v>169416.90000000002</v>
          </cell>
        </row>
        <row r="583">
          <cell r="A583" t="str">
            <v>15-01-136</v>
          </cell>
          <cell r="B583" t="str">
            <v>1E515</v>
          </cell>
          <cell r="C583" t="str">
            <v>aislador polimerico tipo suspension 13.2kv</v>
          </cell>
          <cell r="D583" t="str">
            <v>u</v>
          </cell>
          <cell r="E583">
            <v>6</v>
          </cell>
          <cell r="F583">
            <v>0.35</v>
          </cell>
          <cell r="G583">
            <v>25829</v>
          </cell>
          <cell r="H583">
            <v>209214.90000000002</v>
          </cell>
        </row>
        <row r="584">
          <cell r="A584" t="str">
            <v>15-01-136</v>
          </cell>
          <cell r="B584" t="str">
            <v>1E516</v>
          </cell>
          <cell r="C584" t="str">
            <v>amarre preformado cable cubierto</v>
          </cell>
          <cell r="D584" t="str">
            <v>u</v>
          </cell>
          <cell r="E584">
            <v>6</v>
          </cell>
          <cell r="F584">
            <v>0.35</v>
          </cell>
          <cell r="G584">
            <v>104632</v>
          </cell>
          <cell r="H584">
            <v>847519.20000000007</v>
          </cell>
        </row>
        <row r="585">
          <cell r="A585" t="str">
            <v>15-01-136</v>
          </cell>
          <cell r="B585" t="str">
            <v>2E134</v>
          </cell>
          <cell r="C585" t="str">
            <v>cuadrilla electrica dia</v>
          </cell>
          <cell r="D585" t="str">
            <v>dia</v>
          </cell>
          <cell r="E585">
            <v>0.25669999999999998</v>
          </cell>
          <cell r="F585">
            <v>0.35</v>
          </cell>
          <cell r="G585">
            <v>212586.45</v>
          </cell>
          <cell r="H585">
            <v>73670.771315250007</v>
          </cell>
        </row>
        <row r="586">
          <cell r="A586" t="str">
            <v>15-01-136</v>
          </cell>
          <cell r="B586" t="str">
            <v>61213</v>
          </cell>
          <cell r="C586" t="str">
            <v>transporte a envigado</v>
          </cell>
          <cell r="D586" t="str">
            <v>t</v>
          </cell>
          <cell r="E586">
            <v>2.1588500000000002</v>
          </cell>
          <cell r="F586">
            <v>0.35</v>
          </cell>
          <cell r="G586">
            <v>8166.4</v>
          </cell>
          <cell r="H586">
            <v>23800.544064000002</v>
          </cell>
        </row>
        <row r="587">
          <cell r="A587" t="str">
            <v>15-01-136</v>
          </cell>
          <cell r="B587" t="str">
            <v>46111</v>
          </cell>
          <cell r="C587" t="str">
            <v>herramienta y equipo menor</v>
          </cell>
          <cell r="D587" t="str">
            <v>%</v>
          </cell>
          <cell r="E587">
            <v>73670.771315250007</v>
          </cell>
          <cell r="G587">
            <v>0.05</v>
          </cell>
          <cell r="H587">
            <v>3683.5385657625006</v>
          </cell>
        </row>
        <row r="588">
          <cell r="A588">
            <v>0</v>
          </cell>
          <cell r="C588" t="str">
            <v>DIRECTO:  1624914,0 / U</v>
          </cell>
          <cell r="D588">
            <v>0</v>
          </cell>
          <cell r="G588">
            <v>0</v>
          </cell>
          <cell r="H588">
            <v>0</v>
          </cell>
        </row>
        <row r="589">
          <cell r="A589">
            <v>0</v>
          </cell>
          <cell r="C589">
            <v>0</v>
          </cell>
          <cell r="D589">
            <v>0</v>
          </cell>
          <cell r="G589">
            <v>0</v>
          </cell>
          <cell r="H589">
            <v>0</v>
          </cell>
        </row>
        <row r="590">
          <cell r="A590" t="str">
            <v>15-01-137</v>
          </cell>
          <cell r="B590" t="str">
            <v>15-01-137</v>
          </cell>
          <cell r="C590" t="str">
            <v>SUMINISTRO, MONTAJE Y PUESTA EN OPERACION DE: GRUPO DE NORMA RA2-304/1.</v>
          </cell>
          <cell r="D590" t="str">
            <v>U</v>
          </cell>
          <cell r="E590">
            <v>3</v>
          </cell>
          <cell r="G590">
            <v>0</v>
          </cell>
          <cell r="H590">
            <v>1695146.9690753887</v>
          </cell>
        </row>
        <row r="591">
          <cell r="A591" t="str">
            <v>15-01-137</v>
          </cell>
          <cell r="B591" t="str">
            <v>1E601</v>
          </cell>
          <cell r="C591" t="str">
            <v>tornillo galv. de 5/8" x 2"</v>
          </cell>
          <cell r="D591" t="str">
            <v>u</v>
          </cell>
          <cell r="E591">
            <v>4</v>
          </cell>
          <cell r="F591">
            <v>0.35</v>
          </cell>
          <cell r="G591">
            <v>1300</v>
          </cell>
          <cell r="H591">
            <v>7020.0000000000009</v>
          </cell>
        </row>
        <row r="592">
          <cell r="A592" t="str">
            <v>15-01-137</v>
          </cell>
          <cell r="B592" t="str">
            <v>1E547</v>
          </cell>
          <cell r="C592" t="str">
            <v>guarda cabo</v>
          </cell>
          <cell r="D592" t="str">
            <v>u</v>
          </cell>
          <cell r="E592">
            <v>6</v>
          </cell>
          <cell r="F592">
            <v>0.35</v>
          </cell>
          <cell r="G592">
            <v>1530</v>
          </cell>
          <cell r="H592">
            <v>12393</v>
          </cell>
        </row>
        <row r="593">
          <cell r="A593" t="str">
            <v>15-01-137</v>
          </cell>
          <cell r="B593" t="str">
            <v>1E582</v>
          </cell>
          <cell r="C593" t="str">
            <v>tuerca de ojo de 5/8"</v>
          </cell>
          <cell r="D593" t="str">
            <v>u</v>
          </cell>
          <cell r="E593">
            <v>4</v>
          </cell>
          <cell r="F593">
            <v>0.35</v>
          </cell>
          <cell r="G593">
            <v>6520</v>
          </cell>
          <cell r="H593">
            <v>35208</v>
          </cell>
        </row>
        <row r="594">
          <cell r="A594" t="str">
            <v>15-01-137</v>
          </cell>
          <cell r="B594" t="str">
            <v>1E602</v>
          </cell>
          <cell r="C594" t="str">
            <v>diagonal en v de 36"</v>
          </cell>
          <cell r="D594" t="str">
            <v>u</v>
          </cell>
          <cell r="E594">
            <v>2</v>
          </cell>
          <cell r="F594">
            <v>0.35</v>
          </cell>
          <cell r="G594">
            <v>17100</v>
          </cell>
          <cell r="H594">
            <v>46170</v>
          </cell>
        </row>
        <row r="595">
          <cell r="A595" t="str">
            <v>15-01-137</v>
          </cell>
          <cell r="B595" t="str">
            <v>1E538</v>
          </cell>
          <cell r="C595" t="str">
            <v>espaciador de 5/8" x 12"</v>
          </cell>
          <cell r="D595" t="str">
            <v>u</v>
          </cell>
          <cell r="E595">
            <v>6</v>
          </cell>
          <cell r="F595">
            <v>0.35</v>
          </cell>
          <cell r="G595">
            <v>6341</v>
          </cell>
          <cell r="H595">
            <v>51362.100000000006</v>
          </cell>
        </row>
        <row r="596">
          <cell r="A596" t="str">
            <v>15-01-137</v>
          </cell>
          <cell r="B596" t="str">
            <v>1E548</v>
          </cell>
          <cell r="C596" t="str">
            <v>grapa de retencion tipo pistola</v>
          </cell>
          <cell r="D596" t="str">
            <v>u</v>
          </cell>
          <cell r="E596">
            <v>2</v>
          </cell>
          <cell r="F596">
            <v>0.35</v>
          </cell>
          <cell r="G596">
            <v>25000</v>
          </cell>
          <cell r="H596">
            <v>67500</v>
          </cell>
        </row>
        <row r="597">
          <cell r="A597" t="str">
            <v>15-01-137</v>
          </cell>
          <cell r="B597" t="str">
            <v>1E541</v>
          </cell>
          <cell r="C597" t="str">
            <v>eslabones</v>
          </cell>
          <cell r="D597" t="str">
            <v>u</v>
          </cell>
          <cell r="E597">
            <v>8</v>
          </cell>
          <cell r="F597">
            <v>0.35</v>
          </cell>
          <cell r="G597">
            <v>7218</v>
          </cell>
          <cell r="H597">
            <v>77954.400000000009</v>
          </cell>
        </row>
        <row r="598">
          <cell r="A598" t="str">
            <v>15-01-137</v>
          </cell>
          <cell r="B598" t="str">
            <v>1E530</v>
          </cell>
          <cell r="C598" t="str">
            <v>cruceta metalica de 1500 mm</v>
          </cell>
          <cell r="D598" t="str">
            <v>u</v>
          </cell>
          <cell r="E598">
            <v>2</v>
          </cell>
          <cell r="F598">
            <v>0.35</v>
          </cell>
          <cell r="G598">
            <v>62747</v>
          </cell>
          <cell r="H598">
            <v>169416.90000000002</v>
          </cell>
        </row>
        <row r="599">
          <cell r="A599" t="str">
            <v>15-01-137</v>
          </cell>
          <cell r="B599" t="str">
            <v>1E515</v>
          </cell>
          <cell r="C599" t="str">
            <v>aislador polimerico tipo suspension 13.2kv</v>
          </cell>
          <cell r="D599" t="str">
            <v>u</v>
          </cell>
          <cell r="E599">
            <v>6</v>
          </cell>
          <cell r="F599">
            <v>0.35</v>
          </cell>
          <cell r="G599">
            <v>25829</v>
          </cell>
          <cell r="H599">
            <v>209214.90000000002</v>
          </cell>
        </row>
        <row r="600">
          <cell r="A600" t="str">
            <v>15-01-137</v>
          </cell>
          <cell r="B600" t="str">
            <v>1E516</v>
          </cell>
          <cell r="C600" t="str">
            <v>amarre preformado cable cubierto</v>
          </cell>
          <cell r="D600" t="str">
            <v>u</v>
          </cell>
          <cell r="E600">
            <v>6</v>
          </cell>
          <cell r="F600">
            <v>0.35</v>
          </cell>
          <cell r="G600">
            <v>104632</v>
          </cell>
          <cell r="H600">
            <v>847519.20000000007</v>
          </cell>
        </row>
        <row r="601">
          <cell r="A601" t="str">
            <v>15-01-137</v>
          </cell>
          <cell r="B601" t="str">
            <v>2E134</v>
          </cell>
          <cell r="C601" t="str">
            <v>cuadrilla electrica dia</v>
          </cell>
          <cell r="D601" t="str">
            <v>dia</v>
          </cell>
          <cell r="E601">
            <v>0.48976999999999998</v>
          </cell>
          <cell r="F601">
            <v>0.35</v>
          </cell>
          <cell r="G601">
            <v>212586.45</v>
          </cell>
          <cell r="H601">
            <v>140559.92858227502</v>
          </cell>
        </row>
        <row r="602">
          <cell r="A602" t="str">
            <v>15-01-137</v>
          </cell>
          <cell r="B602" t="str">
            <v>61213</v>
          </cell>
          <cell r="C602" t="str">
            <v>transporte a envigado</v>
          </cell>
          <cell r="D602" t="str">
            <v>t</v>
          </cell>
          <cell r="E602">
            <v>2.1588500000000002</v>
          </cell>
          <cell r="F602">
            <v>0.35</v>
          </cell>
          <cell r="G602">
            <v>8166.4</v>
          </cell>
          <cell r="H602">
            <v>23800.544064000002</v>
          </cell>
        </row>
        <row r="603">
          <cell r="A603" t="str">
            <v>15-01-137</v>
          </cell>
          <cell r="B603" t="str">
            <v>46111</v>
          </cell>
          <cell r="C603" t="str">
            <v>herramienta y equipo menor</v>
          </cell>
          <cell r="D603" t="str">
            <v>%</v>
          </cell>
          <cell r="E603">
            <v>140559.92858227502</v>
          </cell>
          <cell r="G603">
            <v>0.05</v>
          </cell>
          <cell r="H603">
            <v>7027.9964291137512</v>
          </cell>
        </row>
        <row r="604">
          <cell r="A604">
            <v>0</v>
          </cell>
          <cell r="C604" t="str">
            <v>DIRECTO:  1695147,0 / U</v>
          </cell>
          <cell r="D604">
            <v>0</v>
          </cell>
          <cell r="G604">
            <v>0</v>
          </cell>
          <cell r="H604">
            <v>0</v>
          </cell>
        </row>
        <row r="605">
          <cell r="A605">
            <v>0</v>
          </cell>
          <cell r="C605">
            <v>0</v>
          </cell>
          <cell r="D605">
            <v>0</v>
          </cell>
          <cell r="G605">
            <v>0</v>
          </cell>
          <cell r="H605">
            <v>0</v>
          </cell>
        </row>
        <row r="606">
          <cell r="A606" t="str">
            <v>15-01-150</v>
          </cell>
          <cell r="B606" t="str">
            <v>15-01-150</v>
          </cell>
          <cell r="C606" t="str">
            <v>SUMINISTRO, MONTAJE Y PUESTA EN OPERACION DE: GRUPO DE NORMA RA2-017.</v>
          </cell>
          <cell r="D606" t="str">
            <v>U</v>
          </cell>
          <cell r="E606">
            <v>2</v>
          </cell>
          <cell r="G606">
            <v>0</v>
          </cell>
          <cell r="H606">
            <v>2002242.4051037512</v>
          </cell>
        </row>
        <row r="607">
          <cell r="A607" t="str">
            <v>15-01-150</v>
          </cell>
          <cell r="B607" t="str">
            <v>1E579</v>
          </cell>
          <cell r="C607" t="str">
            <v>tornillo de 5/8" x 1-1/2"</v>
          </cell>
          <cell r="D607" t="str">
            <v>u</v>
          </cell>
          <cell r="E607">
            <v>2</v>
          </cell>
          <cell r="F607">
            <v>0.35</v>
          </cell>
          <cell r="G607">
            <v>1314</v>
          </cell>
          <cell r="H607">
            <v>3547.8</v>
          </cell>
        </row>
        <row r="608">
          <cell r="A608" t="str">
            <v>15-01-150</v>
          </cell>
          <cell r="B608" t="str">
            <v>1E549</v>
          </cell>
          <cell r="C608" t="str">
            <v>grapa para varilla copperweld</v>
          </cell>
          <cell r="D608" t="str">
            <v>u</v>
          </cell>
          <cell r="E608">
            <v>1</v>
          </cell>
          <cell r="F608">
            <v>0.35</v>
          </cell>
          <cell r="G608">
            <v>5500</v>
          </cell>
          <cell r="H608">
            <v>7425.0000000000009</v>
          </cell>
        </row>
        <row r="609">
          <cell r="A609" t="str">
            <v>15-01-150</v>
          </cell>
          <cell r="B609" t="str">
            <v>1E529</v>
          </cell>
          <cell r="C609" t="str">
            <v>conector de compresion universal</v>
          </cell>
          <cell r="D609" t="str">
            <v>u</v>
          </cell>
          <cell r="E609">
            <v>5</v>
          </cell>
          <cell r="F609">
            <v>0.35</v>
          </cell>
          <cell r="G609">
            <v>2432</v>
          </cell>
          <cell r="H609">
            <v>16416</v>
          </cell>
        </row>
        <row r="610">
          <cell r="A610" t="str">
            <v>15-01-150</v>
          </cell>
          <cell r="B610" t="str">
            <v>1E578</v>
          </cell>
          <cell r="C610" t="str">
            <v>tornillo galv. de 5/8" x 12"</v>
          </cell>
          <cell r="D610" t="str">
            <v>u</v>
          </cell>
          <cell r="E610">
            <v>2</v>
          </cell>
          <cell r="F610">
            <v>0.35</v>
          </cell>
          <cell r="G610">
            <v>6300</v>
          </cell>
          <cell r="H610">
            <v>17010</v>
          </cell>
        </row>
        <row r="611">
          <cell r="A611" t="str">
            <v>15-01-150</v>
          </cell>
          <cell r="B611" t="str">
            <v>1E546</v>
          </cell>
          <cell r="C611" t="str">
            <v>fusible tipo "t"</v>
          </cell>
          <cell r="D611" t="str">
            <v>u</v>
          </cell>
          <cell r="E611">
            <v>3</v>
          </cell>
          <cell r="F611">
            <v>0.35</v>
          </cell>
          <cell r="G611">
            <v>4300</v>
          </cell>
          <cell r="H611">
            <v>17415</v>
          </cell>
        </row>
        <row r="612">
          <cell r="A612" t="str">
            <v>15-01-150</v>
          </cell>
          <cell r="B612" t="str">
            <v>1E588</v>
          </cell>
          <cell r="C612" t="str">
            <v>varilla de puesta a tierra de 2.4</v>
          </cell>
          <cell r="D612" t="str">
            <v>u</v>
          </cell>
          <cell r="E612">
            <v>1</v>
          </cell>
          <cell r="F612">
            <v>0.35</v>
          </cell>
          <cell r="G612">
            <v>23328</v>
          </cell>
          <cell r="H612">
            <v>31492.800000000003</v>
          </cell>
        </row>
        <row r="613">
          <cell r="A613" t="str">
            <v>15-01-150</v>
          </cell>
          <cell r="B613" t="str">
            <v>1E512</v>
          </cell>
          <cell r="C613" t="str">
            <v>alambre de cobre desnudo no. 4</v>
          </cell>
          <cell r="D613" t="str">
            <v>m</v>
          </cell>
          <cell r="E613">
            <v>28</v>
          </cell>
          <cell r="F613">
            <v>0.35</v>
          </cell>
          <cell r="G613">
            <v>6148</v>
          </cell>
          <cell r="H613">
            <v>232394.40000000002</v>
          </cell>
        </row>
        <row r="614">
          <cell r="A614" t="str">
            <v>15-01-150</v>
          </cell>
          <cell r="B614" t="str">
            <v>1E561</v>
          </cell>
          <cell r="C614" t="str">
            <v>pararrayos 15 kv</v>
          </cell>
          <cell r="D614" t="str">
            <v>u</v>
          </cell>
          <cell r="E614">
            <v>3</v>
          </cell>
          <cell r="F614">
            <v>0.35</v>
          </cell>
          <cell r="G614">
            <v>87614</v>
          </cell>
          <cell r="H614">
            <v>354836.7</v>
          </cell>
        </row>
        <row r="615">
          <cell r="A615" t="str">
            <v>15-01-150</v>
          </cell>
          <cell r="B615" t="str">
            <v>1E562</v>
          </cell>
          <cell r="C615" t="str">
            <v>cortacircuito de 15 kv</v>
          </cell>
          <cell r="D615" t="str">
            <v>u</v>
          </cell>
          <cell r="E615">
            <v>3</v>
          </cell>
          <cell r="F615">
            <v>0.35</v>
          </cell>
          <cell r="G615">
            <v>181169</v>
          </cell>
          <cell r="H615">
            <v>733734.45000000007</v>
          </cell>
        </row>
        <row r="616">
          <cell r="A616" t="str">
            <v>15-01-150</v>
          </cell>
          <cell r="B616" t="str">
            <v>1E535</v>
          </cell>
          <cell r="C616" t="str">
            <v>diagonal en "v" de 48"</v>
          </cell>
          <cell r="D616" t="str">
            <v>u</v>
          </cell>
          <cell r="E616">
            <v>1</v>
          </cell>
          <cell r="F616">
            <v>0.35</v>
          </cell>
          <cell r="G616">
            <v>25452</v>
          </cell>
          <cell r="H616">
            <v>34360.200000000004</v>
          </cell>
        </row>
        <row r="617">
          <cell r="A617" t="str">
            <v>15-01-150</v>
          </cell>
          <cell r="B617" t="str">
            <v>1E513</v>
          </cell>
          <cell r="C617" t="str">
            <v>alambre de cobre no. 6</v>
          </cell>
          <cell r="D617" t="str">
            <v>m</v>
          </cell>
          <cell r="E617">
            <v>8</v>
          </cell>
          <cell r="F617">
            <v>0.35</v>
          </cell>
          <cell r="G617">
            <v>4624</v>
          </cell>
          <cell r="H617">
            <v>49939.200000000004</v>
          </cell>
        </row>
        <row r="618">
          <cell r="A618" t="str">
            <v>15-01-150</v>
          </cell>
          <cell r="B618" t="str">
            <v>1E532</v>
          </cell>
          <cell r="C618" t="str">
            <v>cruceta metalica de 2400 mm</v>
          </cell>
          <cell r="D618" t="str">
            <v>u</v>
          </cell>
          <cell r="E618">
            <v>1</v>
          </cell>
          <cell r="F618">
            <v>0.35</v>
          </cell>
          <cell r="G618">
            <v>96960</v>
          </cell>
          <cell r="H618">
            <v>130896.00000000001</v>
          </cell>
        </row>
        <row r="619">
          <cell r="A619" t="str">
            <v>15-01-150</v>
          </cell>
          <cell r="B619" t="str">
            <v>2E134</v>
          </cell>
          <cell r="C619" t="str">
            <v>cuadrilla electrica dia</v>
          </cell>
          <cell r="D619" t="str">
            <v>dia</v>
          </cell>
          <cell r="E619">
            <v>1.1580699999999999</v>
          </cell>
          <cell r="F619">
            <v>0.35</v>
          </cell>
          <cell r="G619">
            <v>212586.45</v>
          </cell>
          <cell r="H619">
            <v>332356.48670452501</v>
          </cell>
        </row>
        <row r="620">
          <cell r="A620" t="str">
            <v>15-01-150</v>
          </cell>
          <cell r="B620" t="str">
            <v>61213</v>
          </cell>
          <cell r="C620" t="str">
            <v>transporte a envigado</v>
          </cell>
          <cell r="D620" t="str">
            <v>t</v>
          </cell>
          <cell r="E620">
            <v>2.1588500000000002</v>
          </cell>
          <cell r="F620">
            <v>0.35</v>
          </cell>
          <cell r="G620">
            <v>8166.4</v>
          </cell>
          <cell r="H620">
            <v>23800.544064000002</v>
          </cell>
        </row>
        <row r="621">
          <cell r="A621" t="str">
            <v>15-01-150</v>
          </cell>
          <cell r="B621" t="str">
            <v>46111</v>
          </cell>
          <cell r="C621" t="str">
            <v>herramienta y equipo menor</v>
          </cell>
          <cell r="D621" t="str">
            <v>%</v>
          </cell>
          <cell r="E621">
            <v>332356.48670452501</v>
          </cell>
          <cell r="G621">
            <v>0.05</v>
          </cell>
          <cell r="H621">
            <v>16617.824335226251</v>
          </cell>
        </row>
        <row r="622">
          <cell r="A622">
            <v>0</v>
          </cell>
          <cell r="C622" t="str">
            <v>DIRECTO:  2002243,0 / U</v>
          </cell>
          <cell r="D622">
            <v>0</v>
          </cell>
          <cell r="G622">
            <v>0</v>
          </cell>
          <cell r="H622">
            <v>0</v>
          </cell>
        </row>
        <row r="623">
          <cell r="A623">
            <v>0</v>
          </cell>
          <cell r="C623">
            <v>0</v>
          </cell>
          <cell r="D623">
            <v>0</v>
          </cell>
          <cell r="G623">
            <v>0</v>
          </cell>
          <cell r="H623">
            <v>0</v>
          </cell>
        </row>
        <row r="624">
          <cell r="A624" t="str">
            <v>15-01-170</v>
          </cell>
          <cell r="B624" t="str">
            <v>15-01-170</v>
          </cell>
          <cell r="C624" t="str">
            <v>SUMINISTRO, MONTAJE Y PUESTA EN OPERACION DE: LINEA 4X266.8 ACSR CUBIERTO.</v>
          </cell>
          <cell r="D624" t="str">
            <v>M</v>
          </cell>
          <cell r="E624">
            <v>1155</v>
          </cell>
          <cell r="G624">
            <v>0</v>
          </cell>
          <cell r="H624">
            <v>128205.15909649877</v>
          </cell>
        </row>
        <row r="625">
          <cell r="A625" t="str">
            <v>15-01-170</v>
          </cell>
          <cell r="B625" t="str">
            <v>1E543</v>
          </cell>
          <cell r="C625" t="str">
            <v>espaciador para cable tk ecologico</v>
          </cell>
          <cell r="D625" t="str">
            <v>u</v>
          </cell>
          <cell r="E625">
            <v>0.1</v>
          </cell>
          <cell r="F625">
            <v>0.35</v>
          </cell>
          <cell r="G625">
            <v>65000</v>
          </cell>
          <cell r="H625">
            <v>8775</v>
          </cell>
        </row>
        <row r="626">
          <cell r="A626" t="str">
            <v>15-01-170</v>
          </cell>
          <cell r="B626" t="str">
            <v>1E521</v>
          </cell>
          <cell r="C626" t="str">
            <v>cable ecologico 266.8 kcm</v>
          </cell>
          <cell r="D626" t="str">
            <v>m</v>
          </cell>
          <cell r="E626">
            <v>4</v>
          </cell>
          <cell r="F626">
            <v>0.35</v>
          </cell>
          <cell r="G626">
            <v>15699</v>
          </cell>
          <cell r="H626">
            <v>84774.6</v>
          </cell>
        </row>
        <row r="627">
          <cell r="A627" t="str">
            <v>15-01-170</v>
          </cell>
          <cell r="B627" t="str">
            <v>2E134</v>
          </cell>
          <cell r="C627" t="str">
            <v>cuadrilla electrica dia</v>
          </cell>
          <cell r="D627" t="str">
            <v>dia</v>
          </cell>
          <cell r="E627">
            <v>0.10392999999999999</v>
          </cell>
          <cell r="F627">
            <v>0.35</v>
          </cell>
          <cell r="G627">
            <v>212586.45</v>
          </cell>
          <cell r="H627">
            <v>29827.048160475002</v>
          </cell>
        </row>
        <row r="628">
          <cell r="A628" t="str">
            <v>15-01-170</v>
          </cell>
          <cell r="B628" t="str">
            <v>61213</v>
          </cell>
          <cell r="C628" t="str">
            <v>transporte a envigado</v>
          </cell>
          <cell r="D628" t="str">
            <v>t</v>
          </cell>
          <cell r="E628">
            <v>0.30270000000000002</v>
          </cell>
          <cell r="F628">
            <v>0.35</v>
          </cell>
          <cell r="G628">
            <v>8166.4</v>
          </cell>
          <cell r="H628">
            <v>3337.1585280000004</v>
          </cell>
        </row>
        <row r="629">
          <cell r="A629" t="str">
            <v>15-01-170</v>
          </cell>
          <cell r="B629" t="str">
            <v>46111</v>
          </cell>
          <cell r="C629" t="str">
            <v>herramienta y equipo menor</v>
          </cell>
          <cell r="D629" t="str">
            <v>%</v>
          </cell>
          <cell r="E629">
            <v>29827.048160475002</v>
          </cell>
          <cell r="G629">
            <v>0.05</v>
          </cell>
          <cell r="H629">
            <v>1491.3524080237503</v>
          </cell>
        </row>
        <row r="630">
          <cell r="A630">
            <v>0</v>
          </cell>
          <cell r="C630" t="str">
            <v>DIRECTO:  128206,0 / M</v>
          </cell>
          <cell r="D630">
            <v>0</v>
          </cell>
          <cell r="G630">
            <v>0</v>
          </cell>
          <cell r="H630">
            <v>0</v>
          </cell>
        </row>
        <row r="631">
          <cell r="A631">
            <v>0</v>
          </cell>
          <cell r="C631">
            <v>0</v>
          </cell>
          <cell r="D631">
            <v>0</v>
          </cell>
          <cell r="G631">
            <v>0</v>
          </cell>
          <cell r="H631">
            <v>0</v>
          </cell>
        </row>
        <row r="632">
          <cell r="A632" t="str">
            <v>15-01-190</v>
          </cell>
          <cell r="B632" t="str">
            <v>15-01-190</v>
          </cell>
          <cell r="C632" t="str">
            <v>SUMINISTRO, MONTAJE Y PUESTA EN OPERACION DE: CAJAS DE PISO SEGUN NORMA RS3-002 COMPLETAS.</v>
          </cell>
          <cell r="D632" t="str">
            <v>U</v>
          </cell>
          <cell r="E632">
            <v>40</v>
          </cell>
          <cell r="G632">
            <v>0</v>
          </cell>
          <cell r="H632">
            <v>381159.61084921338</v>
          </cell>
        </row>
        <row r="633">
          <cell r="A633" t="str">
            <v>15-01-190</v>
          </cell>
          <cell r="B633" t="str">
            <v>1E564</v>
          </cell>
          <cell r="C633" t="str">
            <v>herraje 60x60</v>
          </cell>
          <cell r="D633" t="str">
            <v>u</v>
          </cell>
          <cell r="E633">
            <v>1</v>
          </cell>
          <cell r="F633">
            <v>0.35</v>
          </cell>
          <cell r="G633">
            <v>91746</v>
          </cell>
          <cell r="H633">
            <v>123857.1</v>
          </cell>
        </row>
        <row r="634">
          <cell r="A634" t="str">
            <v>15-01-190</v>
          </cell>
          <cell r="B634" t="str">
            <v>7213B</v>
          </cell>
          <cell r="C634" t="str">
            <v>aux concreto 3000 psi (21.1 MPa) -obra- 3/8"</v>
          </cell>
          <cell r="D634" t="str">
            <v>m3</v>
          </cell>
          <cell r="E634">
            <v>0.21782000000000001</v>
          </cell>
          <cell r="F634">
            <v>0.35</v>
          </cell>
          <cell r="G634">
            <v>449919.06073488999</v>
          </cell>
          <cell r="H634">
            <v>132301.84924251956</v>
          </cell>
        </row>
        <row r="635">
          <cell r="A635" t="str">
            <v>15-01-190</v>
          </cell>
          <cell r="B635" t="str">
            <v>2E134</v>
          </cell>
          <cell r="C635" t="str">
            <v>cuadrilla electrica dia</v>
          </cell>
          <cell r="D635" t="str">
            <v>dia</v>
          </cell>
          <cell r="E635">
            <v>0.40925</v>
          </cell>
          <cell r="F635">
            <v>0.35</v>
          </cell>
          <cell r="G635">
            <v>212586.45</v>
          </cell>
          <cell r="H635">
            <v>117451.35629437501</v>
          </cell>
        </row>
        <row r="636">
          <cell r="A636" t="str">
            <v>15-01-190</v>
          </cell>
          <cell r="B636" t="str">
            <v>61213</v>
          </cell>
          <cell r="C636" t="str">
            <v>transporte a envigado</v>
          </cell>
          <cell r="D636" t="str">
            <v>t</v>
          </cell>
          <cell r="E636">
            <v>0.15209</v>
          </cell>
          <cell r="F636">
            <v>0.35</v>
          </cell>
          <cell r="G636">
            <v>8166.4</v>
          </cell>
          <cell r="H636">
            <v>1676.7374975999999</v>
          </cell>
        </row>
        <row r="637">
          <cell r="A637" t="str">
            <v>15-01-190</v>
          </cell>
          <cell r="B637" t="str">
            <v>46111</v>
          </cell>
          <cell r="C637" t="str">
            <v>herramienta y equipo menor</v>
          </cell>
          <cell r="D637" t="str">
            <v>%</v>
          </cell>
          <cell r="E637">
            <v>117451.35629437501</v>
          </cell>
          <cell r="G637">
            <v>0.05</v>
          </cell>
          <cell r="H637">
            <v>5872.5678147187509</v>
          </cell>
        </row>
        <row r="638">
          <cell r="A638">
            <v>0</v>
          </cell>
          <cell r="C638" t="str">
            <v>DIRECTO:  381160,0 / U</v>
          </cell>
          <cell r="D638">
            <v>0</v>
          </cell>
          <cell r="G638">
            <v>0</v>
          </cell>
          <cell r="H638">
            <v>0</v>
          </cell>
        </row>
        <row r="639">
          <cell r="A639">
            <v>0</v>
          </cell>
          <cell r="C639">
            <v>0</v>
          </cell>
          <cell r="D639">
            <v>0</v>
          </cell>
          <cell r="G639">
            <v>0</v>
          </cell>
          <cell r="H639">
            <v>0</v>
          </cell>
        </row>
        <row r="640">
          <cell r="A640" t="str">
            <v>15-01-200</v>
          </cell>
          <cell r="B640" t="str">
            <v>15-01-200</v>
          </cell>
          <cell r="C640" t="str">
            <v>SUMINISTRO, MONTAJE Y PUESTA EN OPERACION DE: CAJAS DE PISO SEGUN NORMA RS3-003 COMPLETAS.</v>
          </cell>
          <cell r="D640" t="str">
            <v>U</v>
          </cell>
          <cell r="E640">
            <v>20</v>
          </cell>
          <cell r="G640">
            <v>0</v>
          </cell>
          <cell r="H640">
            <v>310892.76630921918</v>
          </cell>
        </row>
        <row r="641">
          <cell r="A641" t="str">
            <v>15-01-200</v>
          </cell>
          <cell r="B641" t="str">
            <v>1E559</v>
          </cell>
          <cell r="C641" t="str">
            <v>herraje de 50*50</v>
          </cell>
          <cell r="D641" t="str">
            <v>u</v>
          </cell>
          <cell r="E641">
            <v>1</v>
          </cell>
          <cell r="F641">
            <v>0.35</v>
          </cell>
          <cell r="G641">
            <v>58698</v>
          </cell>
          <cell r="H641">
            <v>79242.3</v>
          </cell>
        </row>
        <row r="642">
          <cell r="A642" t="str">
            <v>15-01-200</v>
          </cell>
          <cell r="B642" t="str">
            <v>7213B</v>
          </cell>
          <cell r="C642" t="str">
            <v>aux concreto 3000 psi (21.1 MPa) -obra- 3/8"</v>
          </cell>
          <cell r="D642" t="str">
            <v>m3</v>
          </cell>
          <cell r="E642">
            <v>0.1867</v>
          </cell>
          <cell r="F642">
            <v>0.35</v>
          </cell>
          <cell r="G642">
            <v>449919.06073488999</v>
          </cell>
          <cell r="H642">
            <v>113399.84966292536</v>
          </cell>
        </row>
        <row r="643">
          <cell r="A643" t="str">
            <v>15-01-200</v>
          </cell>
          <cell r="B643" t="str">
            <v>2E134</v>
          </cell>
          <cell r="C643" t="str">
            <v>cuadrilla electrica dia</v>
          </cell>
          <cell r="D643" t="str">
            <v>dia</v>
          </cell>
          <cell r="E643">
            <v>0.38685000000000003</v>
          </cell>
          <cell r="F643">
            <v>0.35</v>
          </cell>
          <cell r="G643">
            <v>212586.45</v>
          </cell>
          <cell r="H643">
            <v>111022.74204637502</v>
          </cell>
        </row>
        <row r="644">
          <cell r="A644" t="str">
            <v>15-01-200</v>
          </cell>
          <cell r="B644" t="str">
            <v>61213</v>
          </cell>
          <cell r="C644" t="str">
            <v>transporte a envigado</v>
          </cell>
          <cell r="D644" t="str">
            <v>t</v>
          </cell>
          <cell r="E644">
            <v>0.15209</v>
          </cell>
          <cell r="F644">
            <v>0.35</v>
          </cell>
          <cell r="G644">
            <v>8166.4</v>
          </cell>
          <cell r="H644">
            <v>1676.7374975999999</v>
          </cell>
        </row>
        <row r="645">
          <cell r="A645" t="str">
            <v>15-01-200</v>
          </cell>
          <cell r="B645" t="str">
            <v>46111</v>
          </cell>
          <cell r="C645" t="str">
            <v>herramienta y equipo menor</v>
          </cell>
          <cell r="D645" t="str">
            <v>%</v>
          </cell>
          <cell r="E645">
            <v>111022.74204637502</v>
          </cell>
          <cell r="G645">
            <v>0.05</v>
          </cell>
          <cell r="H645">
            <v>5551.1371023187512</v>
          </cell>
        </row>
        <row r="646">
          <cell r="A646">
            <v>0</v>
          </cell>
          <cell r="C646" t="str">
            <v>DIRECTO:  310893,0 / U</v>
          </cell>
          <cell r="D646">
            <v>0</v>
          </cell>
          <cell r="G646">
            <v>0</v>
          </cell>
          <cell r="H646">
            <v>0</v>
          </cell>
        </row>
        <row r="647">
          <cell r="A647">
            <v>0</v>
          </cell>
          <cell r="C647">
            <v>0</v>
          </cell>
          <cell r="D647">
            <v>0</v>
          </cell>
          <cell r="G647">
            <v>0</v>
          </cell>
          <cell r="H647">
            <v>0</v>
          </cell>
        </row>
        <row r="648">
          <cell r="A648" t="str">
            <v>15-01-220</v>
          </cell>
          <cell r="B648" t="str">
            <v>15-01-220</v>
          </cell>
          <cell r="C648" t="str">
            <v>SUMINISTRO, MONTAJE Y PUESTA EN OPERACION DE: CANALIZACION EN PVC TIPO DB DE 2Ø 3". INCLUYE, EXCAVACION, BOTADA DE MATERIAL, ATRACADA, LLENOS EN ARENILLA Y TODO LO NECESARIO PARA SU CORRECTA EJECUCION.</v>
          </cell>
          <cell r="D648" t="str">
            <v>M</v>
          </cell>
          <cell r="E648">
            <v>800</v>
          </cell>
          <cell r="G648">
            <v>0</v>
          </cell>
          <cell r="H648">
            <v>52976.54193602626</v>
          </cell>
        </row>
        <row r="649">
          <cell r="A649" t="str">
            <v>15-01-220</v>
          </cell>
          <cell r="B649" t="str">
            <v>1E558</v>
          </cell>
          <cell r="C649" t="str">
            <v>tubo pvc de 3"</v>
          </cell>
          <cell r="D649" t="str">
            <v>m</v>
          </cell>
          <cell r="E649">
            <v>2</v>
          </cell>
          <cell r="F649">
            <v>0.35</v>
          </cell>
          <cell r="G649">
            <v>7216</v>
          </cell>
          <cell r="H649">
            <v>19483.2</v>
          </cell>
        </row>
        <row r="650">
          <cell r="A650" t="str">
            <v>15-01-220</v>
          </cell>
          <cell r="B650" t="str">
            <v>1E581</v>
          </cell>
          <cell r="C650" t="str">
            <v>terminal campana de 3"</v>
          </cell>
          <cell r="D650" t="str">
            <v>u</v>
          </cell>
          <cell r="E650">
            <v>0.11</v>
          </cell>
          <cell r="F650">
            <v>0.35</v>
          </cell>
          <cell r="G650">
            <v>2988</v>
          </cell>
          <cell r="H650">
            <v>443.71800000000002</v>
          </cell>
        </row>
        <row r="651">
          <cell r="A651" t="str">
            <v>15-01-220</v>
          </cell>
          <cell r="B651" t="str">
            <v>1E149</v>
          </cell>
          <cell r="C651" t="str">
            <v>soldadura liquida conduit pvc - 1/8 gl</v>
          </cell>
          <cell r="D651" t="str">
            <v>u</v>
          </cell>
          <cell r="E651">
            <v>1.532E-2</v>
          </cell>
          <cell r="F651">
            <v>0.35</v>
          </cell>
          <cell r="G651">
            <v>38477.199999999997</v>
          </cell>
          <cell r="H651">
            <v>795.78545039999995</v>
          </cell>
        </row>
        <row r="652">
          <cell r="A652" t="str">
            <v>15-01-220</v>
          </cell>
          <cell r="B652" t="str">
            <v>2E134</v>
          </cell>
          <cell r="C652" t="str">
            <v>cuadrilla electrica dia</v>
          </cell>
          <cell r="D652" t="str">
            <v>dia</v>
          </cell>
          <cell r="E652">
            <v>0.10147</v>
          </cell>
          <cell r="F652">
            <v>0.35</v>
          </cell>
          <cell r="G652">
            <v>212586.45</v>
          </cell>
          <cell r="H652">
            <v>29121.048560025007</v>
          </cell>
        </row>
        <row r="653">
          <cell r="A653" t="str">
            <v>15-01-220</v>
          </cell>
          <cell r="B653" t="str">
            <v>61213</v>
          </cell>
          <cell r="C653" t="str">
            <v>transporte a envigado</v>
          </cell>
          <cell r="D653" t="str">
            <v>t</v>
          </cell>
          <cell r="E653">
            <v>0.15209</v>
          </cell>
          <cell r="F653">
            <v>0.35</v>
          </cell>
          <cell r="G653">
            <v>8166.4</v>
          </cell>
          <cell r="H653">
            <v>1676.7374975999999</v>
          </cell>
        </row>
        <row r="654">
          <cell r="A654" t="str">
            <v>15-01-220</v>
          </cell>
          <cell r="B654" t="str">
            <v>46111</v>
          </cell>
          <cell r="C654" t="str">
            <v>herramienta y equipo menor</v>
          </cell>
          <cell r="D654" t="str">
            <v>%</v>
          </cell>
          <cell r="E654">
            <v>29121.048560025007</v>
          </cell>
          <cell r="G654">
            <v>0.05</v>
          </cell>
          <cell r="H654">
            <v>1456.0524280012505</v>
          </cell>
        </row>
        <row r="655">
          <cell r="A655">
            <v>0</v>
          </cell>
          <cell r="C655" t="str">
            <v>DIRECTO:  52977,0 / M</v>
          </cell>
          <cell r="D655">
            <v>0</v>
          </cell>
          <cell r="G655">
            <v>0</v>
          </cell>
          <cell r="H655">
            <v>0</v>
          </cell>
        </row>
        <row r="656">
          <cell r="A656">
            <v>0</v>
          </cell>
          <cell r="C656">
            <v>0</v>
          </cell>
          <cell r="D656">
            <v>0</v>
          </cell>
          <cell r="G656">
            <v>0</v>
          </cell>
          <cell r="H656">
            <v>0</v>
          </cell>
        </row>
        <row r="657">
          <cell r="A657" t="str">
            <v>15-01-225</v>
          </cell>
          <cell r="B657" t="str">
            <v>15-01-225</v>
          </cell>
          <cell r="C657" t="str">
            <v>SUMINISTRO, MONTAJE Y PUESTA EN OPERACION DE: CRUCE DE VIA CON CANALIZACION EN PVC TIPO DB DE 2Ø 3". INCLUYE, EXCAVACION, BOTADA DE MATERIAL, ATRACADA, LLENOS EN ARENILLA Y TODO LO NECESARIO PARA SU CORRECTA EJECUCION.</v>
          </cell>
          <cell r="D657" t="str">
            <v>M</v>
          </cell>
          <cell r="E657">
            <v>225</v>
          </cell>
          <cell r="G657">
            <v>0</v>
          </cell>
          <cell r="H657">
            <v>268821.26281801128</v>
          </cell>
        </row>
        <row r="658">
          <cell r="A658" t="str">
            <v>15-01-225</v>
          </cell>
          <cell r="B658" t="str">
            <v>1E558</v>
          </cell>
          <cell r="C658" t="str">
            <v>tubo pvc de 3"</v>
          </cell>
          <cell r="D658" t="str">
            <v>m</v>
          </cell>
          <cell r="E658">
            <v>2</v>
          </cell>
          <cell r="F658">
            <v>0.35</v>
          </cell>
          <cell r="G658">
            <v>7216</v>
          </cell>
          <cell r="H658">
            <v>19483.2</v>
          </cell>
        </row>
        <row r="659">
          <cell r="A659" t="str">
            <v>15-01-225</v>
          </cell>
          <cell r="B659" t="str">
            <v>1E581</v>
          </cell>
          <cell r="C659" t="str">
            <v>terminal campana de 3"</v>
          </cell>
          <cell r="D659" t="str">
            <v>u</v>
          </cell>
          <cell r="E659">
            <v>0.11</v>
          </cell>
          <cell r="F659">
            <v>0.35</v>
          </cell>
          <cell r="G659">
            <v>2988</v>
          </cell>
          <cell r="H659">
            <v>443.71800000000002</v>
          </cell>
        </row>
        <row r="660">
          <cell r="A660" t="str">
            <v>15-01-225</v>
          </cell>
          <cell r="B660" t="str">
            <v>1E149</v>
          </cell>
          <cell r="C660" t="str">
            <v>soldadura liquida conduit pvc - 1/8 gl</v>
          </cell>
          <cell r="D660" t="str">
            <v>u</v>
          </cell>
          <cell r="E660">
            <v>3.5740000000000001E-2</v>
          </cell>
          <cell r="F660">
            <v>0.35</v>
          </cell>
          <cell r="G660">
            <v>38477.199999999997</v>
          </cell>
          <cell r="H660">
            <v>1856.4864227999999</v>
          </cell>
        </row>
        <row r="661">
          <cell r="A661" t="str">
            <v>15-01-225</v>
          </cell>
          <cell r="B661" t="str">
            <v>2E134</v>
          </cell>
          <cell r="C661" t="str">
            <v>cuadrilla electrica dia</v>
          </cell>
          <cell r="D661" t="str">
            <v>dia</v>
          </cell>
          <cell r="E661">
            <v>0.81423000000000001</v>
          </cell>
          <cell r="F661">
            <v>0.35</v>
          </cell>
          <cell r="G661">
            <v>212586.45</v>
          </cell>
          <cell r="H661">
            <v>233677.25799772504</v>
          </cell>
        </row>
        <row r="662">
          <cell r="A662" t="str">
            <v>15-01-225</v>
          </cell>
          <cell r="B662" t="str">
            <v>61213</v>
          </cell>
          <cell r="C662" t="str">
            <v>transporte a envigado</v>
          </cell>
          <cell r="D662" t="str">
            <v>t</v>
          </cell>
          <cell r="E662">
            <v>0.15209</v>
          </cell>
          <cell r="F662">
            <v>0.35</v>
          </cell>
          <cell r="G662">
            <v>8166.4</v>
          </cell>
          <cell r="H662">
            <v>1676.7374975999999</v>
          </cell>
        </row>
        <row r="663">
          <cell r="A663" t="str">
            <v>15-01-225</v>
          </cell>
          <cell r="B663" t="str">
            <v>46111</v>
          </cell>
          <cell r="C663" t="str">
            <v>herramienta y equipo menor</v>
          </cell>
          <cell r="D663" t="str">
            <v>%</v>
          </cell>
          <cell r="E663">
            <v>233677.25799772504</v>
          </cell>
          <cell r="G663">
            <v>0.05</v>
          </cell>
          <cell r="H663">
            <v>11683.862899886253</v>
          </cell>
        </row>
        <row r="664">
          <cell r="A664">
            <v>0</v>
          </cell>
          <cell r="C664" t="str">
            <v>DIRECTO:  268822,0 / M</v>
          </cell>
          <cell r="D664">
            <v>0</v>
          </cell>
          <cell r="G664">
            <v>0</v>
          </cell>
          <cell r="H664">
            <v>0</v>
          </cell>
        </row>
        <row r="665">
          <cell r="A665">
            <v>0</v>
          </cell>
          <cell r="C665">
            <v>0</v>
          </cell>
          <cell r="D665">
            <v>0</v>
          </cell>
          <cell r="G665">
            <v>0</v>
          </cell>
          <cell r="H665">
            <v>0</v>
          </cell>
        </row>
        <row r="666">
          <cell r="A666" t="str">
            <v>15-01-230</v>
          </cell>
          <cell r="B666" t="str">
            <v>15-01-230</v>
          </cell>
          <cell r="C666" t="str">
            <v>SUMINISTRO, MONTAJE Y PUESTA EN OPERACION DE: LINEA CANALIZADA SECUNDARIA EN CABLES 2 N° 1/0 + 1 N°2 CU-THHN/THWN.</v>
          </cell>
          <cell r="D666" t="str">
            <v>M</v>
          </cell>
          <cell r="E666">
            <v>600</v>
          </cell>
          <cell r="G666">
            <v>0</v>
          </cell>
          <cell r="H666">
            <v>80805.555307710005</v>
          </cell>
        </row>
        <row r="667">
          <cell r="A667" t="str">
            <v>15-01-230</v>
          </cell>
          <cell r="B667" t="str">
            <v>1E149</v>
          </cell>
          <cell r="C667" t="str">
            <v>soldadura liquida conduit pvc - 1/8 gl</v>
          </cell>
          <cell r="D667" t="str">
            <v>u</v>
          </cell>
          <cell r="E667">
            <v>3.0810000000000001E-2</v>
          </cell>
          <cell r="F667">
            <v>0.35</v>
          </cell>
          <cell r="G667">
            <v>38477.199999999997</v>
          </cell>
          <cell r="H667">
            <v>1600.4014182000001</v>
          </cell>
        </row>
        <row r="668">
          <cell r="A668" t="str">
            <v>15-01-230</v>
          </cell>
          <cell r="B668" t="str">
            <v>1E557</v>
          </cell>
          <cell r="C668" t="str">
            <v>tubo pvc de 1-1/2</v>
          </cell>
          <cell r="D668" t="str">
            <v>m</v>
          </cell>
          <cell r="E668">
            <v>1</v>
          </cell>
          <cell r="F668">
            <v>0.35</v>
          </cell>
          <cell r="G668">
            <v>3206</v>
          </cell>
          <cell r="H668">
            <v>4328.1000000000004</v>
          </cell>
        </row>
        <row r="669">
          <cell r="A669" t="str">
            <v>15-01-230</v>
          </cell>
          <cell r="B669" t="str">
            <v>1E552</v>
          </cell>
          <cell r="C669" t="str">
            <v>cable cu thw cal6</v>
          </cell>
          <cell r="D669" t="str">
            <v>m</v>
          </cell>
          <cell r="E669">
            <v>1</v>
          </cell>
          <cell r="F669">
            <v>0.35</v>
          </cell>
          <cell r="G669">
            <v>3987</v>
          </cell>
          <cell r="H669">
            <v>5382.4500000000007</v>
          </cell>
        </row>
        <row r="670">
          <cell r="A670" t="str">
            <v>15-01-230</v>
          </cell>
          <cell r="B670" t="str">
            <v>1E553</v>
          </cell>
          <cell r="C670" t="str">
            <v>cable cu thw cal4</v>
          </cell>
          <cell r="D670" t="str">
            <v>m</v>
          </cell>
          <cell r="E670">
            <v>2</v>
          </cell>
          <cell r="F670">
            <v>0.35</v>
          </cell>
          <cell r="G670">
            <v>6146</v>
          </cell>
          <cell r="H670">
            <v>16594.2</v>
          </cell>
        </row>
        <row r="671">
          <cell r="A671" t="str">
            <v>15-01-230</v>
          </cell>
          <cell r="B671" t="str">
            <v>2E134</v>
          </cell>
          <cell r="C671" t="str">
            <v>cuadrilla electrica dia</v>
          </cell>
          <cell r="D671" t="str">
            <v>dia</v>
          </cell>
          <cell r="E671">
            <v>0.15495999999999999</v>
          </cell>
          <cell r="F671">
            <v>0.35</v>
          </cell>
          <cell r="G671">
            <v>212586.45</v>
          </cell>
          <cell r="H671">
            <v>44472.2349942</v>
          </cell>
        </row>
        <row r="672">
          <cell r="A672" t="str">
            <v>15-01-230</v>
          </cell>
          <cell r="B672" t="str">
            <v>61213</v>
          </cell>
          <cell r="C672" t="str">
            <v>transporte a envigado</v>
          </cell>
          <cell r="D672" t="str">
            <v>t</v>
          </cell>
          <cell r="E672">
            <v>0.56279000000000001</v>
          </cell>
          <cell r="F672">
            <v>0.35</v>
          </cell>
          <cell r="G672">
            <v>8166.4</v>
          </cell>
          <cell r="H672">
            <v>6204.5571456000007</v>
          </cell>
        </row>
        <row r="673">
          <cell r="A673" t="str">
            <v>15-01-230</v>
          </cell>
          <cell r="B673" t="str">
            <v>46111</v>
          </cell>
          <cell r="C673" t="str">
            <v>herramienta y equipo menor</v>
          </cell>
          <cell r="D673" t="str">
            <v>%</v>
          </cell>
          <cell r="E673">
            <v>44472.2349942</v>
          </cell>
          <cell r="G673">
            <v>0.05</v>
          </cell>
          <cell r="H673">
            <v>2223.6117497099999</v>
          </cell>
        </row>
        <row r="674">
          <cell r="A674">
            <v>0</v>
          </cell>
          <cell r="C674" t="str">
            <v>DIRECTO:  80806,0 / M</v>
          </cell>
          <cell r="D674">
            <v>0</v>
          </cell>
          <cell r="G674">
            <v>0</v>
          </cell>
          <cell r="H674">
            <v>0</v>
          </cell>
        </row>
        <row r="675">
          <cell r="A675">
            <v>0</v>
          </cell>
          <cell r="C675">
            <v>0</v>
          </cell>
          <cell r="D675">
            <v>0</v>
          </cell>
          <cell r="G675">
            <v>0</v>
          </cell>
          <cell r="H675">
            <v>0</v>
          </cell>
        </row>
        <row r="676">
          <cell r="A676" t="str">
            <v>15-01-247</v>
          </cell>
          <cell r="B676" t="str">
            <v>15-01-247</v>
          </cell>
          <cell r="C676" t="str">
            <v>SUMINISTRO, MONTAJE Y PUESTA EN OPERACIÓN DE: ACOMETIDA MONOFÁSICA SECUNDARIA EN 2 N° 2/0 + 1 N° 1/0 CU-THHN/THWN EN PVC DE 2" INCLUYE EXCAVACIÓN, BOTADA DE MATERIAL Y TODO LO NECESARIO PARA SU CORRECTA EJECUCIÓN.</v>
          </cell>
          <cell r="D676" t="str">
            <v>M</v>
          </cell>
          <cell r="E676">
            <v>200</v>
          </cell>
          <cell r="G676">
            <v>0</v>
          </cell>
          <cell r="H676">
            <v>140426.35283207253</v>
          </cell>
        </row>
        <row r="677">
          <cell r="A677" t="str">
            <v>15-01-247</v>
          </cell>
          <cell r="B677" t="str">
            <v>1E149</v>
          </cell>
          <cell r="C677" t="str">
            <v>soldadura liquida conduit pvc - 1/8 gl</v>
          </cell>
          <cell r="D677" t="str">
            <v>u</v>
          </cell>
          <cell r="E677">
            <v>3.5740000000000001E-2</v>
          </cell>
          <cell r="F677">
            <v>0.35</v>
          </cell>
          <cell r="G677">
            <v>38477.199999999997</v>
          </cell>
          <cell r="H677">
            <v>1856.4864227999999</v>
          </cell>
        </row>
        <row r="678">
          <cell r="A678" t="str">
            <v>15-01-247</v>
          </cell>
          <cell r="B678" t="str">
            <v>1E615</v>
          </cell>
          <cell r="C678" t="str">
            <v>tubo pvc de 2"</v>
          </cell>
          <cell r="D678" t="str">
            <v>m</v>
          </cell>
          <cell r="E678">
            <v>1</v>
          </cell>
          <cell r="F678">
            <v>0.35</v>
          </cell>
          <cell r="G678">
            <v>2967</v>
          </cell>
          <cell r="H678">
            <v>4005.4500000000003</v>
          </cell>
        </row>
        <row r="679">
          <cell r="A679" t="str">
            <v>15-01-247</v>
          </cell>
          <cell r="B679" t="str">
            <v>1E608</v>
          </cell>
          <cell r="C679" t="str">
            <v>cable cu thw cal 2/0</v>
          </cell>
          <cell r="D679" t="str">
            <v>u</v>
          </cell>
          <cell r="E679">
            <v>2</v>
          </cell>
          <cell r="F679">
            <v>0.35</v>
          </cell>
          <cell r="G679">
            <v>19477</v>
          </cell>
          <cell r="H679">
            <v>52587.9</v>
          </cell>
        </row>
        <row r="680">
          <cell r="A680" t="str">
            <v>15-01-247</v>
          </cell>
          <cell r="B680" t="str">
            <v>1E555</v>
          </cell>
          <cell r="C680" t="str">
            <v>cable cu thw cal1/0</v>
          </cell>
          <cell r="D680" t="str">
            <v>m</v>
          </cell>
          <cell r="E680">
            <v>1</v>
          </cell>
          <cell r="F680">
            <v>0.35</v>
          </cell>
          <cell r="G680">
            <v>15578</v>
          </cell>
          <cell r="H680">
            <v>21030.300000000003</v>
          </cell>
        </row>
        <row r="681">
          <cell r="A681" t="str">
            <v>15-01-247</v>
          </cell>
          <cell r="B681" t="str">
            <v>2E134</v>
          </cell>
          <cell r="C681" t="str">
            <v>cuadrilla electrica dia</v>
          </cell>
          <cell r="D681" t="str">
            <v>dia</v>
          </cell>
          <cell r="E681">
            <v>0.18165999999999999</v>
          </cell>
          <cell r="F681">
            <v>0.35</v>
          </cell>
          <cell r="G681">
            <v>212586.45</v>
          </cell>
          <cell r="H681">
            <v>52134.913584450005</v>
          </cell>
        </row>
        <row r="682">
          <cell r="A682" t="str">
            <v>15-01-247</v>
          </cell>
          <cell r="B682" t="str">
            <v>61213</v>
          </cell>
          <cell r="C682" t="str">
            <v>transporte a envigado</v>
          </cell>
          <cell r="D682" t="str">
            <v>t</v>
          </cell>
          <cell r="E682">
            <v>0.56279000000000001</v>
          </cell>
          <cell r="F682">
            <v>0.35</v>
          </cell>
          <cell r="G682">
            <v>8166.4</v>
          </cell>
          <cell r="H682">
            <v>6204.5571456000007</v>
          </cell>
        </row>
        <row r="683">
          <cell r="A683" t="str">
            <v>15-01-247</v>
          </cell>
          <cell r="B683" t="str">
            <v>46111</v>
          </cell>
          <cell r="C683" t="str">
            <v>herramienta y equipo menor</v>
          </cell>
          <cell r="D683" t="str">
            <v>%</v>
          </cell>
          <cell r="E683">
            <v>52134.913584450005</v>
          </cell>
          <cell r="G683">
            <v>0.05</v>
          </cell>
          <cell r="H683">
            <v>2606.7456792225003</v>
          </cell>
        </row>
        <row r="684">
          <cell r="A684">
            <v>0</v>
          </cell>
          <cell r="C684" t="str">
            <v>DIRECTO:  140427,0 / M</v>
          </cell>
          <cell r="D684">
            <v>0</v>
          </cell>
          <cell r="G684">
            <v>0</v>
          </cell>
          <cell r="H684">
            <v>0</v>
          </cell>
        </row>
        <row r="685">
          <cell r="A685">
            <v>0</v>
          </cell>
          <cell r="C685">
            <v>0</v>
          </cell>
          <cell r="D685">
            <v>0</v>
          </cell>
          <cell r="G685">
            <v>0</v>
          </cell>
          <cell r="H685">
            <v>0</v>
          </cell>
        </row>
        <row r="686">
          <cell r="A686" t="str">
            <v>15-01-250</v>
          </cell>
          <cell r="B686" t="str">
            <v>15-01-250</v>
          </cell>
          <cell r="C686" t="str">
            <v>SUMINISTRO, MONTAJE Y PUESTA EN OPERACION DE: ACOMETIDA MONOFASICA DOMICILIARIA EN 2 N° 8 + 1 N° 10 CU-THHN/THWN EN PVC DE 1" INCLUYE CONECTORIZACION, EXCAVACION, BOTADA DE MATERIAL Y TODO LO NECESARIO PARA SU CORRECTA EJECUCION.</v>
          </cell>
          <cell r="D686" t="str">
            <v>M</v>
          </cell>
          <cell r="E686">
            <v>2100</v>
          </cell>
          <cell r="G686">
            <v>0</v>
          </cell>
          <cell r="H686">
            <v>66086.09031231</v>
          </cell>
        </row>
        <row r="687">
          <cell r="A687" t="str">
            <v>15-01-250</v>
          </cell>
          <cell r="B687" t="str">
            <v>1E149</v>
          </cell>
          <cell r="C687" t="str">
            <v>soldadura liquida conduit pvc - 1/8 gl</v>
          </cell>
          <cell r="D687" t="str">
            <v>u</v>
          </cell>
          <cell r="E687">
            <v>3.5740000000000001E-2</v>
          </cell>
          <cell r="F687">
            <v>0.35</v>
          </cell>
          <cell r="G687">
            <v>38477.199999999997</v>
          </cell>
          <cell r="H687">
            <v>1856.4864227999999</v>
          </cell>
        </row>
        <row r="688">
          <cell r="A688" t="str">
            <v>15-01-250</v>
          </cell>
          <cell r="B688" t="str">
            <v>1E556</v>
          </cell>
          <cell r="C688" t="str">
            <v>tubo pvc de 1"</v>
          </cell>
          <cell r="D688" t="str">
            <v>m</v>
          </cell>
          <cell r="E688">
            <v>1</v>
          </cell>
          <cell r="F688">
            <v>0.35</v>
          </cell>
          <cell r="G688">
            <v>1627</v>
          </cell>
          <cell r="H688">
            <v>2196.4500000000003</v>
          </cell>
        </row>
        <row r="689">
          <cell r="A689" t="str">
            <v>15-01-250</v>
          </cell>
          <cell r="B689" t="str">
            <v>1E551</v>
          </cell>
          <cell r="C689" t="str">
            <v>cable cu thw cal8</v>
          </cell>
          <cell r="D689" t="str">
            <v>m</v>
          </cell>
          <cell r="E689">
            <v>2</v>
          </cell>
          <cell r="F689">
            <v>0.35</v>
          </cell>
          <cell r="G689">
            <v>2588</v>
          </cell>
          <cell r="H689">
            <v>6987.6</v>
          </cell>
        </row>
        <row r="690">
          <cell r="A690" t="str">
            <v>15-01-250</v>
          </cell>
          <cell r="B690" t="str">
            <v>1E522</v>
          </cell>
          <cell r="C690" t="str">
            <v>cable cu thw 10</v>
          </cell>
          <cell r="D690" t="str">
            <v>m</v>
          </cell>
          <cell r="E690">
            <v>1</v>
          </cell>
          <cell r="F690">
            <v>0.35</v>
          </cell>
          <cell r="G690">
            <v>1589</v>
          </cell>
          <cell r="H690">
            <v>2145.15</v>
          </cell>
        </row>
        <row r="691">
          <cell r="A691" t="str">
            <v>15-01-250</v>
          </cell>
          <cell r="B691" t="str">
            <v>2E134</v>
          </cell>
          <cell r="C691" t="str">
            <v>cuadrilla electrica dia</v>
          </cell>
          <cell r="D691" t="str">
            <v>dia</v>
          </cell>
          <cell r="E691">
            <v>0.15495999999999999</v>
          </cell>
          <cell r="F691">
            <v>0.35</v>
          </cell>
          <cell r="G691">
            <v>212586.45</v>
          </cell>
          <cell r="H691">
            <v>44472.2349942</v>
          </cell>
        </row>
        <row r="692">
          <cell r="A692" t="str">
            <v>15-01-250</v>
          </cell>
          <cell r="B692" t="str">
            <v>61213</v>
          </cell>
          <cell r="C692" t="str">
            <v>transporte a envigado</v>
          </cell>
          <cell r="D692" t="str">
            <v>t</v>
          </cell>
          <cell r="E692">
            <v>0.56279000000000001</v>
          </cell>
          <cell r="F692">
            <v>0.35</v>
          </cell>
          <cell r="G692">
            <v>8166.4</v>
          </cell>
          <cell r="H692">
            <v>6204.5571456000007</v>
          </cell>
        </row>
        <row r="693">
          <cell r="A693" t="str">
            <v>15-01-250</v>
          </cell>
          <cell r="B693" t="str">
            <v>46111</v>
          </cell>
          <cell r="C693" t="str">
            <v>herramienta y equipo menor</v>
          </cell>
          <cell r="D693" t="str">
            <v>%</v>
          </cell>
          <cell r="E693">
            <v>44472.2349942</v>
          </cell>
          <cell r="G693">
            <v>0.05</v>
          </cell>
          <cell r="H693">
            <v>2223.6117497099999</v>
          </cell>
        </row>
        <row r="694">
          <cell r="A694">
            <v>0</v>
          </cell>
          <cell r="C694" t="str">
            <v>DIRECTO:  66087,0 / M</v>
          </cell>
          <cell r="D694">
            <v>0</v>
          </cell>
          <cell r="G694">
            <v>0</v>
          </cell>
          <cell r="H694">
            <v>0</v>
          </cell>
        </row>
        <row r="695">
          <cell r="A695">
            <v>0</v>
          </cell>
          <cell r="C695">
            <v>0</v>
          </cell>
          <cell r="D695">
            <v>0</v>
          </cell>
          <cell r="G695">
            <v>0</v>
          </cell>
          <cell r="H695">
            <v>0</v>
          </cell>
        </row>
        <row r="696">
          <cell r="A696" t="str">
            <v>15-01-270</v>
          </cell>
          <cell r="B696" t="str">
            <v>15-01-270</v>
          </cell>
          <cell r="C696" t="str">
            <v>RETIRO Y REINTEGRO A EMPRESAS PUBLICAS DE MEDELLIN DE POSTERIA DE CONCRETO DE 12 M. INCLUYE LAS RESPECTIVAS VESTIDAS Y VIENTOS.</v>
          </cell>
          <cell r="D696" t="str">
            <v>U</v>
          </cell>
          <cell r="E696">
            <v>23</v>
          </cell>
          <cell r="G696">
            <v>0</v>
          </cell>
          <cell r="H696">
            <v>236992.34818487251</v>
          </cell>
        </row>
        <row r="697">
          <cell r="A697" t="str">
            <v>15-01-270</v>
          </cell>
          <cell r="B697" t="str">
            <v>2E134</v>
          </cell>
          <cell r="C697" t="str">
            <v>cuadrilla electrica dia</v>
          </cell>
          <cell r="D697" t="str">
            <v>dia</v>
          </cell>
          <cell r="E697">
            <v>0.51766000000000001</v>
          </cell>
          <cell r="F697">
            <v>0.35</v>
          </cell>
          <cell r="G697">
            <v>212586.45</v>
          </cell>
          <cell r="H697">
            <v>148564.12730445003</v>
          </cell>
        </row>
        <row r="698">
          <cell r="A698" t="str">
            <v>15-01-270</v>
          </cell>
          <cell r="B698" t="str">
            <v>61213</v>
          </cell>
          <cell r="C698" t="str">
            <v>transporte a envigado</v>
          </cell>
          <cell r="D698" t="str">
            <v>t</v>
          </cell>
          <cell r="E698">
            <v>7.3471799999999998</v>
          </cell>
          <cell r="F698">
            <v>0.35</v>
          </cell>
          <cell r="G698">
            <v>8166.4</v>
          </cell>
          <cell r="H698">
            <v>81000.014515200004</v>
          </cell>
        </row>
        <row r="699">
          <cell r="A699" t="str">
            <v>15-01-270</v>
          </cell>
          <cell r="B699" t="str">
            <v>46111</v>
          </cell>
          <cell r="C699" t="str">
            <v>herramienta y equipo menor</v>
          </cell>
          <cell r="D699" t="str">
            <v>%</v>
          </cell>
          <cell r="E699">
            <v>148564.12730445003</v>
          </cell>
          <cell r="G699">
            <v>0.05</v>
          </cell>
          <cell r="H699">
            <v>7428.2063652225015</v>
          </cell>
        </row>
        <row r="700">
          <cell r="A700">
            <v>0</v>
          </cell>
          <cell r="C700" t="str">
            <v>DIRECTO:  236993,0 / U</v>
          </cell>
          <cell r="D700">
            <v>0</v>
          </cell>
          <cell r="G700">
            <v>0</v>
          </cell>
          <cell r="H700">
            <v>0</v>
          </cell>
        </row>
        <row r="701">
          <cell r="A701">
            <v>0</v>
          </cell>
          <cell r="C701">
            <v>0</v>
          </cell>
          <cell r="D701">
            <v>0</v>
          </cell>
          <cell r="G701">
            <v>0</v>
          </cell>
          <cell r="H701">
            <v>0</v>
          </cell>
        </row>
        <row r="702">
          <cell r="A702" t="str">
            <v>15-01-280</v>
          </cell>
          <cell r="B702" t="str">
            <v>15-01-280</v>
          </cell>
          <cell r="C702" t="str">
            <v>RETIRO Y REINTEGRO A EMPRESAS PUBLICAS DE MEDELLIN DE POSTERIA DE CONCRETO DE 8 M. INCLUYE LAS RESPECTIVAS VESTIDAS Y VIENTOS.</v>
          </cell>
          <cell r="D702" t="str">
            <v>U</v>
          </cell>
          <cell r="E702">
            <v>6</v>
          </cell>
          <cell r="G702">
            <v>0</v>
          </cell>
          <cell r="H702">
            <v>169492.06221167251</v>
          </cell>
        </row>
        <row r="703">
          <cell r="A703" t="str">
            <v>15-01-280</v>
          </cell>
          <cell r="B703" t="str">
            <v>2E134</v>
          </cell>
          <cell r="C703" t="str">
            <v>cuadrilla electrica dia</v>
          </cell>
          <cell r="D703" t="str">
            <v>dia</v>
          </cell>
          <cell r="E703">
            <v>0.40566000000000002</v>
          </cell>
          <cell r="F703">
            <v>0.35</v>
          </cell>
          <cell r="G703">
            <v>212586.45</v>
          </cell>
          <cell r="H703">
            <v>116421.05606445002</v>
          </cell>
        </row>
        <row r="704">
          <cell r="A704" t="str">
            <v>15-01-280</v>
          </cell>
          <cell r="B704" t="str">
            <v>61213</v>
          </cell>
          <cell r="C704" t="str">
            <v>transporte a envigado</v>
          </cell>
          <cell r="D704" t="str">
            <v>t</v>
          </cell>
          <cell r="E704">
            <v>4.2858499999999999</v>
          </cell>
          <cell r="F704">
            <v>0.35</v>
          </cell>
          <cell r="G704">
            <v>8166.4</v>
          </cell>
          <cell r="H704">
            <v>47249.953344000001</v>
          </cell>
        </row>
        <row r="705">
          <cell r="A705" t="str">
            <v>15-01-280</v>
          </cell>
          <cell r="B705" t="str">
            <v>46111</v>
          </cell>
          <cell r="C705" t="str">
            <v>herramienta y equipo menor</v>
          </cell>
          <cell r="D705" t="str">
            <v>%</v>
          </cell>
          <cell r="E705">
            <v>116421.05606445002</v>
          </cell>
          <cell r="G705">
            <v>0.05</v>
          </cell>
          <cell r="H705">
            <v>5821.0528032225011</v>
          </cell>
        </row>
        <row r="706">
          <cell r="A706">
            <v>0</v>
          </cell>
          <cell r="C706" t="str">
            <v>DIRECTO:  169493,0 / U</v>
          </cell>
          <cell r="D706">
            <v>0</v>
          </cell>
          <cell r="G706">
            <v>0</v>
          </cell>
          <cell r="H706">
            <v>0</v>
          </cell>
        </row>
        <row r="707">
          <cell r="A707">
            <v>0</v>
          </cell>
          <cell r="C707">
            <v>0</v>
          </cell>
          <cell r="D707">
            <v>0</v>
          </cell>
          <cell r="G707">
            <v>0</v>
          </cell>
          <cell r="H707">
            <v>0</v>
          </cell>
        </row>
        <row r="708">
          <cell r="A708" t="str">
            <v>15-01-285</v>
          </cell>
          <cell r="B708" t="str">
            <v>15-01-285</v>
          </cell>
          <cell r="C708" t="str">
            <v>RETIRO Y REINTEGRO DE RED PRIMARIA EXISTENTE INCLUYE VESTIDAS.</v>
          </cell>
          <cell r="D708" t="str">
            <v>M</v>
          </cell>
          <cell r="E708">
            <v>1050</v>
          </cell>
          <cell r="G708">
            <v>0</v>
          </cell>
          <cell r="H708">
            <v>6074.9910273599999</v>
          </cell>
        </row>
        <row r="709">
          <cell r="A709" t="str">
            <v>15-01-285</v>
          </cell>
          <cell r="B709" t="str">
            <v>2E134</v>
          </cell>
          <cell r="C709" t="str">
            <v>cuadrilla electrica dia</v>
          </cell>
          <cell r="D709" t="str">
            <v>dia</v>
          </cell>
          <cell r="E709">
            <v>8.9599999999999992E-3</v>
          </cell>
          <cell r="F709">
            <v>0.35</v>
          </cell>
          <cell r="G709">
            <v>212586.45</v>
          </cell>
          <cell r="H709">
            <v>2571.4456992</v>
          </cell>
        </row>
        <row r="710">
          <cell r="A710" t="str">
            <v>15-01-285</v>
          </cell>
          <cell r="B710" t="str">
            <v>61213</v>
          </cell>
          <cell r="C710" t="str">
            <v>transporte a envigado</v>
          </cell>
          <cell r="D710" t="str">
            <v>t</v>
          </cell>
          <cell r="E710">
            <v>0.30613000000000001</v>
          </cell>
          <cell r="F710">
            <v>0.35</v>
          </cell>
          <cell r="G710">
            <v>8166.4</v>
          </cell>
          <cell r="H710">
            <v>3374.9730432000001</v>
          </cell>
        </row>
        <row r="711">
          <cell r="A711" t="str">
            <v>15-01-285</v>
          </cell>
          <cell r="B711" t="str">
            <v>46111</v>
          </cell>
          <cell r="C711" t="str">
            <v>herramienta y equipo menor</v>
          </cell>
          <cell r="D711" t="str">
            <v>%</v>
          </cell>
          <cell r="E711">
            <v>2571.4456992</v>
          </cell>
          <cell r="G711">
            <v>0.05</v>
          </cell>
          <cell r="H711">
            <v>128.57228496000002</v>
          </cell>
        </row>
        <row r="712">
          <cell r="A712">
            <v>0</v>
          </cell>
          <cell r="C712" t="str">
            <v>DIRECTO:  6075,0 / M</v>
          </cell>
          <cell r="D712">
            <v>0</v>
          </cell>
          <cell r="G712">
            <v>0</v>
          </cell>
          <cell r="H712">
            <v>0</v>
          </cell>
        </row>
        <row r="713">
          <cell r="A713">
            <v>0</v>
          </cell>
          <cell r="C713">
            <v>0</v>
          </cell>
          <cell r="D713">
            <v>0</v>
          </cell>
          <cell r="G713">
            <v>0</v>
          </cell>
          <cell r="H713">
            <v>0</v>
          </cell>
        </row>
        <row r="714">
          <cell r="A714" t="str">
            <v>15-01-300</v>
          </cell>
          <cell r="B714" t="str">
            <v>15-01-300</v>
          </cell>
          <cell r="C714" t="str">
            <v>RETIRO Y REINTEGRO A EMPRESAS PUBLICAS DE MEDELLIN DE LINEA SECUNDARIA EN CABLE TRENZADO.</v>
          </cell>
          <cell r="D714" t="str">
            <v>M</v>
          </cell>
          <cell r="E714">
            <v>1320</v>
          </cell>
          <cell r="G714">
            <v>0</v>
          </cell>
          <cell r="H714">
            <v>6074.9910273599999</v>
          </cell>
        </row>
        <row r="715">
          <cell r="A715" t="str">
            <v>15-01-300</v>
          </cell>
          <cell r="B715" t="str">
            <v>2E134</v>
          </cell>
          <cell r="C715" t="str">
            <v>cuadrilla electrica dia</v>
          </cell>
          <cell r="D715" t="str">
            <v>dia</v>
          </cell>
          <cell r="E715">
            <v>8.9599999999999992E-3</v>
          </cell>
          <cell r="F715">
            <v>0.35</v>
          </cell>
          <cell r="G715">
            <v>212586.45</v>
          </cell>
          <cell r="H715">
            <v>2571.4456992</v>
          </cell>
        </row>
        <row r="716">
          <cell r="A716" t="str">
            <v>15-01-300</v>
          </cell>
          <cell r="B716" t="str">
            <v>61213</v>
          </cell>
          <cell r="C716" t="str">
            <v>transporte a envigado</v>
          </cell>
          <cell r="D716" t="str">
            <v>t</v>
          </cell>
          <cell r="E716">
            <v>0.30613000000000001</v>
          </cell>
          <cell r="F716">
            <v>0.35</v>
          </cell>
          <cell r="G716">
            <v>8166.4</v>
          </cell>
          <cell r="H716">
            <v>3374.9730432000001</v>
          </cell>
        </row>
        <row r="717">
          <cell r="A717" t="str">
            <v>15-01-300</v>
          </cell>
          <cell r="B717" t="str">
            <v>46111</v>
          </cell>
          <cell r="C717" t="str">
            <v>herramienta y equipo menor</v>
          </cell>
          <cell r="D717" t="str">
            <v>%</v>
          </cell>
          <cell r="E717">
            <v>2571.4456992</v>
          </cell>
          <cell r="G717">
            <v>0.05</v>
          </cell>
          <cell r="H717">
            <v>128.57228496000002</v>
          </cell>
        </row>
        <row r="718">
          <cell r="A718">
            <v>0</v>
          </cell>
          <cell r="C718" t="str">
            <v>DIRECTO:  6075,0 / M</v>
          </cell>
          <cell r="D718">
            <v>0</v>
          </cell>
          <cell r="G718">
            <v>0</v>
          </cell>
          <cell r="H718">
            <v>0</v>
          </cell>
        </row>
        <row r="719">
          <cell r="A719">
            <v>0</v>
          </cell>
          <cell r="C719">
            <v>0</v>
          </cell>
          <cell r="D719">
            <v>0</v>
          </cell>
          <cell r="G719">
            <v>0</v>
          </cell>
          <cell r="H719">
            <v>0</v>
          </cell>
        </row>
        <row r="720">
          <cell r="A720" t="str">
            <v>15-01-310</v>
          </cell>
          <cell r="B720" t="str">
            <v>15-01-310</v>
          </cell>
          <cell r="C720" t="str">
            <v>RETIRO Y REINTEGRO A EMPRESAS PUBLICAS DE MEDELLIN DE LAMPARAS DE ALUMBRADO PUBLICO.</v>
          </cell>
          <cell r="D720" t="str">
            <v>U</v>
          </cell>
          <cell r="E720">
            <v>23</v>
          </cell>
          <cell r="G720">
            <v>0</v>
          </cell>
          <cell r="H720">
            <v>45291.581093272507</v>
          </cell>
        </row>
        <row r="721">
          <cell r="A721" t="str">
            <v>15-01-310</v>
          </cell>
          <cell r="B721" t="str">
            <v>2E134</v>
          </cell>
          <cell r="C721" t="str">
            <v>cuadrilla electrica dia</v>
          </cell>
          <cell r="D721" t="str">
            <v>dia</v>
          </cell>
          <cell r="E721">
            <v>0.13686000000000001</v>
          </cell>
          <cell r="F721">
            <v>0.35</v>
          </cell>
          <cell r="G721">
            <v>212586.45</v>
          </cell>
          <cell r="H721">
            <v>39277.685088450009</v>
          </cell>
        </row>
        <row r="722">
          <cell r="A722" t="str">
            <v>15-01-310</v>
          </cell>
          <cell r="B722" t="str">
            <v>61213</v>
          </cell>
          <cell r="C722" t="str">
            <v>transporte a envigado</v>
          </cell>
          <cell r="D722" t="str">
            <v>t</v>
          </cell>
          <cell r="E722">
            <v>0.36736000000000002</v>
          </cell>
          <cell r="F722">
            <v>0.35</v>
          </cell>
          <cell r="G722">
            <v>8166.4</v>
          </cell>
          <cell r="H722">
            <v>4050.0117504</v>
          </cell>
        </row>
        <row r="723">
          <cell r="A723" t="str">
            <v>15-01-310</v>
          </cell>
          <cell r="B723" t="str">
            <v>46111</v>
          </cell>
          <cell r="C723" t="str">
            <v>herramienta y equipo menor</v>
          </cell>
          <cell r="D723" t="str">
            <v>%</v>
          </cell>
          <cell r="E723">
            <v>39277.685088450009</v>
          </cell>
          <cell r="G723">
            <v>0.05</v>
          </cell>
          <cell r="H723">
            <v>1963.8842544225006</v>
          </cell>
        </row>
        <row r="724">
          <cell r="A724">
            <v>0</v>
          </cell>
          <cell r="C724" t="str">
            <v>DIRECTO:  45292,0 / U</v>
          </cell>
          <cell r="D724">
            <v>0</v>
          </cell>
          <cell r="G724">
            <v>0</v>
          </cell>
          <cell r="H724">
            <v>0</v>
          </cell>
        </row>
        <row r="725">
          <cell r="A725">
            <v>0</v>
          </cell>
          <cell r="C725">
            <v>0</v>
          </cell>
          <cell r="D725">
            <v>0</v>
          </cell>
          <cell r="G725">
            <v>0</v>
          </cell>
          <cell r="H725">
            <v>0</v>
          </cell>
        </row>
        <row r="726">
          <cell r="A726" t="str">
            <v>15-02-010</v>
          </cell>
          <cell r="B726" t="str">
            <v>15-02-010</v>
          </cell>
          <cell r="C726"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D726" t="str">
            <v>U</v>
          </cell>
          <cell r="E726">
            <v>40</v>
          </cell>
          <cell r="G726">
            <v>0</v>
          </cell>
          <cell r="H726">
            <v>1435715.7725</v>
          </cell>
        </row>
        <row r="727">
          <cell r="A727" t="str">
            <v>15-02-010</v>
          </cell>
          <cell r="B727" t="str">
            <v>1E140</v>
          </cell>
          <cell r="C727" t="str">
            <v>luminaria - led - apollo series led street light - 120 v - 4500k - 11250 lm - rl2r1056</v>
          </cell>
          <cell r="D727" t="str">
            <v>u</v>
          </cell>
          <cell r="E727">
            <v>1</v>
          </cell>
          <cell r="G727">
            <v>1100000</v>
          </cell>
          <cell r="H727">
            <v>1100000</v>
          </cell>
        </row>
        <row r="728">
          <cell r="A728" t="str">
            <v>15-02-010</v>
          </cell>
          <cell r="B728" t="str">
            <v>1E120</v>
          </cell>
          <cell r="C728" t="str">
            <v>cable encauchetado 3 n°12 awg</v>
          </cell>
          <cell r="D728" t="str">
            <v>m</v>
          </cell>
          <cell r="E728">
            <v>15</v>
          </cell>
          <cell r="G728">
            <v>7500</v>
          </cell>
          <cell r="H728">
            <v>112500</v>
          </cell>
        </row>
        <row r="729">
          <cell r="A729" t="str">
            <v>15-02-010</v>
          </cell>
          <cell r="B729" t="str">
            <v>2E134</v>
          </cell>
          <cell r="C729" t="str">
            <v>cuadrilla electrica dia</v>
          </cell>
          <cell r="D729" t="str">
            <v>dia</v>
          </cell>
          <cell r="E729">
            <v>1</v>
          </cell>
          <cell r="G729">
            <v>212586.45</v>
          </cell>
          <cell r="H729">
            <v>212586.45</v>
          </cell>
        </row>
        <row r="730">
          <cell r="A730" t="str">
            <v>15-02-010</v>
          </cell>
          <cell r="B730" t="str">
            <v>46111</v>
          </cell>
          <cell r="C730" t="str">
            <v>herramienta y equipo menor</v>
          </cell>
          <cell r="D730" t="str">
            <v>%</v>
          </cell>
          <cell r="E730">
            <v>212586.45</v>
          </cell>
          <cell r="G730">
            <v>0.05</v>
          </cell>
          <cell r="H730">
            <v>10629.322500000002</v>
          </cell>
        </row>
        <row r="731">
          <cell r="A731">
            <v>0</v>
          </cell>
          <cell r="C731" t="str">
            <v>DIRECTO:  1435716,0 / U</v>
          </cell>
          <cell r="D731">
            <v>0</v>
          </cell>
          <cell r="G731">
            <v>0</v>
          </cell>
          <cell r="H731">
            <v>0</v>
          </cell>
        </row>
        <row r="732">
          <cell r="A732">
            <v>0</v>
          </cell>
          <cell r="C732">
            <v>0</v>
          </cell>
          <cell r="D732">
            <v>0</v>
          </cell>
          <cell r="G732">
            <v>0</v>
          </cell>
          <cell r="H732">
            <v>0</v>
          </cell>
        </row>
        <row r="733">
          <cell r="A733" t="str">
            <v>15-02-020</v>
          </cell>
          <cell r="B733" t="str">
            <v>15-02-020</v>
          </cell>
          <cell r="C733" t="str">
            <v>SUMINISTRO E INSTALACION DE BRAZO METALICO PARA ALUMBRADO PUBLICO DE 11/2" - 52°/0°, INCLUYE BRAZO, INSTALACION, TRANSPORTE, ELEMENTOS DE ANCLAJE Y FIJACION, Y TODOS LOS ELEMENTOS NECESARIOS PARA SU CORRECTA INSTALACION.</v>
          </cell>
          <cell r="D733" t="str">
            <v>U</v>
          </cell>
          <cell r="E733">
            <v>40</v>
          </cell>
          <cell r="G733">
            <v>0</v>
          </cell>
          <cell r="H733">
            <v>129643.1545</v>
          </cell>
        </row>
        <row r="734">
          <cell r="A734" t="str">
            <v>15-02-020</v>
          </cell>
          <cell r="B734" t="str">
            <v>1E116</v>
          </cell>
          <cell r="C734" t="str">
            <v>brazo metalico - 11/2" - 52°/0°</v>
          </cell>
          <cell r="D734" t="str">
            <v>u</v>
          </cell>
          <cell r="E734">
            <v>1</v>
          </cell>
          <cell r="G734">
            <v>85000</v>
          </cell>
          <cell r="H734">
            <v>85000</v>
          </cell>
        </row>
        <row r="735">
          <cell r="A735" t="str">
            <v>15-02-020</v>
          </cell>
          <cell r="B735" t="str">
            <v>2E134</v>
          </cell>
          <cell r="C735" t="str">
            <v>cuadrilla electrica dia</v>
          </cell>
          <cell r="D735" t="str">
            <v>dia</v>
          </cell>
          <cell r="E735">
            <v>0.2</v>
          </cell>
          <cell r="G735">
            <v>212586.45</v>
          </cell>
          <cell r="H735">
            <v>42517.290000000008</v>
          </cell>
        </row>
        <row r="736">
          <cell r="A736" t="str">
            <v>15-02-020</v>
          </cell>
          <cell r="B736" t="str">
            <v>46111</v>
          </cell>
          <cell r="C736" t="str">
            <v>herramienta y equipo menor</v>
          </cell>
          <cell r="D736" t="str">
            <v>%</v>
          </cell>
          <cell r="E736">
            <v>42517.290000000008</v>
          </cell>
          <cell r="G736">
            <v>0.05</v>
          </cell>
          <cell r="H736">
            <v>2125.8645000000006</v>
          </cell>
        </row>
        <row r="737">
          <cell r="A737">
            <v>0</v>
          </cell>
          <cell r="C737" t="str">
            <v>DIRECTO:  129644,0 / U</v>
          </cell>
          <cell r="D737">
            <v>0</v>
          </cell>
          <cell r="G737">
            <v>0</v>
          </cell>
          <cell r="H737">
            <v>0</v>
          </cell>
        </row>
        <row r="738">
          <cell r="A738">
            <v>0</v>
          </cell>
          <cell r="C738">
            <v>0</v>
          </cell>
          <cell r="D738">
            <v>0</v>
          </cell>
          <cell r="G738">
            <v>0</v>
          </cell>
          <cell r="H738">
            <v>0</v>
          </cell>
        </row>
        <row r="739">
          <cell r="A739" t="str">
            <v>15-02-030</v>
          </cell>
          <cell r="B739" t="str">
            <v>15-02-030</v>
          </cell>
          <cell r="C739"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D739" t="str">
            <v>U</v>
          </cell>
          <cell r="E739">
            <v>40</v>
          </cell>
          <cell r="G739">
            <v>0</v>
          </cell>
          <cell r="H739">
            <v>1620031.5449999999</v>
          </cell>
        </row>
        <row r="740">
          <cell r="A740" t="str">
            <v>15-02-030</v>
          </cell>
          <cell r="B740" t="str">
            <v>1E146</v>
          </cell>
          <cell r="C740" t="str">
            <v>poste - concreto pretensado - 10mt - 510 kg</v>
          </cell>
          <cell r="D740" t="str">
            <v>u</v>
          </cell>
          <cell r="E740">
            <v>1</v>
          </cell>
          <cell r="F740">
            <v>0.02</v>
          </cell>
          <cell r="G740">
            <v>800000</v>
          </cell>
          <cell r="H740">
            <v>816000</v>
          </cell>
        </row>
        <row r="741">
          <cell r="A741" t="str">
            <v>15-02-030</v>
          </cell>
          <cell r="B741" t="str">
            <v>4V913</v>
          </cell>
          <cell r="C741" t="str">
            <v>grua 20 ton</v>
          </cell>
          <cell r="D741" t="str">
            <v>h</v>
          </cell>
          <cell r="E741">
            <v>2</v>
          </cell>
          <cell r="G741">
            <v>150800</v>
          </cell>
          <cell r="H741">
            <v>301600</v>
          </cell>
        </row>
        <row r="742">
          <cell r="A742" t="str">
            <v>15-02-030</v>
          </cell>
          <cell r="B742" t="str">
            <v>2A411</v>
          </cell>
          <cell r="C742" t="str">
            <v>mo excavacion manual 0-2m</v>
          </cell>
          <cell r="D742" t="str">
            <v>m3</v>
          </cell>
          <cell r="E742">
            <v>1</v>
          </cell>
          <cell r="G742">
            <v>11500</v>
          </cell>
          <cell r="H742">
            <v>11500</v>
          </cell>
        </row>
        <row r="743">
          <cell r="A743" t="str">
            <v>15-02-030</v>
          </cell>
          <cell r="B743" t="str">
            <v>1E144</v>
          </cell>
          <cell r="C743" t="str">
            <v>pintura reflectiva amarillo - tipo intemperie - marcacion poste</v>
          </cell>
          <cell r="D743" t="str">
            <v>m2</v>
          </cell>
          <cell r="E743">
            <v>1</v>
          </cell>
          <cell r="F743">
            <v>7.4999999999999997E-2</v>
          </cell>
          <cell r="G743">
            <v>3500</v>
          </cell>
          <cell r="H743">
            <v>3762.5</v>
          </cell>
        </row>
        <row r="744">
          <cell r="A744" t="str">
            <v>15-02-030</v>
          </cell>
          <cell r="B744" t="str">
            <v>1E145</v>
          </cell>
          <cell r="C744" t="str">
            <v>pintura reflectiva negra - tipo intemperie - marcacion poste</v>
          </cell>
          <cell r="D744" t="str">
            <v>m2</v>
          </cell>
          <cell r="E744">
            <v>1</v>
          </cell>
          <cell r="F744">
            <v>7.4999999999999997E-2</v>
          </cell>
          <cell r="G744">
            <v>3500</v>
          </cell>
          <cell r="H744">
            <v>3762.5</v>
          </cell>
        </row>
        <row r="745">
          <cell r="A745" t="str">
            <v>15-02-030</v>
          </cell>
          <cell r="B745" t="str">
            <v>3A242</v>
          </cell>
          <cell r="C745" t="str">
            <v>subcontrato de cargue y botada de materiales varios</v>
          </cell>
          <cell r="D745" t="str">
            <v>m3</v>
          </cell>
          <cell r="E745">
            <v>1</v>
          </cell>
          <cell r="F745">
            <v>0.3</v>
          </cell>
          <cell r="G745">
            <v>28000</v>
          </cell>
          <cell r="H745">
            <v>36400</v>
          </cell>
        </row>
        <row r="746">
          <cell r="A746" t="str">
            <v>15-02-030</v>
          </cell>
          <cell r="B746" t="str">
            <v>2E134</v>
          </cell>
          <cell r="C746" t="str">
            <v>cuadrilla electrica dia</v>
          </cell>
          <cell r="D746" t="str">
            <v>dia</v>
          </cell>
          <cell r="E746">
            <v>2</v>
          </cell>
          <cell r="G746">
            <v>212586.45</v>
          </cell>
          <cell r="H746">
            <v>425172.9</v>
          </cell>
        </row>
        <row r="747">
          <cell r="A747" t="str">
            <v>15-02-030</v>
          </cell>
          <cell r="B747" t="str">
            <v>46111</v>
          </cell>
          <cell r="C747" t="str">
            <v>herramienta y equipo menor</v>
          </cell>
          <cell r="D747" t="str">
            <v>%</v>
          </cell>
          <cell r="E747">
            <v>436672.9</v>
          </cell>
          <cell r="G747">
            <v>0.05</v>
          </cell>
          <cell r="H747">
            <v>21833.645000000004</v>
          </cell>
        </row>
        <row r="748">
          <cell r="A748">
            <v>0</v>
          </cell>
          <cell r="C748" t="str">
            <v>DIRECTO:  1620032,0 / U</v>
          </cell>
          <cell r="D748">
            <v>0</v>
          </cell>
          <cell r="G748">
            <v>0</v>
          </cell>
          <cell r="H748">
            <v>0</v>
          </cell>
        </row>
        <row r="749">
          <cell r="A749">
            <v>0</v>
          </cell>
          <cell r="C749">
            <v>0</v>
          </cell>
          <cell r="D749">
            <v>0</v>
          </cell>
          <cell r="G749">
            <v>0</v>
          </cell>
          <cell r="H749">
            <v>0</v>
          </cell>
        </row>
        <row r="750">
          <cell r="A750" t="str">
            <v>15-02-050</v>
          </cell>
          <cell r="B750" t="str">
            <v>15-02-050</v>
          </cell>
          <cell r="C750" t="str">
            <v>SUMINISTRO E INSTALACION DE TUBERIA CONDUIT, PVC Ø 2". INCLUYE TODO TIPO DE OBRA CIVIL ASOCIADA Y TODOS LOS ELEMENTOS NECESARIOS PARA SU CORRECTO FUNCIONAMIENTO.</v>
          </cell>
          <cell r="D750" t="str">
            <v>M</v>
          </cell>
          <cell r="E750">
            <v>990.00000000000011</v>
          </cell>
          <cell r="G750">
            <v>0</v>
          </cell>
          <cell r="H750">
            <v>31932.760312499999</v>
          </cell>
        </row>
        <row r="751">
          <cell r="A751" t="str">
            <v>15-02-050</v>
          </cell>
          <cell r="B751" t="str">
            <v>1E152</v>
          </cell>
          <cell r="C751" t="str">
            <v>tubo - pvc - conduit - 2"</v>
          </cell>
          <cell r="D751" t="str">
            <v>m</v>
          </cell>
          <cell r="E751">
            <v>1</v>
          </cell>
          <cell r="G751">
            <v>7000</v>
          </cell>
          <cell r="H751">
            <v>7000</v>
          </cell>
        </row>
        <row r="752">
          <cell r="A752" t="str">
            <v>15-02-050</v>
          </cell>
          <cell r="B752" t="str">
            <v>1E118</v>
          </cell>
          <cell r="C752" t="str">
            <v>brecha - piso blando - 30x50cm</v>
          </cell>
          <cell r="D752" t="str">
            <v>m</v>
          </cell>
          <cell r="E752">
            <v>1</v>
          </cell>
          <cell r="G752">
            <v>15000</v>
          </cell>
          <cell r="H752">
            <v>15000</v>
          </cell>
        </row>
        <row r="753">
          <cell r="A753" t="str">
            <v>15-02-050</v>
          </cell>
          <cell r="B753" t="str">
            <v>1E153</v>
          </cell>
          <cell r="C753" t="str">
            <v>union - pvc - conduit - 2"</v>
          </cell>
          <cell r="D753" t="str">
            <v>u</v>
          </cell>
          <cell r="E753">
            <v>0.33</v>
          </cell>
          <cell r="G753">
            <v>1300</v>
          </cell>
          <cell r="H753">
            <v>429</v>
          </cell>
        </row>
        <row r="754">
          <cell r="A754" t="str">
            <v>15-02-050</v>
          </cell>
          <cell r="B754" t="str">
            <v>1E135</v>
          </cell>
          <cell r="C754" t="str">
            <v>curva 90° - pvc - conduit - 2"</v>
          </cell>
          <cell r="D754" t="str">
            <v>u</v>
          </cell>
          <cell r="E754">
            <v>0.33</v>
          </cell>
          <cell r="G754">
            <v>8400</v>
          </cell>
          <cell r="H754">
            <v>2772</v>
          </cell>
        </row>
        <row r="755">
          <cell r="A755" t="str">
            <v>15-02-050</v>
          </cell>
          <cell r="B755" t="str">
            <v>1E111</v>
          </cell>
          <cell r="C755" t="str">
            <v>adaptador - pvc - conduit - 2"</v>
          </cell>
          <cell r="D755" t="str">
            <v>u</v>
          </cell>
          <cell r="E755">
            <v>0.33</v>
          </cell>
          <cell r="G755">
            <v>2906</v>
          </cell>
          <cell r="H755">
            <v>958.98</v>
          </cell>
        </row>
        <row r="756">
          <cell r="A756" t="str">
            <v>15-02-050</v>
          </cell>
          <cell r="B756" t="str">
            <v>1E149</v>
          </cell>
          <cell r="C756" t="str">
            <v>soldadura liquida conduit pvc - 1/8 gl</v>
          </cell>
          <cell r="D756" t="str">
            <v>u</v>
          </cell>
          <cell r="E756">
            <v>5.0000000000000001E-3</v>
          </cell>
          <cell r="G756">
            <v>38477.199999999997</v>
          </cell>
          <cell r="H756">
            <v>192.386</v>
          </cell>
        </row>
        <row r="757">
          <cell r="A757" t="str">
            <v>15-02-050</v>
          </cell>
          <cell r="B757" t="str">
            <v>2E134</v>
          </cell>
          <cell r="C757" t="str">
            <v>cuadrilla electrica dia</v>
          </cell>
          <cell r="D757" t="str">
            <v>dia</v>
          </cell>
          <cell r="E757">
            <v>2.5000000000000001E-2</v>
          </cell>
          <cell r="G757">
            <v>212586.45</v>
          </cell>
          <cell r="H757">
            <v>5314.661250000001</v>
          </cell>
        </row>
        <row r="758">
          <cell r="A758" t="str">
            <v>15-02-050</v>
          </cell>
          <cell r="B758" t="str">
            <v>46111</v>
          </cell>
          <cell r="C758" t="str">
            <v>herramienta y equipo menor</v>
          </cell>
          <cell r="D758" t="str">
            <v>%</v>
          </cell>
          <cell r="E758">
            <v>5314.661250000001</v>
          </cell>
          <cell r="G758">
            <v>0.05</v>
          </cell>
          <cell r="H758">
            <v>265.73306250000007</v>
          </cell>
        </row>
        <row r="759">
          <cell r="A759">
            <v>0</v>
          </cell>
          <cell r="C759" t="str">
            <v>DIRECTO:  31933,0 / M</v>
          </cell>
          <cell r="D759">
            <v>0</v>
          </cell>
          <cell r="G759">
            <v>0</v>
          </cell>
          <cell r="H759">
            <v>0</v>
          </cell>
        </row>
        <row r="760">
          <cell r="A760">
            <v>0</v>
          </cell>
          <cell r="C760">
            <v>0</v>
          </cell>
          <cell r="D760">
            <v>0</v>
          </cell>
          <cell r="G760">
            <v>0</v>
          </cell>
          <cell r="H760">
            <v>0</v>
          </cell>
        </row>
        <row r="761">
          <cell r="A761" t="str">
            <v>15-02-060</v>
          </cell>
          <cell r="B761" t="str">
            <v>15-02-060</v>
          </cell>
          <cell r="C761" t="str">
            <v>SUMINISTRO E INSTALACION DE TUBERIA CONDUIT, PVC 2 Ø 2". INCLUYE TODO TIPO DE OBRA CIVIL ASOCIADA Y TODOS LOS ELEMENTOS NECESARIOS PARA SU CORRECTO FUNCIONAMIENTO.</v>
          </cell>
          <cell r="D761" t="str">
            <v>M</v>
          </cell>
          <cell r="E761">
            <v>110.00000000000001</v>
          </cell>
          <cell r="G761">
            <v>0</v>
          </cell>
          <cell r="H761">
            <v>53932.760312500002</v>
          </cell>
        </row>
        <row r="762">
          <cell r="A762" t="str">
            <v>15-02-060</v>
          </cell>
          <cell r="B762" t="str">
            <v>1E152</v>
          </cell>
          <cell r="C762" t="str">
            <v>tubo - pvc - conduit - 2"</v>
          </cell>
          <cell r="D762" t="str">
            <v>m</v>
          </cell>
          <cell r="E762">
            <v>2</v>
          </cell>
          <cell r="G762">
            <v>7000</v>
          </cell>
          <cell r="H762">
            <v>14000</v>
          </cell>
        </row>
        <row r="763">
          <cell r="A763" t="str">
            <v>15-02-060</v>
          </cell>
          <cell r="B763" t="str">
            <v>1E119</v>
          </cell>
          <cell r="C763" t="str">
            <v>brecha - piso duro - 30x50cm</v>
          </cell>
          <cell r="D763" t="str">
            <v>m</v>
          </cell>
          <cell r="E763">
            <v>1</v>
          </cell>
          <cell r="G763">
            <v>30000</v>
          </cell>
          <cell r="H763">
            <v>30000</v>
          </cell>
        </row>
        <row r="764">
          <cell r="A764" t="str">
            <v>15-02-060</v>
          </cell>
          <cell r="B764" t="str">
            <v>1E153</v>
          </cell>
          <cell r="C764" t="str">
            <v>union - pvc - conduit - 2"</v>
          </cell>
          <cell r="D764" t="str">
            <v>u</v>
          </cell>
          <cell r="E764">
            <v>0.33</v>
          </cell>
          <cell r="G764">
            <v>1300</v>
          </cell>
          <cell r="H764">
            <v>429</v>
          </cell>
        </row>
        <row r="765">
          <cell r="A765" t="str">
            <v>15-02-060</v>
          </cell>
          <cell r="B765" t="str">
            <v>1E135</v>
          </cell>
          <cell r="C765" t="str">
            <v>curva 90° - pvc - conduit - 2"</v>
          </cell>
          <cell r="D765" t="str">
            <v>u</v>
          </cell>
          <cell r="E765">
            <v>0.33</v>
          </cell>
          <cell r="G765">
            <v>8400</v>
          </cell>
          <cell r="H765">
            <v>2772</v>
          </cell>
        </row>
        <row r="766">
          <cell r="A766" t="str">
            <v>15-02-060</v>
          </cell>
          <cell r="B766" t="str">
            <v>1E111</v>
          </cell>
          <cell r="C766" t="str">
            <v>adaptador - pvc - conduit - 2"</v>
          </cell>
          <cell r="D766" t="str">
            <v>u</v>
          </cell>
          <cell r="E766">
            <v>0.33</v>
          </cell>
          <cell r="G766">
            <v>2906</v>
          </cell>
          <cell r="H766">
            <v>958.98</v>
          </cell>
        </row>
        <row r="767">
          <cell r="A767" t="str">
            <v>15-02-060</v>
          </cell>
          <cell r="B767" t="str">
            <v>1E149</v>
          </cell>
          <cell r="C767" t="str">
            <v>soldadura liquida conduit pvc - 1/8 gl</v>
          </cell>
          <cell r="D767" t="str">
            <v>u</v>
          </cell>
          <cell r="E767">
            <v>5.0000000000000001E-3</v>
          </cell>
          <cell r="G767">
            <v>38477.199999999997</v>
          </cell>
          <cell r="H767">
            <v>192.386</v>
          </cell>
        </row>
        <row r="768">
          <cell r="A768" t="str">
            <v>15-02-060</v>
          </cell>
          <cell r="B768" t="str">
            <v>2E134</v>
          </cell>
          <cell r="C768" t="str">
            <v>cuadrilla electrica dia</v>
          </cell>
          <cell r="D768" t="str">
            <v>dia</v>
          </cell>
          <cell r="E768">
            <v>2.5000000000000001E-2</v>
          </cell>
          <cell r="G768">
            <v>212586.45</v>
          </cell>
          <cell r="H768">
            <v>5314.661250000001</v>
          </cell>
        </row>
        <row r="769">
          <cell r="A769" t="str">
            <v>15-02-060</v>
          </cell>
          <cell r="B769" t="str">
            <v>46111</v>
          </cell>
          <cell r="C769" t="str">
            <v>herramienta y equipo menor</v>
          </cell>
          <cell r="D769" t="str">
            <v>%</v>
          </cell>
          <cell r="E769">
            <v>5314.661250000001</v>
          </cell>
          <cell r="G769">
            <v>0.05</v>
          </cell>
          <cell r="H769">
            <v>265.73306250000007</v>
          </cell>
        </row>
        <row r="770">
          <cell r="A770">
            <v>0</v>
          </cell>
          <cell r="C770" t="str">
            <v>DIRECTO:  53933,0 / M</v>
          </cell>
          <cell r="D770">
            <v>0</v>
          </cell>
          <cell r="G770">
            <v>0</v>
          </cell>
          <cell r="H770">
            <v>0</v>
          </cell>
        </row>
        <row r="771">
          <cell r="A771">
            <v>0</v>
          </cell>
          <cell r="C771">
            <v>0</v>
          </cell>
          <cell r="D771">
            <v>0</v>
          </cell>
          <cell r="G771">
            <v>0</v>
          </cell>
          <cell r="H771">
            <v>0</v>
          </cell>
        </row>
        <row r="772">
          <cell r="A772" t="str">
            <v>15-02-070</v>
          </cell>
          <cell r="B772" t="str">
            <v>15-02-070</v>
          </cell>
          <cell r="C772"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D772" t="str">
            <v>M</v>
          </cell>
          <cell r="E772">
            <v>1100</v>
          </cell>
          <cell r="G772">
            <v>0</v>
          </cell>
          <cell r="H772">
            <v>46793.536499999995</v>
          </cell>
        </row>
        <row r="773">
          <cell r="A773" t="str">
            <v>15-02-070</v>
          </cell>
          <cell r="B773" t="str">
            <v>1E122</v>
          </cell>
          <cell r="C773" t="str">
            <v>cable de cobre aislado thhn n°6 awg</v>
          </cell>
          <cell r="D773" t="str">
            <v>m</v>
          </cell>
          <cell r="E773">
            <v>2</v>
          </cell>
          <cell r="G773">
            <v>6999</v>
          </cell>
          <cell r="H773">
            <v>13998</v>
          </cell>
        </row>
        <row r="774">
          <cell r="A774" t="str">
            <v>15-02-070</v>
          </cell>
          <cell r="B774" t="str">
            <v>1E121</v>
          </cell>
          <cell r="C774" t="str">
            <v>cable de cobre aislado thhn n°4 awg</v>
          </cell>
          <cell r="D774" t="str">
            <v>m</v>
          </cell>
          <cell r="E774">
            <v>2</v>
          </cell>
          <cell r="G774">
            <v>10791</v>
          </cell>
          <cell r="H774">
            <v>21582</v>
          </cell>
        </row>
        <row r="775">
          <cell r="A775" t="str">
            <v>15-02-070</v>
          </cell>
          <cell r="B775" t="str">
            <v>1E114</v>
          </cell>
          <cell r="C775" t="str">
            <v>borna terminal - # 6 awg - de compresion estañada - 3m</v>
          </cell>
          <cell r="D775" t="str">
            <v>u</v>
          </cell>
          <cell r="E775">
            <v>0.25</v>
          </cell>
          <cell r="G775">
            <v>3716</v>
          </cell>
          <cell r="H775">
            <v>929</v>
          </cell>
        </row>
        <row r="776">
          <cell r="A776" t="str">
            <v>15-02-070</v>
          </cell>
          <cell r="B776" t="str">
            <v>1E113</v>
          </cell>
          <cell r="C776" t="str">
            <v>borna terminal - # 4 awg - de compresion estañada - 3m</v>
          </cell>
          <cell r="D776" t="str">
            <v>u</v>
          </cell>
          <cell r="E776">
            <v>0.25</v>
          </cell>
          <cell r="G776">
            <v>3716</v>
          </cell>
          <cell r="H776">
            <v>929</v>
          </cell>
        </row>
        <row r="777">
          <cell r="A777" t="str">
            <v>15-02-070</v>
          </cell>
          <cell r="B777" t="str">
            <v>1E127</v>
          </cell>
          <cell r="C777" t="str">
            <v>cinta aislante autofundente scotch 23</v>
          </cell>
          <cell r="D777" t="str">
            <v>u</v>
          </cell>
          <cell r="E777">
            <v>0.05</v>
          </cell>
          <cell r="G777">
            <v>29000</v>
          </cell>
          <cell r="H777">
            <v>1450</v>
          </cell>
        </row>
        <row r="778">
          <cell r="A778" t="str">
            <v>15-02-070</v>
          </cell>
          <cell r="B778" t="str">
            <v>1E128</v>
          </cell>
          <cell r="C778" t="str">
            <v>cinta aislante scotch 33</v>
          </cell>
          <cell r="D778" t="str">
            <v>u</v>
          </cell>
          <cell r="E778">
            <v>0.05</v>
          </cell>
          <cell r="G778">
            <v>8000</v>
          </cell>
          <cell r="H778">
            <v>400</v>
          </cell>
        </row>
        <row r="779">
          <cell r="A779" t="str">
            <v>15-02-070</v>
          </cell>
          <cell r="B779" t="str">
            <v>2E133</v>
          </cell>
          <cell r="C779" t="str">
            <v>cuadrilla electrica acometida n° 6 a 2 awg</v>
          </cell>
          <cell r="D779" t="str">
            <v>m</v>
          </cell>
          <cell r="E779">
            <v>1</v>
          </cell>
          <cell r="G779">
            <v>7148.13</v>
          </cell>
          <cell r="H779">
            <v>7148.13</v>
          </cell>
        </row>
        <row r="780">
          <cell r="A780" t="str">
            <v>15-02-070</v>
          </cell>
          <cell r="B780" t="str">
            <v>46111</v>
          </cell>
          <cell r="C780" t="str">
            <v>herramienta y equipo menor</v>
          </cell>
          <cell r="D780" t="str">
            <v>%</v>
          </cell>
          <cell r="E780">
            <v>7148.13</v>
          </cell>
          <cell r="G780">
            <v>0.05</v>
          </cell>
          <cell r="H780">
            <v>357.40650000000005</v>
          </cell>
        </row>
        <row r="781">
          <cell r="A781">
            <v>0</v>
          </cell>
          <cell r="C781" t="str">
            <v>DIRECTO:  46794,0 / M</v>
          </cell>
          <cell r="D781">
            <v>0</v>
          </cell>
          <cell r="G781">
            <v>0</v>
          </cell>
          <cell r="H781">
            <v>0</v>
          </cell>
        </row>
        <row r="782">
          <cell r="A782">
            <v>0</v>
          </cell>
          <cell r="C782">
            <v>0</v>
          </cell>
          <cell r="D782">
            <v>0</v>
          </cell>
          <cell r="G782">
            <v>0</v>
          </cell>
          <cell r="H782">
            <v>0</v>
          </cell>
        </row>
        <row r="783">
          <cell r="A783" t="str">
            <v>15-02-080</v>
          </cell>
          <cell r="B783" t="str">
            <v>15-02-080</v>
          </cell>
          <cell r="C783" t="str">
            <v>SUMINISTRO E INSTALACION DE TRANSFORMADOR MONOFASICO - ACEITE - 15 KVA - 480/240V. INCLUYE TODOS LOS ELEMENTOS NECESARIOS PARA SU CORRECTO FUNCIONAMIENTO.</v>
          </cell>
          <cell r="D783" t="str">
            <v>U</v>
          </cell>
          <cell r="E783">
            <v>1</v>
          </cell>
          <cell r="G783">
            <v>0</v>
          </cell>
          <cell r="H783">
            <v>4446431.5449999999</v>
          </cell>
        </row>
        <row r="784">
          <cell r="A784" t="str">
            <v>15-02-080</v>
          </cell>
          <cell r="B784" t="str">
            <v>1E150</v>
          </cell>
          <cell r="C784" t="str">
            <v>transformador - monofasico - aceite - 15 kva - 7.620/ 480 -240 v</v>
          </cell>
          <cell r="D784" t="str">
            <v>u</v>
          </cell>
          <cell r="E784">
            <v>1</v>
          </cell>
          <cell r="G784">
            <v>4000000</v>
          </cell>
          <cell r="H784">
            <v>4000000</v>
          </cell>
        </row>
        <row r="785">
          <cell r="A785" t="str">
            <v>15-02-080</v>
          </cell>
          <cell r="B785" t="str">
            <v>2E134</v>
          </cell>
          <cell r="C785" t="str">
            <v>cuadrilla electrica dia</v>
          </cell>
          <cell r="D785" t="str">
            <v>dia</v>
          </cell>
          <cell r="E785">
            <v>2</v>
          </cell>
          <cell r="G785">
            <v>212586.45</v>
          </cell>
          <cell r="H785">
            <v>425172.9</v>
          </cell>
        </row>
        <row r="786">
          <cell r="A786" t="str">
            <v>15-02-080</v>
          </cell>
          <cell r="B786" t="str">
            <v>46111</v>
          </cell>
          <cell r="C786" t="str">
            <v>herramienta y equipo menor</v>
          </cell>
          <cell r="D786" t="str">
            <v>%</v>
          </cell>
          <cell r="E786">
            <v>425172.9</v>
          </cell>
          <cell r="G786">
            <v>0.05</v>
          </cell>
          <cell r="H786">
            <v>21258.645000000004</v>
          </cell>
        </row>
        <row r="787">
          <cell r="A787">
            <v>0</v>
          </cell>
          <cell r="C787" t="str">
            <v>DIRECTO:  4446432,0 / U</v>
          </cell>
          <cell r="D787">
            <v>0</v>
          </cell>
          <cell r="G787">
            <v>0</v>
          </cell>
          <cell r="H787">
            <v>0</v>
          </cell>
        </row>
        <row r="788">
          <cell r="A788">
            <v>0</v>
          </cell>
          <cell r="C788">
            <v>0</v>
          </cell>
          <cell r="D788">
            <v>0</v>
          </cell>
          <cell r="G788">
            <v>0</v>
          </cell>
          <cell r="H788">
            <v>0</v>
          </cell>
        </row>
        <row r="789">
          <cell r="A789" t="str">
            <v>15-02-090</v>
          </cell>
          <cell r="B789" t="str">
            <v>15-02-090</v>
          </cell>
          <cell r="C789" t="str">
            <v>SUMINISTRO Y CONSTRUCCION DE CAJA DE PASO 50X50, ANTIFRAUDE, INCLUYE EXCAVACION, BOTADA DE ESCOMBROS, MARCACION CON PLAQUETA ACRILICA ESPECIFICANDO LA RED QUE CRUZA, EL NUMERO DEL TRANSFORMADOR Y VOLTAJE DE LA MISMA.</v>
          </cell>
          <cell r="D789" t="str">
            <v>U</v>
          </cell>
          <cell r="E789">
            <v>40</v>
          </cell>
          <cell r="G789">
            <v>0</v>
          </cell>
          <cell r="H789">
            <v>411445.19333793421</v>
          </cell>
        </row>
        <row r="790">
          <cell r="A790" t="str">
            <v>15-02-090</v>
          </cell>
          <cell r="B790" t="str">
            <v>1E139</v>
          </cell>
          <cell r="C790" t="str">
            <v>herraje caja en piso - 50x50cm libres</v>
          </cell>
          <cell r="D790" t="str">
            <v>u</v>
          </cell>
          <cell r="E790">
            <v>1</v>
          </cell>
          <cell r="G790">
            <v>110000</v>
          </cell>
          <cell r="H790">
            <v>110000</v>
          </cell>
        </row>
        <row r="791">
          <cell r="A791" t="str">
            <v>15-02-090</v>
          </cell>
          <cell r="B791" t="str">
            <v>18133</v>
          </cell>
          <cell r="C791" t="str">
            <v>bloque 15x20x40 intermed 2 perforaciones r13 (13.0 kg)</v>
          </cell>
          <cell r="D791" t="str">
            <v>u</v>
          </cell>
          <cell r="E791">
            <v>10</v>
          </cell>
          <cell r="G791">
            <v>2671.48</v>
          </cell>
          <cell r="H791">
            <v>26714.799999999999</v>
          </cell>
        </row>
        <row r="792">
          <cell r="A792" t="str">
            <v>15-02-090</v>
          </cell>
          <cell r="B792" t="str">
            <v>1E141</v>
          </cell>
          <cell r="C792" t="str">
            <v>marcacion tablero ml o puerta - acrilico</v>
          </cell>
          <cell r="D792" t="str">
            <v>u</v>
          </cell>
          <cell r="E792">
            <v>1</v>
          </cell>
          <cell r="G792">
            <v>15000</v>
          </cell>
          <cell r="H792">
            <v>15000</v>
          </cell>
        </row>
        <row r="793">
          <cell r="A793" t="str">
            <v>15-02-090</v>
          </cell>
          <cell r="B793" t="str">
            <v>7213B</v>
          </cell>
          <cell r="C793" t="str">
            <v>aux concreto 3000 psi (21.1 MPa) -obra- 3/8"</v>
          </cell>
          <cell r="D793" t="str">
            <v>m3</v>
          </cell>
          <cell r="E793">
            <v>1.4999999999999999E-2</v>
          </cell>
          <cell r="G793">
            <v>449919.06073488999</v>
          </cell>
          <cell r="H793">
            <v>6748.7859110233494</v>
          </cell>
        </row>
        <row r="794">
          <cell r="A794" t="str">
            <v>15-02-090</v>
          </cell>
          <cell r="B794" t="str">
            <v>72139</v>
          </cell>
          <cell r="C794" t="str">
            <v>aux concreto 2500 psi (17.5 MPa) -obra- 3/4"</v>
          </cell>
          <cell r="D794" t="str">
            <v>m3</v>
          </cell>
          <cell r="E794">
            <v>3.4000000000000002E-2</v>
          </cell>
          <cell r="G794">
            <v>368333.38020325993</v>
          </cell>
          <cell r="H794">
            <v>12523.334926910838</v>
          </cell>
        </row>
        <row r="795">
          <cell r="A795" t="str">
            <v>15-02-090</v>
          </cell>
          <cell r="B795" t="str">
            <v>11239</v>
          </cell>
          <cell r="C795" t="str">
            <v>triturado 1/2"</v>
          </cell>
          <cell r="D795" t="str">
            <v>m3</v>
          </cell>
          <cell r="E795">
            <v>0.15</v>
          </cell>
          <cell r="G795">
            <v>34800</v>
          </cell>
          <cell r="H795">
            <v>5220</v>
          </cell>
        </row>
        <row r="796">
          <cell r="A796" t="str">
            <v>15-02-090</v>
          </cell>
          <cell r="B796" t="str">
            <v>2A411</v>
          </cell>
          <cell r="C796" t="str">
            <v>mo excavacion manual 0-2m</v>
          </cell>
          <cell r="D796" t="str">
            <v>m3</v>
          </cell>
          <cell r="E796">
            <v>0.3</v>
          </cell>
          <cell r="G796">
            <v>11500</v>
          </cell>
          <cell r="H796">
            <v>3450</v>
          </cell>
        </row>
        <row r="797">
          <cell r="A797" t="str">
            <v>15-02-090</v>
          </cell>
          <cell r="B797" t="str">
            <v>3A242</v>
          </cell>
          <cell r="C797" t="str">
            <v>subcontrato de cargue y botada de materiales varios</v>
          </cell>
          <cell r="D797" t="str">
            <v>m3</v>
          </cell>
          <cell r="E797">
            <v>0.3</v>
          </cell>
          <cell r="G797">
            <v>28000</v>
          </cell>
          <cell r="H797">
            <v>8400</v>
          </cell>
        </row>
        <row r="798">
          <cell r="A798" t="str">
            <v>15-02-090</v>
          </cell>
          <cell r="B798" t="str">
            <v>2E134</v>
          </cell>
          <cell r="C798" t="str">
            <v>cuadrilla electrica dia</v>
          </cell>
          <cell r="D798" t="str">
            <v>dia</v>
          </cell>
          <cell r="E798">
            <v>1</v>
          </cell>
          <cell r="G798">
            <v>212586.45</v>
          </cell>
          <cell r="H798">
            <v>212586.45</v>
          </cell>
        </row>
        <row r="799">
          <cell r="A799" t="str">
            <v>15-02-090</v>
          </cell>
          <cell r="B799" t="str">
            <v>46111</v>
          </cell>
          <cell r="C799" t="str">
            <v>herramienta y equipo menor</v>
          </cell>
          <cell r="D799" t="str">
            <v>%</v>
          </cell>
          <cell r="E799">
            <v>216036.45</v>
          </cell>
          <cell r="G799">
            <v>0.05</v>
          </cell>
          <cell r="H799">
            <v>10801.822500000002</v>
          </cell>
        </row>
        <row r="800">
          <cell r="A800">
            <v>0</v>
          </cell>
          <cell r="C800" t="str">
            <v>DIRECTO:  411446,0 / U</v>
          </cell>
          <cell r="D800">
            <v>0</v>
          </cell>
          <cell r="G800">
            <v>0</v>
          </cell>
          <cell r="H800">
            <v>0</v>
          </cell>
        </row>
        <row r="801">
          <cell r="A801">
            <v>0</v>
          </cell>
          <cell r="C801">
            <v>0</v>
          </cell>
          <cell r="D801">
            <v>0</v>
          </cell>
          <cell r="G801">
            <v>0</v>
          </cell>
          <cell r="H801">
            <v>0</v>
          </cell>
        </row>
        <row r="802">
          <cell r="A802" t="str">
            <v>15-02-100</v>
          </cell>
          <cell r="B802" t="str">
            <v>15-02-100</v>
          </cell>
          <cell r="C802"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D802" t="str">
            <v>U</v>
          </cell>
          <cell r="E802">
            <v>13</v>
          </cell>
          <cell r="G802">
            <v>0</v>
          </cell>
          <cell r="H802">
            <v>221607.88625000001</v>
          </cell>
        </row>
        <row r="803">
          <cell r="A803" t="str">
            <v>15-02-100</v>
          </cell>
          <cell r="B803" t="str">
            <v>1E148</v>
          </cell>
          <cell r="C803" t="str">
            <v>soldadura exotermica - 150 gr</v>
          </cell>
          <cell r="D803" t="str">
            <v>u</v>
          </cell>
          <cell r="E803">
            <v>1</v>
          </cell>
          <cell r="G803">
            <v>25000</v>
          </cell>
          <cell r="H803">
            <v>25000</v>
          </cell>
        </row>
        <row r="804">
          <cell r="A804" t="str">
            <v>15-02-100</v>
          </cell>
          <cell r="B804" t="str">
            <v>1E132</v>
          </cell>
          <cell r="C804" t="str">
            <v>varilla cooperweld - cobre macizo - 5/8" - 2.40mt</v>
          </cell>
          <cell r="D804" t="str">
            <v>u</v>
          </cell>
          <cell r="E804">
            <v>1</v>
          </cell>
          <cell r="G804">
            <v>85000</v>
          </cell>
          <cell r="H804">
            <v>85000</v>
          </cell>
        </row>
        <row r="805">
          <cell r="A805" t="str">
            <v>15-02-100</v>
          </cell>
          <cell r="B805" t="str">
            <v>2E134</v>
          </cell>
          <cell r="C805" t="str">
            <v>cuadrilla electrica dia</v>
          </cell>
          <cell r="D805" t="str">
            <v>dia</v>
          </cell>
          <cell r="E805">
            <v>0.5</v>
          </cell>
          <cell r="G805">
            <v>212586.45</v>
          </cell>
          <cell r="H805">
            <v>106293.22500000001</v>
          </cell>
        </row>
        <row r="806">
          <cell r="A806" t="str">
            <v>15-02-100</v>
          </cell>
          <cell r="B806" t="str">
            <v>46111</v>
          </cell>
          <cell r="C806" t="str">
            <v>herramienta y equipo menor</v>
          </cell>
          <cell r="D806" t="str">
            <v>%</v>
          </cell>
          <cell r="E806">
            <v>106293.22500000001</v>
          </cell>
          <cell r="G806">
            <v>0.05</v>
          </cell>
          <cell r="H806">
            <v>5314.661250000001</v>
          </cell>
        </row>
        <row r="807">
          <cell r="A807">
            <v>0</v>
          </cell>
          <cell r="C807" t="str">
            <v>DIRECTO:  221608,0 / U</v>
          </cell>
          <cell r="D807">
            <v>0</v>
          </cell>
          <cell r="G807">
            <v>0</v>
          </cell>
          <cell r="H807">
            <v>0</v>
          </cell>
        </row>
        <row r="808">
          <cell r="A808">
            <v>0</v>
          </cell>
          <cell r="C808">
            <v>0</v>
          </cell>
          <cell r="D808">
            <v>0</v>
          </cell>
          <cell r="G808">
            <v>0</v>
          </cell>
          <cell r="H808">
            <v>0</v>
          </cell>
        </row>
        <row r="809">
          <cell r="A809" t="str">
            <v>15-02-110</v>
          </cell>
          <cell r="B809" t="str">
            <v>15-02-110</v>
          </cell>
          <cell r="C809" t="str">
            <v>DESMONTE DE INSTALACIONES ELECTRICAS EXISTENTES</v>
          </cell>
          <cell r="D809" t="str">
            <v>U</v>
          </cell>
          <cell r="E809">
            <v>55</v>
          </cell>
          <cell r="G809">
            <v>0</v>
          </cell>
          <cell r="H809">
            <v>223215.77250000002</v>
          </cell>
        </row>
        <row r="810">
          <cell r="A810" t="str">
            <v>15-02-110</v>
          </cell>
          <cell r="B810" t="str">
            <v>2E134</v>
          </cell>
          <cell r="C810" t="str">
            <v>cuadrilla electrica dia</v>
          </cell>
          <cell r="D810" t="str">
            <v>dia</v>
          </cell>
          <cell r="E810">
            <v>1</v>
          </cell>
          <cell r="G810">
            <v>212586.45</v>
          </cell>
          <cell r="H810">
            <v>212586.45</v>
          </cell>
        </row>
        <row r="811">
          <cell r="A811" t="str">
            <v>15-02-110</v>
          </cell>
          <cell r="B811" t="str">
            <v>46111</v>
          </cell>
          <cell r="C811" t="str">
            <v>herramienta y equipo menor</v>
          </cell>
          <cell r="D811" t="str">
            <v>%</v>
          </cell>
          <cell r="E811">
            <v>212586.45</v>
          </cell>
          <cell r="G811">
            <v>0.05</v>
          </cell>
          <cell r="H811">
            <v>10629.322500000002</v>
          </cell>
        </row>
        <row r="812">
          <cell r="A812">
            <v>0</v>
          </cell>
          <cell r="C812" t="str">
            <v>DIRECTO:  223216,0 / U</v>
          </cell>
          <cell r="D812">
            <v>0</v>
          </cell>
          <cell r="G812">
            <v>0</v>
          </cell>
          <cell r="H812">
            <v>0</v>
          </cell>
        </row>
        <row r="813">
          <cell r="A813">
            <v>0</v>
          </cell>
          <cell r="C813">
            <v>0</v>
          </cell>
          <cell r="D813">
            <v>0</v>
          </cell>
          <cell r="G813">
            <v>0</v>
          </cell>
          <cell r="H813">
            <v>0</v>
          </cell>
        </row>
        <row r="814">
          <cell r="A814" t="str">
            <v>15-02-120</v>
          </cell>
          <cell r="B814" t="str">
            <v>15-02-120</v>
          </cell>
          <cell r="C814" t="str">
            <v>CERTIFICACION RETIE</v>
          </cell>
          <cell r="D814" t="str">
            <v>U</v>
          </cell>
          <cell r="E814">
            <v>1</v>
          </cell>
          <cell r="G814">
            <v>0</v>
          </cell>
          <cell r="H814">
            <v>3000000</v>
          </cell>
        </row>
        <row r="815">
          <cell r="A815" t="str">
            <v>15-02-120</v>
          </cell>
          <cell r="B815" t="str">
            <v>1E125</v>
          </cell>
          <cell r="C815" t="str">
            <v>certificacion retie - cidet</v>
          </cell>
          <cell r="D815" t="str">
            <v>u</v>
          </cell>
          <cell r="E815">
            <v>1.2</v>
          </cell>
          <cell r="G815">
            <v>2500000</v>
          </cell>
          <cell r="H815">
            <v>3000000</v>
          </cell>
        </row>
        <row r="816">
          <cell r="A816">
            <v>0</v>
          </cell>
          <cell r="C816" t="str">
            <v>DIRECTO:  3000000,0 / U</v>
          </cell>
          <cell r="D816">
            <v>0</v>
          </cell>
          <cell r="G816">
            <v>0</v>
          </cell>
          <cell r="H816">
            <v>0</v>
          </cell>
        </row>
        <row r="817">
          <cell r="A817">
            <v>0</v>
          </cell>
          <cell r="C817">
            <v>0</v>
          </cell>
          <cell r="D817">
            <v>0</v>
          </cell>
          <cell r="G817">
            <v>0</v>
          </cell>
          <cell r="H817">
            <v>0</v>
          </cell>
        </row>
        <row r="818">
          <cell r="A818" t="str">
            <v>15-02-130</v>
          </cell>
          <cell r="B818" t="str">
            <v>15-02-130</v>
          </cell>
          <cell r="C818" t="str">
            <v>CERTIFICACION RETILAP</v>
          </cell>
          <cell r="D818" t="str">
            <v>U</v>
          </cell>
          <cell r="E818">
            <v>1</v>
          </cell>
          <cell r="G818">
            <v>0</v>
          </cell>
          <cell r="H818">
            <v>4500000</v>
          </cell>
        </row>
        <row r="819">
          <cell r="A819" t="str">
            <v>15-02-130</v>
          </cell>
          <cell r="B819" t="str">
            <v>1E126</v>
          </cell>
          <cell r="C819" t="str">
            <v>certificacion retilap - cidet</v>
          </cell>
          <cell r="D819" t="str">
            <v>u</v>
          </cell>
          <cell r="E819">
            <v>1.8</v>
          </cell>
          <cell r="G819">
            <v>2500000</v>
          </cell>
          <cell r="H819">
            <v>4500000</v>
          </cell>
        </row>
        <row r="820">
          <cell r="A820">
            <v>0</v>
          </cell>
          <cell r="C820" t="str">
            <v>DIRECTO:  4500000,0 / U</v>
          </cell>
          <cell r="D820">
            <v>0</v>
          </cell>
          <cell r="G820">
            <v>0</v>
          </cell>
          <cell r="H820">
            <v>0</v>
          </cell>
        </row>
        <row r="821">
          <cell r="A821">
            <v>0</v>
          </cell>
          <cell r="C821">
            <v>0</v>
          </cell>
          <cell r="D821">
            <v>0</v>
          </cell>
          <cell r="G821">
            <v>0</v>
          </cell>
          <cell r="H821">
            <v>0</v>
          </cell>
        </row>
        <row r="822">
          <cell r="A822" t="str">
            <v>15-02-140</v>
          </cell>
          <cell r="B822" t="str">
            <v>15-02-140</v>
          </cell>
          <cell r="C822" t="str">
            <v>LEGALIZACION ANTE EL O.R</v>
          </cell>
          <cell r="D822" t="str">
            <v>U</v>
          </cell>
          <cell r="E822">
            <v>1</v>
          </cell>
          <cell r="G822">
            <v>0</v>
          </cell>
          <cell r="H822">
            <v>1500000</v>
          </cell>
        </row>
        <row r="823">
          <cell r="A823" t="str">
            <v>15-02-140</v>
          </cell>
          <cell r="B823" t="str">
            <v>1E124</v>
          </cell>
          <cell r="C823" t="str">
            <v>legalizacion ante epm</v>
          </cell>
          <cell r="D823" t="str">
            <v>u</v>
          </cell>
          <cell r="E823">
            <v>1.5</v>
          </cell>
          <cell r="G823">
            <v>1000000</v>
          </cell>
          <cell r="H823">
            <v>1500000</v>
          </cell>
        </row>
        <row r="824">
          <cell r="A824">
            <v>0</v>
          </cell>
          <cell r="C824" t="str">
            <v>DIRECTO:  1500000,0 / U</v>
          </cell>
          <cell r="D824">
            <v>0</v>
          </cell>
          <cell r="G824">
            <v>0</v>
          </cell>
          <cell r="H824">
            <v>0</v>
          </cell>
        </row>
        <row r="825">
          <cell r="A825">
            <v>0</v>
          </cell>
          <cell r="C825">
            <v>0</v>
          </cell>
          <cell r="D825">
            <v>0</v>
          </cell>
          <cell r="G825">
            <v>0</v>
          </cell>
          <cell r="H825">
            <v>0</v>
          </cell>
        </row>
        <row r="826">
          <cell r="A826" t="str">
            <v>15-02-150</v>
          </cell>
          <cell r="B826" t="str">
            <v>15-02-150</v>
          </cell>
          <cell r="C826"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D826" t="str">
            <v>U</v>
          </cell>
          <cell r="E826">
            <v>1</v>
          </cell>
          <cell r="G826">
            <v>0</v>
          </cell>
          <cell r="H826">
            <v>2401031.5449999999</v>
          </cell>
        </row>
        <row r="827">
          <cell r="A827" t="str">
            <v>15-02-150</v>
          </cell>
          <cell r="B827" t="str">
            <v>1E143</v>
          </cell>
          <cell r="C827" t="str">
            <v>tablero ml - 2 fases - 8 circuitos - espacio para totalizador - espacio para equipo de medida - espacio para dps - con puerta</v>
          </cell>
          <cell r="D827" t="str">
            <v>u</v>
          </cell>
          <cell r="E827">
            <v>1</v>
          </cell>
          <cell r="G827">
            <v>1500000</v>
          </cell>
          <cell r="H827">
            <v>1500000</v>
          </cell>
        </row>
        <row r="828">
          <cell r="A828" t="str">
            <v>15-02-150</v>
          </cell>
          <cell r="B828" t="str">
            <v>1E117</v>
          </cell>
          <cell r="C828" t="str">
            <v>breaker - totalizador - tripolar - 50a - schneider - ezc100b</v>
          </cell>
          <cell r="D828" t="str">
            <v>u</v>
          </cell>
          <cell r="E828">
            <v>2</v>
          </cell>
          <cell r="G828">
            <v>215300</v>
          </cell>
          <cell r="H828">
            <v>430600</v>
          </cell>
        </row>
        <row r="829">
          <cell r="A829" t="str">
            <v>15-02-150</v>
          </cell>
          <cell r="B829" t="str">
            <v>1E137</v>
          </cell>
          <cell r="C829" t="str">
            <v>fijación - tipo rl 38 - chazo</v>
          </cell>
          <cell r="D829" t="str">
            <v>u</v>
          </cell>
          <cell r="E829">
            <v>4</v>
          </cell>
          <cell r="G829">
            <v>1500</v>
          </cell>
          <cell r="H829">
            <v>6000</v>
          </cell>
        </row>
        <row r="830">
          <cell r="A830" t="str">
            <v>15-02-150</v>
          </cell>
          <cell r="B830" t="str">
            <v>1E142</v>
          </cell>
          <cell r="C830" t="str">
            <v>marcacion tablero - contact - cinta dymo plastica</v>
          </cell>
          <cell r="D830" t="str">
            <v>u</v>
          </cell>
          <cell r="E830">
            <v>1</v>
          </cell>
          <cell r="G830">
            <v>3000</v>
          </cell>
          <cell r="H830">
            <v>3000</v>
          </cell>
        </row>
        <row r="831">
          <cell r="A831" t="str">
            <v>15-02-150</v>
          </cell>
          <cell r="B831" t="str">
            <v>1E141</v>
          </cell>
          <cell r="C831" t="str">
            <v>marcacion tablero ml o puerta - acrilico</v>
          </cell>
          <cell r="D831" t="str">
            <v>u</v>
          </cell>
          <cell r="E831">
            <v>1</v>
          </cell>
          <cell r="G831">
            <v>15000</v>
          </cell>
          <cell r="H831">
            <v>15000</v>
          </cell>
        </row>
        <row r="832">
          <cell r="A832" t="str">
            <v>15-02-150</v>
          </cell>
          <cell r="B832" t="str">
            <v>2E134</v>
          </cell>
          <cell r="C832" t="str">
            <v>cuadrilla electrica dia</v>
          </cell>
          <cell r="D832" t="str">
            <v>dia</v>
          </cell>
          <cell r="E832">
            <v>2</v>
          </cell>
          <cell r="G832">
            <v>212586.45</v>
          </cell>
          <cell r="H832">
            <v>425172.9</v>
          </cell>
        </row>
        <row r="833">
          <cell r="A833" t="str">
            <v>15-02-150</v>
          </cell>
          <cell r="B833" t="str">
            <v>46111</v>
          </cell>
          <cell r="C833" t="str">
            <v>herramienta y equipo menor</v>
          </cell>
          <cell r="D833" t="str">
            <v>%</v>
          </cell>
          <cell r="E833">
            <v>425172.9</v>
          </cell>
          <cell r="G833">
            <v>0.05</v>
          </cell>
          <cell r="H833">
            <v>21258.645000000004</v>
          </cell>
        </row>
        <row r="834">
          <cell r="A834">
            <v>0</v>
          </cell>
          <cell r="C834" t="str">
            <v>DIRECTO:  2401032,0 / U</v>
          </cell>
          <cell r="D834">
            <v>0</v>
          </cell>
          <cell r="G834">
            <v>0</v>
          </cell>
          <cell r="H834">
            <v>0</v>
          </cell>
        </row>
        <row r="835">
          <cell r="A835">
            <v>0</v>
          </cell>
          <cell r="C835">
            <v>0</v>
          </cell>
          <cell r="D835">
            <v>0</v>
          </cell>
          <cell r="G835">
            <v>0</v>
          </cell>
          <cell r="H835">
            <v>0</v>
          </cell>
        </row>
        <row r="836">
          <cell r="A836" t="str">
            <v>15-02-160</v>
          </cell>
          <cell r="B836" t="str">
            <v>15-02-160</v>
          </cell>
          <cell r="C836" t="str">
            <v>SUMINISTRO E INSTALACION DE CONTADOR DE ENERGIA ACTIVA, MONOFASICO, BIFILAR, 240/120 V, 10/60A, CICLOMETRICO (DE INDUCCION). INCLUYE, CONTADOR, CAJA Y TODOS LOS ELEMENTOS NECESARIOS PARA SU CORRECTO FUNCIONAMIENTO.</v>
          </cell>
          <cell r="D836" t="str">
            <v>U</v>
          </cell>
          <cell r="E836">
            <v>1</v>
          </cell>
          <cell r="G836">
            <v>0</v>
          </cell>
          <cell r="H836">
            <v>351607.88624999998</v>
          </cell>
        </row>
        <row r="837">
          <cell r="A837" t="str">
            <v>15-02-160</v>
          </cell>
          <cell r="B837" t="str">
            <v>1E131</v>
          </cell>
          <cell r="C837" t="str">
            <v>t1 - contador de energía activa - monofásico trifilar - 240/120 v - 10(60) a - 15(60) a - 15(100) a - calibrado</v>
          </cell>
          <cell r="D837" t="str">
            <v>u</v>
          </cell>
          <cell r="E837">
            <v>1</v>
          </cell>
          <cell r="G837">
            <v>200000</v>
          </cell>
          <cell r="H837">
            <v>200000</v>
          </cell>
        </row>
        <row r="838">
          <cell r="A838" t="str">
            <v>15-02-160</v>
          </cell>
          <cell r="B838" t="str">
            <v>1E123</v>
          </cell>
          <cell r="C838" t="str">
            <v>caja - contador - sencilla - metálica o policarbonato - intemperie - porta tacos</v>
          </cell>
          <cell r="D838" t="str">
            <v>u</v>
          </cell>
          <cell r="E838">
            <v>1</v>
          </cell>
          <cell r="G838">
            <v>40000</v>
          </cell>
          <cell r="H838">
            <v>40000</v>
          </cell>
        </row>
        <row r="839">
          <cell r="A839" t="str">
            <v>15-02-160</v>
          </cell>
          <cell r="B839" t="str">
            <v>2E134</v>
          </cell>
          <cell r="C839" t="str">
            <v>cuadrilla electrica dia</v>
          </cell>
          <cell r="D839" t="str">
            <v>dia</v>
          </cell>
          <cell r="E839">
            <v>0.5</v>
          </cell>
          <cell r="G839">
            <v>212586.45</v>
          </cell>
          <cell r="H839">
            <v>106293.22500000001</v>
          </cell>
        </row>
        <row r="840">
          <cell r="A840" t="str">
            <v>15-02-160</v>
          </cell>
          <cell r="B840" t="str">
            <v>46111</v>
          </cell>
          <cell r="C840" t="str">
            <v>herramienta y equipo menor</v>
          </cell>
          <cell r="D840" t="str">
            <v>%</v>
          </cell>
          <cell r="E840">
            <v>106293.22500000001</v>
          </cell>
          <cell r="G840">
            <v>0.05</v>
          </cell>
          <cell r="H840">
            <v>5314.661250000001</v>
          </cell>
        </row>
        <row r="841">
          <cell r="A841">
            <v>0</v>
          </cell>
          <cell r="C841" t="str">
            <v>DIRECTO:  351608,0 / U</v>
          </cell>
          <cell r="D841">
            <v>0</v>
          </cell>
          <cell r="G841">
            <v>0</v>
          </cell>
          <cell r="H841">
            <v>0</v>
          </cell>
        </row>
        <row r="842">
          <cell r="A842">
            <v>0</v>
          </cell>
          <cell r="C842">
            <v>0</v>
          </cell>
          <cell r="D842">
            <v>0</v>
          </cell>
          <cell r="G842">
            <v>0</v>
          </cell>
          <cell r="H842">
            <v>0</v>
          </cell>
        </row>
        <row r="843">
          <cell r="A843" t="str">
            <v>15-02-250</v>
          </cell>
          <cell r="B843" t="str">
            <v>15-02-250</v>
          </cell>
          <cell r="C843"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D843" t="str">
            <v>M</v>
          </cell>
          <cell r="E843">
            <v>12</v>
          </cell>
          <cell r="G843">
            <v>0</v>
          </cell>
          <cell r="H843">
            <v>39794.536499999995</v>
          </cell>
        </row>
        <row r="844">
          <cell r="A844" t="str">
            <v>15-02-250</v>
          </cell>
          <cell r="B844" t="str">
            <v>1E122</v>
          </cell>
          <cell r="C844" t="str">
            <v>cable de cobre aislado thhn n°6 awg</v>
          </cell>
          <cell r="D844" t="str">
            <v>m</v>
          </cell>
          <cell r="E844">
            <v>1</v>
          </cell>
          <cell r="G844">
            <v>6999</v>
          </cell>
          <cell r="H844">
            <v>6999</v>
          </cell>
        </row>
        <row r="845">
          <cell r="A845" t="str">
            <v>15-02-250</v>
          </cell>
          <cell r="B845" t="str">
            <v>1E121</v>
          </cell>
          <cell r="C845" t="str">
            <v>cable de cobre aislado thhn n°4 awg</v>
          </cell>
          <cell r="D845" t="str">
            <v>m</v>
          </cell>
          <cell r="E845">
            <v>2</v>
          </cell>
          <cell r="G845">
            <v>10791</v>
          </cell>
          <cell r="H845">
            <v>21582</v>
          </cell>
        </row>
        <row r="846">
          <cell r="A846" t="str">
            <v>15-02-250</v>
          </cell>
          <cell r="B846" t="str">
            <v>1E114</v>
          </cell>
          <cell r="C846" t="str">
            <v>borna terminal - # 6 awg - de compresion estañada - 3m</v>
          </cell>
          <cell r="D846" t="str">
            <v>u</v>
          </cell>
          <cell r="E846">
            <v>0.25</v>
          </cell>
          <cell r="G846">
            <v>3716</v>
          </cell>
          <cell r="H846">
            <v>929</v>
          </cell>
        </row>
        <row r="847">
          <cell r="A847" t="str">
            <v>15-02-250</v>
          </cell>
          <cell r="B847" t="str">
            <v>1E113</v>
          </cell>
          <cell r="C847" t="str">
            <v>borna terminal - # 4 awg - de compresion estañada - 3m</v>
          </cell>
          <cell r="D847" t="str">
            <v>u</v>
          </cell>
          <cell r="E847">
            <v>0.25</v>
          </cell>
          <cell r="G847">
            <v>3716</v>
          </cell>
          <cell r="H847">
            <v>929</v>
          </cell>
        </row>
        <row r="848">
          <cell r="A848" t="str">
            <v>15-02-250</v>
          </cell>
          <cell r="B848" t="str">
            <v>1E127</v>
          </cell>
          <cell r="C848" t="str">
            <v>cinta aislante autofundente scotch 23</v>
          </cell>
          <cell r="D848" t="str">
            <v>u</v>
          </cell>
          <cell r="E848">
            <v>0.05</v>
          </cell>
          <cell r="G848">
            <v>29000</v>
          </cell>
          <cell r="H848">
            <v>1450</v>
          </cell>
        </row>
        <row r="849">
          <cell r="A849" t="str">
            <v>15-02-250</v>
          </cell>
          <cell r="B849" t="str">
            <v>1E128</v>
          </cell>
          <cell r="C849" t="str">
            <v>cinta aislante scotch 33</v>
          </cell>
          <cell r="D849" t="str">
            <v>u</v>
          </cell>
          <cell r="E849">
            <v>0.05</v>
          </cell>
          <cell r="G849">
            <v>8000</v>
          </cell>
          <cell r="H849">
            <v>400</v>
          </cell>
        </row>
        <row r="850">
          <cell r="A850" t="str">
            <v>15-02-250</v>
          </cell>
          <cell r="B850" t="str">
            <v>2E133</v>
          </cell>
          <cell r="C850" t="str">
            <v>cuadrilla electrica acometida n° 6 a 2 awg</v>
          </cell>
          <cell r="D850" t="str">
            <v>m</v>
          </cell>
          <cell r="E850">
            <v>1</v>
          </cell>
          <cell r="G850">
            <v>7148.13</v>
          </cell>
          <cell r="H850">
            <v>7148.13</v>
          </cell>
        </row>
        <row r="851">
          <cell r="A851" t="str">
            <v>15-02-250</v>
          </cell>
          <cell r="B851" t="str">
            <v>46111</v>
          </cell>
          <cell r="C851" t="str">
            <v>herramienta y equipo menor</v>
          </cell>
          <cell r="D851" t="str">
            <v>%</v>
          </cell>
          <cell r="E851">
            <v>7148.13</v>
          </cell>
          <cell r="G851">
            <v>0.05</v>
          </cell>
          <cell r="H851">
            <v>357.40650000000005</v>
          </cell>
        </row>
        <row r="852">
          <cell r="A852">
            <v>0</v>
          </cell>
          <cell r="C852" t="str">
            <v>DIRECTO:  39795,0 / M</v>
          </cell>
          <cell r="D852">
            <v>0</v>
          </cell>
          <cell r="G852">
            <v>0</v>
          </cell>
          <cell r="H852">
            <v>0</v>
          </cell>
        </row>
        <row r="853">
          <cell r="A853">
            <v>0</v>
          </cell>
          <cell r="C853">
            <v>0</v>
          </cell>
          <cell r="D853">
            <v>0</v>
          </cell>
          <cell r="G853">
            <v>0</v>
          </cell>
          <cell r="H853">
            <v>0</v>
          </cell>
        </row>
        <row r="854">
          <cell r="A854" t="str">
            <v>15-03-010</v>
          </cell>
          <cell r="B854" t="str">
            <v>15-03-010</v>
          </cell>
          <cell r="C854" t="str">
            <v>SUMINISTRO, MONTAJE Y PUESTA EN OPERACION DE: CAJA PARA DOS TAPAS 60X80 COMPLETA (TEL NIN-115).</v>
          </cell>
          <cell r="D854" t="str">
            <v>U</v>
          </cell>
          <cell r="E854">
            <v>40</v>
          </cell>
          <cell r="G854">
            <v>0</v>
          </cell>
          <cell r="H854">
            <v>880135.65900467511</v>
          </cell>
        </row>
        <row r="855">
          <cell r="A855" t="str">
            <v>15-03-010</v>
          </cell>
          <cell r="B855" t="str">
            <v>72132</v>
          </cell>
          <cell r="C855" t="str">
            <v>aux concreto 3000 psi (21.1 MPa) -obra- 3/4"</v>
          </cell>
          <cell r="D855" t="str">
            <v>m3</v>
          </cell>
          <cell r="E855">
            <v>0.46988999999999997</v>
          </cell>
          <cell r="F855">
            <v>0.35</v>
          </cell>
          <cell r="G855">
            <v>397371.06598046987</v>
          </cell>
          <cell r="H855">
            <v>252072.93176131003</v>
          </cell>
        </row>
        <row r="856">
          <cell r="A856" t="str">
            <v>15-03-010</v>
          </cell>
          <cell r="B856" t="str">
            <v>1E596</v>
          </cell>
          <cell r="C856" t="str">
            <v>herraje para 2 tapas 60x80 - tipo 1</v>
          </cell>
          <cell r="D856" t="str">
            <v>u</v>
          </cell>
          <cell r="E856">
            <v>1</v>
          </cell>
          <cell r="F856">
            <v>0.35</v>
          </cell>
          <cell r="G856">
            <v>252640</v>
          </cell>
          <cell r="H856">
            <v>341064</v>
          </cell>
        </row>
        <row r="857">
          <cell r="A857" t="str">
            <v>15-03-010</v>
          </cell>
          <cell r="B857" t="str">
            <v>61213</v>
          </cell>
          <cell r="C857" t="str">
            <v>transporte a envigado</v>
          </cell>
          <cell r="D857" t="str">
            <v>t</v>
          </cell>
          <cell r="E857">
            <v>0.15209</v>
          </cell>
          <cell r="F857">
            <v>0.35</v>
          </cell>
          <cell r="G857">
            <v>8166.4</v>
          </cell>
          <cell r="H857">
            <v>1676.7374975999999</v>
          </cell>
        </row>
        <row r="858">
          <cell r="A858" t="str">
            <v>15-03-010</v>
          </cell>
          <cell r="B858" t="str">
            <v>2E134</v>
          </cell>
          <cell r="C858" t="str">
            <v>cuadrilla electrica dia</v>
          </cell>
          <cell r="D858" t="str">
            <v>dia</v>
          </cell>
          <cell r="E858">
            <v>0.94684000000000001</v>
          </cell>
          <cell r="F858">
            <v>0.35</v>
          </cell>
          <cell r="G858">
            <v>212586.45</v>
          </cell>
          <cell r="H858">
            <v>271735.22832930007</v>
          </cell>
        </row>
        <row r="859">
          <cell r="A859" t="str">
            <v>15-03-010</v>
          </cell>
          <cell r="B859" t="str">
            <v>46111</v>
          </cell>
          <cell r="C859" t="str">
            <v>herramienta y equipo menor</v>
          </cell>
          <cell r="D859" t="str">
            <v>%</v>
          </cell>
          <cell r="E859">
            <v>271735.22832930007</v>
          </cell>
          <cell r="G859">
            <v>0.05</v>
          </cell>
          <cell r="H859">
            <v>13586.761416465004</v>
          </cell>
        </row>
        <row r="860">
          <cell r="A860">
            <v>0</v>
          </cell>
          <cell r="C860" t="str">
            <v>DIRECTO:  880136,0 / U</v>
          </cell>
          <cell r="D860">
            <v>0</v>
          </cell>
          <cell r="G860">
            <v>0</v>
          </cell>
          <cell r="H860">
            <v>0</v>
          </cell>
        </row>
        <row r="861">
          <cell r="A861">
            <v>0</v>
          </cell>
          <cell r="C861">
            <v>0</v>
          </cell>
          <cell r="D861">
            <v>0</v>
          </cell>
          <cell r="G861">
            <v>0</v>
          </cell>
          <cell r="H861">
            <v>0</v>
          </cell>
        </row>
        <row r="862">
          <cell r="A862" t="str">
            <v>15-03-012</v>
          </cell>
          <cell r="B862" t="str">
            <v>15-03-012</v>
          </cell>
          <cell r="C862" t="str">
            <v>SUMINISTRO, MONTAJE Y PUESTA EN OPERACION DE: CAMARA PARA SALIDA DE CENTRAL COMPLETA (TEL NIN-110).</v>
          </cell>
          <cell r="D862" t="str">
            <v>U</v>
          </cell>
          <cell r="E862">
            <v>1</v>
          </cell>
          <cell r="G862">
            <v>0</v>
          </cell>
          <cell r="H862">
            <v>7990722.0612652628</v>
          </cell>
        </row>
        <row r="863">
          <cell r="A863" t="str">
            <v>15-03-012</v>
          </cell>
          <cell r="B863" t="str">
            <v>72134</v>
          </cell>
          <cell r="C863" t="str">
            <v>aux concreto 3500 psi (24.1 MPa) -obra- 3/4"</v>
          </cell>
          <cell r="D863" t="str">
            <v>m3</v>
          </cell>
          <cell r="E863">
            <v>4.7182000000000004</v>
          </cell>
          <cell r="F863">
            <v>0.35</v>
          </cell>
          <cell r="G863">
            <v>436323.67346056399</v>
          </cell>
          <cell r="H863">
            <v>2779194.1807642048</v>
          </cell>
        </row>
        <row r="864">
          <cell r="A864" t="str">
            <v>15-03-012</v>
          </cell>
          <cell r="B864" t="str">
            <v>18143</v>
          </cell>
          <cell r="C864" t="str">
            <v>bloque 20x20x40 intermed 2 perforaciones r13 (16.1 kg)</v>
          </cell>
          <cell r="D864" t="str">
            <v>u</v>
          </cell>
          <cell r="E864">
            <v>261</v>
          </cell>
          <cell r="F864">
            <v>0.35</v>
          </cell>
          <cell r="G864">
            <v>3477.7959999999998</v>
          </cell>
          <cell r="H864">
            <v>1225401.4206000001</v>
          </cell>
        </row>
        <row r="865">
          <cell r="A865" t="str">
            <v>15-03-012</v>
          </cell>
          <cell r="B865" t="str">
            <v>71A13</v>
          </cell>
          <cell r="C865" t="str">
            <v>aux mortero de pega 1:3</v>
          </cell>
          <cell r="D865" t="str">
            <v>m3</v>
          </cell>
          <cell r="E865">
            <v>3.4869599999999998</v>
          </cell>
          <cell r="F865">
            <v>0.35</v>
          </cell>
          <cell r="G865">
            <v>359986.94425218244</v>
          </cell>
          <cell r="H865">
            <v>1694601.1014249467</v>
          </cell>
        </row>
        <row r="866">
          <cell r="A866" t="str">
            <v>15-03-012</v>
          </cell>
          <cell r="B866" t="str">
            <v>1512O</v>
          </cell>
          <cell r="C866" t="str">
            <v>acero de refuerzo figurado</v>
          </cell>
          <cell r="D866" t="str">
            <v>kg</v>
          </cell>
          <cell r="E866">
            <v>84.986999999999995</v>
          </cell>
          <cell r="F866">
            <v>0.35</v>
          </cell>
          <cell r="G866">
            <v>2006.8</v>
          </cell>
          <cell r="H866">
            <v>230245.08066000001</v>
          </cell>
        </row>
        <row r="867">
          <cell r="A867" t="str">
            <v>15-03-012</v>
          </cell>
          <cell r="B867" t="str">
            <v>11240</v>
          </cell>
          <cell r="C867" t="str">
            <v>piedra para entresuelo</v>
          </cell>
          <cell r="D867" t="str">
            <v>m3</v>
          </cell>
          <cell r="E867">
            <v>2.3591000000000002</v>
          </cell>
          <cell r="F867">
            <v>0.35</v>
          </cell>
          <cell r="G867">
            <v>47386</v>
          </cell>
          <cell r="H867">
            <v>150914.22201000003</v>
          </cell>
        </row>
        <row r="868">
          <cell r="A868" t="str">
            <v>15-03-012</v>
          </cell>
          <cell r="B868" t="str">
            <v>1E645</v>
          </cell>
          <cell r="C868" t="str">
            <v>tapa circular norma tel nin-113</v>
          </cell>
          <cell r="D868" t="str">
            <v>u</v>
          </cell>
          <cell r="E868">
            <v>1</v>
          </cell>
          <cell r="F868">
            <v>0.35</v>
          </cell>
          <cell r="G868">
            <v>150000</v>
          </cell>
          <cell r="H868">
            <v>202500</v>
          </cell>
        </row>
        <row r="869">
          <cell r="A869" t="str">
            <v>15-03-012</v>
          </cell>
          <cell r="B869" t="str">
            <v>74F11</v>
          </cell>
          <cell r="C869" t="str">
            <v>aux formaleta losa tradicional hasta h=3 m</v>
          </cell>
          <cell r="D869" t="str">
            <v>m2</v>
          </cell>
          <cell r="E869">
            <v>11.795500000000001</v>
          </cell>
          <cell r="F869">
            <v>0.35</v>
          </cell>
          <cell r="G869">
            <v>4324.5563786008215</v>
          </cell>
          <cell r="H869">
            <v>68863.91143111109</v>
          </cell>
        </row>
        <row r="870">
          <cell r="A870" t="str">
            <v>15-03-012</v>
          </cell>
          <cell r="B870" t="str">
            <v>61213</v>
          </cell>
          <cell r="C870" t="str">
            <v>transporte a envigado</v>
          </cell>
          <cell r="D870" t="str">
            <v>t</v>
          </cell>
          <cell r="E870">
            <v>12</v>
          </cell>
          <cell r="F870">
            <v>0.35</v>
          </cell>
          <cell r="G870">
            <v>8166.4</v>
          </cell>
          <cell r="H870">
            <v>132295.67999999999</v>
          </cell>
        </row>
        <row r="871">
          <cell r="A871" t="str">
            <v>15-03-012</v>
          </cell>
          <cell r="B871" t="str">
            <v>2E134</v>
          </cell>
          <cell r="C871" t="str">
            <v>cuadrilla electrica dia</v>
          </cell>
          <cell r="D871" t="str">
            <v>dia</v>
          </cell>
          <cell r="E871">
            <v>5</v>
          </cell>
          <cell r="F871">
            <v>0.35</v>
          </cell>
          <cell r="G871">
            <v>212586.45</v>
          </cell>
          <cell r="H871">
            <v>1434958.5375000001</v>
          </cell>
        </row>
        <row r="872">
          <cell r="A872" t="str">
            <v>15-03-012</v>
          </cell>
          <cell r="B872" t="str">
            <v>46111</v>
          </cell>
          <cell r="C872" t="str">
            <v>herramienta y equipo menor</v>
          </cell>
          <cell r="D872" t="str">
            <v>%</v>
          </cell>
          <cell r="E872">
            <v>1434958.5375000001</v>
          </cell>
          <cell r="G872">
            <v>0.05</v>
          </cell>
          <cell r="H872">
            <v>71747.926875000005</v>
          </cell>
        </row>
        <row r="873">
          <cell r="A873">
            <v>0</v>
          </cell>
          <cell r="C873" t="str">
            <v>DIRECTO:  7990723,0 / U</v>
          </cell>
          <cell r="D873">
            <v>0</v>
          </cell>
          <cell r="G873">
            <v>0</v>
          </cell>
          <cell r="H873">
            <v>0</v>
          </cell>
        </row>
        <row r="874">
          <cell r="A874">
            <v>0</v>
          </cell>
          <cell r="C874">
            <v>0</v>
          </cell>
          <cell r="D874">
            <v>0</v>
          </cell>
          <cell r="G874">
            <v>0</v>
          </cell>
          <cell r="H874">
            <v>0</v>
          </cell>
        </row>
        <row r="875">
          <cell r="A875" t="str">
            <v>15-03-016</v>
          </cell>
          <cell r="B875" t="str">
            <v>15-03-016</v>
          </cell>
          <cell r="C875" t="str">
            <v>SUMINISTRO, MONTAJE Y PUESTA EN OPERACION DE: CAJA DE PASO TIPO A COMPLETA (TEL NIN-101).</v>
          </cell>
          <cell r="D875" t="str">
            <v>U</v>
          </cell>
          <cell r="E875">
            <v>2</v>
          </cell>
          <cell r="G875">
            <v>0</v>
          </cell>
          <cell r="H875">
            <v>7494315.0010968763</v>
          </cell>
        </row>
        <row r="876">
          <cell r="A876" t="str">
            <v>15-03-016</v>
          </cell>
          <cell r="B876" t="str">
            <v>72134</v>
          </cell>
          <cell r="C876" t="str">
            <v>aux concreto 3500 psi (24.1 MPa) -obra- 3/4"</v>
          </cell>
          <cell r="D876" t="str">
            <v>m3</v>
          </cell>
          <cell r="E876">
            <v>3.6799999999999997</v>
          </cell>
          <cell r="F876">
            <v>0.35</v>
          </cell>
          <cell r="G876">
            <v>436323.67346056399</v>
          </cell>
          <cell r="H876">
            <v>2167656.0097520822</v>
          </cell>
        </row>
        <row r="877">
          <cell r="A877" t="str">
            <v>15-03-016</v>
          </cell>
          <cell r="B877" t="str">
            <v>18143</v>
          </cell>
          <cell r="C877" t="str">
            <v>bloque 20x20x40 intermed 2 perforaciones r13 (16.1 kg)</v>
          </cell>
          <cell r="D877" t="str">
            <v>u</v>
          </cell>
          <cell r="E877">
            <v>234</v>
          </cell>
          <cell r="F877">
            <v>0.35</v>
          </cell>
          <cell r="G877">
            <v>3477.7959999999998</v>
          </cell>
          <cell r="H877">
            <v>1098635.7564000001</v>
          </cell>
        </row>
        <row r="878">
          <cell r="A878" t="str">
            <v>15-03-016</v>
          </cell>
          <cell r="B878" t="str">
            <v>71A13</v>
          </cell>
          <cell r="C878" t="str">
            <v>aux mortero de pega 1:3</v>
          </cell>
          <cell r="D878" t="str">
            <v>m3</v>
          </cell>
          <cell r="E878">
            <v>3.1262399999999997</v>
          </cell>
          <cell r="F878">
            <v>0.35</v>
          </cell>
          <cell r="G878">
            <v>359986.94425218244</v>
          </cell>
          <cell r="H878">
            <v>1519297.5392085726</v>
          </cell>
        </row>
        <row r="879">
          <cell r="A879" t="str">
            <v>15-03-016</v>
          </cell>
          <cell r="B879" t="str">
            <v>1512O</v>
          </cell>
          <cell r="C879" t="str">
            <v>acero de refuerzo figurado</v>
          </cell>
          <cell r="D879" t="str">
            <v>kg</v>
          </cell>
          <cell r="E879">
            <v>133.39479999999998</v>
          </cell>
          <cell r="F879">
            <v>0.35</v>
          </cell>
          <cell r="G879">
            <v>2006.8</v>
          </cell>
          <cell r="H879">
            <v>361390.52426399995</v>
          </cell>
        </row>
        <row r="880">
          <cell r="A880" t="str">
            <v>15-03-016</v>
          </cell>
          <cell r="B880" t="str">
            <v>11240</v>
          </cell>
          <cell r="C880" t="str">
            <v>piedra para entresuelo</v>
          </cell>
          <cell r="D880" t="str">
            <v>m3</v>
          </cell>
          <cell r="E880">
            <v>1.8399999999999999</v>
          </cell>
          <cell r="F880">
            <v>0.35</v>
          </cell>
          <cell r="G880">
            <v>47386</v>
          </cell>
          <cell r="H880">
            <v>117706.82399999999</v>
          </cell>
        </row>
        <row r="881">
          <cell r="A881" t="str">
            <v>15-03-016</v>
          </cell>
          <cell r="B881" t="str">
            <v>1E645</v>
          </cell>
          <cell r="C881" t="str">
            <v>tapa circular norma tel nin-113</v>
          </cell>
          <cell r="D881" t="str">
            <v>u</v>
          </cell>
          <cell r="E881">
            <v>1</v>
          </cell>
          <cell r="F881">
            <v>0.35</v>
          </cell>
          <cell r="G881">
            <v>150000</v>
          </cell>
          <cell r="H881">
            <v>202500</v>
          </cell>
        </row>
        <row r="882">
          <cell r="A882" t="str">
            <v>15-03-016</v>
          </cell>
          <cell r="B882" t="str">
            <v>74F11</v>
          </cell>
          <cell r="C882" t="str">
            <v>aux formaleta losa tradicional hasta h=3 m</v>
          </cell>
          <cell r="D882" t="str">
            <v>m2</v>
          </cell>
          <cell r="E882">
            <v>9.1999999999999993</v>
          </cell>
          <cell r="F882">
            <v>0.35</v>
          </cell>
          <cell r="G882">
            <v>4324.5563786008215</v>
          </cell>
          <cell r="H882">
            <v>53710.990222222208</v>
          </cell>
        </row>
        <row r="883">
          <cell r="A883" t="str">
            <v>15-03-016</v>
          </cell>
          <cell r="B883" t="str">
            <v>61213</v>
          </cell>
          <cell r="C883" t="str">
            <v>transporte a envigado</v>
          </cell>
          <cell r="D883" t="str">
            <v>t</v>
          </cell>
          <cell r="E883">
            <v>15</v>
          </cell>
          <cell r="F883">
            <v>0.35</v>
          </cell>
          <cell r="G883">
            <v>8166.4</v>
          </cell>
          <cell r="H883">
            <v>165369.60000000001</v>
          </cell>
        </row>
        <row r="884">
          <cell r="A884" t="str">
            <v>15-03-016</v>
          </cell>
          <cell r="B884" t="str">
            <v>2E134</v>
          </cell>
          <cell r="C884" t="str">
            <v>cuadrilla electrica dia</v>
          </cell>
          <cell r="D884" t="str">
            <v>dia</v>
          </cell>
          <cell r="E884">
            <v>6</v>
          </cell>
          <cell r="F884">
            <v>0.35</v>
          </cell>
          <cell r="G884">
            <v>212586.45</v>
          </cell>
          <cell r="H884">
            <v>1721950.2450000003</v>
          </cell>
        </row>
        <row r="885">
          <cell r="A885" t="str">
            <v>15-03-016</v>
          </cell>
          <cell r="B885" t="str">
            <v>46111</v>
          </cell>
          <cell r="C885" t="str">
            <v>herramienta y equipo menor</v>
          </cell>
          <cell r="D885" t="str">
            <v>%</v>
          </cell>
          <cell r="E885">
            <v>1721950.2450000003</v>
          </cell>
          <cell r="G885">
            <v>0.05</v>
          </cell>
          <cell r="H885">
            <v>86097.512250000029</v>
          </cell>
        </row>
        <row r="886">
          <cell r="A886">
            <v>0</v>
          </cell>
          <cell r="C886" t="str">
            <v>DIRECTO:  7494316,0 / U</v>
          </cell>
          <cell r="D886">
            <v>0</v>
          </cell>
          <cell r="G886">
            <v>0</v>
          </cell>
          <cell r="H886">
            <v>0</v>
          </cell>
        </row>
        <row r="887">
          <cell r="A887">
            <v>0</v>
          </cell>
          <cell r="C887">
            <v>0</v>
          </cell>
          <cell r="D887">
            <v>0</v>
          </cell>
          <cell r="G887">
            <v>0</v>
          </cell>
          <cell r="H887">
            <v>0</v>
          </cell>
        </row>
        <row r="888">
          <cell r="A888" t="str">
            <v>15-03-020</v>
          </cell>
          <cell r="B888" t="str">
            <v>15-03-020</v>
          </cell>
          <cell r="C888" t="str">
            <v>SUMINISTRO, MONTAJE Y PUESTA EN OPERACION DE: CAJA PARA UNA TAPA 60X80 COMPLETA (TEL NIN-114).</v>
          </cell>
          <cell r="D888" t="str">
            <v>U</v>
          </cell>
          <cell r="E888">
            <v>25</v>
          </cell>
          <cell r="G888">
            <v>0</v>
          </cell>
          <cell r="H888">
            <v>615644.04782529525</v>
          </cell>
        </row>
        <row r="889">
          <cell r="A889" t="str">
            <v>15-03-020</v>
          </cell>
          <cell r="B889" t="str">
            <v>72132</v>
          </cell>
          <cell r="C889" t="str">
            <v>aux concreto 3000 psi (21.1 MPa) -obra- 3/4"</v>
          </cell>
          <cell r="D889" t="str">
            <v>m3</v>
          </cell>
          <cell r="E889">
            <v>0.35242000000000001</v>
          </cell>
          <cell r="F889">
            <v>0.35</v>
          </cell>
          <cell r="G889">
            <v>397371.06598046987</v>
          </cell>
          <cell r="H889">
            <v>189056.03994833023</v>
          </cell>
        </row>
        <row r="890">
          <cell r="A890" t="str">
            <v>15-03-020</v>
          </cell>
          <cell r="B890" t="str">
            <v>1E597</v>
          </cell>
          <cell r="C890" t="str">
            <v>herraje para 2 tapas 60x80 - tipo 2</v>
          </cell>
          <cell r="D890" t="str">
            <v>u</v>
          </cell>
          <cell r="E890">
            <v>1</v>
          </cell>
          <cell r="F890">
            <v>0.35</v>
          </cell>
          <cell r="G890">
            <v>183400</v>
          </cell>
          <cell r="H890">
            <v>247590.00000000003</v>
          </cell>
        </row>
        <row r="891">
          <cell r="A891" t="str">
            <v>15-03-020</v>
          </cell>
          <cell r="B891" t="str">
            <v>61213</v>
          </cell>
          <cell r="C891" t="str">
            <v>transporte a envigado</v>
          </cell>
          <cell r="D891" t="str">
            <v>t</v>
          </cell>
          <cell r="E891">
            <v>0.15209</v>
          </cell>
          <cell r="F891">
            <v>0.35</v>
          </cell>
          <cell r="G891">
            <v>8166.4</v>
          </cell>
          <cell r="H891">
            <v>1676.7374975999999</v>
          </cell>
        </row>
        <row r="892">
          <cell r="A892" t="str">
            <v>15-03-020</v>
          </cell>
          <cell r="B892" t="str">
            <v>2E134</v>
          </cell>
          <cell r="C892" t="str">
            <v>cuadrilla electrica dia</v>
          </cell>
          <cell r="D892" t="str">
            <v>dia</v>
          </cell>
          <cell r="E892">
            <v>0.58843999999999996</v>
          </cell>
          <cell r="F892">
            <v>0.35</v>
          </cell>
          <cell r="G892">
            <v>212586.45</v>
          </cell>
          <cell r="H892">
            <v>168877.40036130001</v>
          </cell>
        </row>
        <row r="893">
          <cell r="A893" t="str">
            <v>15-03-020</v>
          </cell>
          <cell r="B893" t="str">
            <v>46111</v>
          </cell>
          <cell r="C893" t="str">
            <v>herramienta y equipo menor</v>
          </cell>
          <cell r="D893" t="str">
            <v>%</v>
          </cell>
          <cell r="E893">
            <v>168877.40036130001</v>
          </cell>
          <cell r="G893">
            <v>0.05</v>
          </cell>
          <cell r="H893">
            <v>8443.8700180650012</v>
          </cell>
        </row>
        <row r="894">
          <cell r="A894">
            <v>0</v>
          </cell>
          <cell r="C894" t="str">
            <v>DIRECTO:  615645,0 / U</v>
          </cell>
          <cell r="D894">
            <v>0</v>
          </cell>
          <cell r="G894">
            <v>0</v>
          </cell>
          <cell r="H894">
            <v>0</v>
          </cell>
        </row>
        <row r="895">
          <cell r="A895">
            <v>0</v>
          </cell>
          <cell r="C895">
            <v>0</v>
          </cell>
          <cell r="D895">
            <v>0</v>
          </cell>
          <cell r="G895">
            <v>0</v>
          </cell>
          <cell r="H895">
            <v>0</v>
          </cell>
        </row>
        <row r="896">
          <cell r="A896" t="str">
            <v>15-03-040</v>
          </cell>
          <cell r="B896" t="str">
            <v>15-03-040</v>
          </cell>
          <cell r="C896" t="str">
            <v>SUMINISTRO, MONTAJE Y PUESTA EN OPERACION DE: CRUCE DE VIA CON CANALIZACION EN PVC TIPO DB DE 3Ø 3". INCLUYE EXCAVACION, BOTADA DE MATERIAL, LLENOS EN ARENILLA Y TODO LO NECESARIO PARA SU CORRECTA EJECUCION.</v>
          </cell>
          <cell r="D896" t="str">
            <v>M</v>
          </cell>
          <cell r="E896">
            <v>132</v>
          </cell>
          <cell r="G896">
            <v>0</v>
          </cell>
          <cell r="H896">
            <v>333474.77032096498</v>
          </cell>
        </row>
        <row r="897">
          <cell r="A897" t="str">
            <v>15-03-040</v>
          </cell>
          <cell r="B897" t="str">
            <v>1E558</v>
          </cell>
          <cell r="C897" t="str">
            <v>tubo pvc de 3"</v>
          </cell>
          <cell r="D897" t="str">
            <v>m</v>
          </cell>
          <cell r="E897">
            <v>3</v>
          </cell>
          <cell r="F897">
            <v>0.35</v>
          </cell>
          <cell r="G897">
            <v>7216</v>
          </cell>
          <cell r="H897">
            <v>29224.800000000003</v>
          </cell>
        </row>
        <row r="898">
          <cell r="A898" t="str">
            <v>15-03-040</v>
          </cell>
          <cell r="B898" t="str">
            <v>1E149</v>
          </cell>
          <cell r="C898" t="str">
            <v>soldadura liquida conduit pvc - 1/8 gl</v>
          </cell>
          <cell r="D898" t="str">
            <v>u</v>
          </cell>
          <cell r="E898">
            <v>5.0340000000000003E-2</v>
          </cell>
          <cell r="F898">
            <v>0.35</v>
          </cell>
          <cell r="G898">
            <v>38477.199999999997</v>
          </cell>
          <cell r="H898">
            <v>2614.8720348000002</v>
          </cell>
        </row>
        <row r="899">
          <cell r="A899" t="str">
            <v>15-03-040</v>
          </cell>
          <cell r="B899" t="str">
            <v>1E581</v>
          </cell>
          <cell r="C899" t="str">
            <v>terminal campana de 3"</v>
          </cell>
          <cell r="D899" t="str">
            <v>u</v>
          </cell>
          <cell r="E899">
            <v>0.28169</v>
          </cell>
          <cell r="F899">
            <v>0.35</v>
          </cell>
          <cell r="G899">
            <v>2988</v>
          </cell>
          <cell r="H899">
            <v>1136.2811220000001</v>
          </cell>
        </row>
        <row r="900">
          <cell r="A900" t="str">
            <v>15-03-040</v>
          </cell>
          <cell r="B900" t="str">
            <v>61213</v>
          </cell>
          <cell r="C900" t="str">
            <v>transporte a envigado</v>
          </cell>
          <cell r="D900" t="str">
            <v>t</v>
          </cell>
          <cell r="E900">
            <v>0.15209</v>
          </cell>
          <cell r="F900">
            <v>0.35</v>
          </cell>
          <cell r="G900">
            <v>8166.4</v>
          </cell>
          <cell r="H900">
            <v>1676.7374975999999</v>
          </cell>
        </row>
        <row r="901">
          <cell r="A901" t="str">
            <v>15-03-040</v>
          </cell>
          <cell r="B901" t="str">
            <v>2E134</v>
          </cell>
          <cell r="C901" t="str">
            <v>cuadrilla electrica dia</v>
          </cell>
          <cell r="D901" t="str">
            <v>dia</v>
          </cell>
          <cell r="E901">
            <v>0.99163999999999997</v>
          </cell>
          <cell r="F901">
            <v>0.35</v>
          </cell>
          <cell r="G901">
            <v>212586.45</v>
          </cell>
          <cell r="H901">
            <v>284592.4568253</v>
          </cell>
        </row>
        <row r="902">
          <cell r="A902" t="str">
            <v>15-03-040</v>
          </cell>
          <cell r="B902" t="str">
            <v>46111</v>
          </cell>
          <cell r="C902" t="str">
            <v>herramienta y equipo menor</v>
          </cell>
          <cell r="D902" t="str">
            <v>%</v>
          </cell>
          <cell r="E902">
            <v>284592.4568253</v>
          </cell>
          <cell r="G902">
            <v>0.05</v>
          </cell>
          <cell r="H902">
            <v>14229.622841265002</v>
          </cell>
        </row>
        <row r="903">
          <cell r="A903">
            <v>0</v>
          </cell>
          <cell r="C903" t="str">
            <v>DIRECTO:  333475,0 / M</v>
          </cell>
          <cell r="D903">
            <v>0</v>
          </cell>
          <cell r="G903">
            <v>0</v>
          </cell>
          <cell r="H903">
            <v>0</v>
          </cell>
        </row>
        <row r="904">
          <cell r="A904">
            <v>0</v>
          </cell>
          <cell r="C904">
            <v>0</v>
          </cell>
          <cell r="D904">
            <v>0</v>
          </cell>
          <cell r="G904">
            <v>0</v>
          </cell>
          <cell r="H904">
            <v>0</v>
          </cell>
        </row>
        <row r="905">
          <cell r="A905" t="str">
            <v>15-03-050</v>
          </cell>
          <cell r="B905" t="str">
            <v>15-03-050</v>
          </cell>
          <cell r="C905" t="str">
            <v>SUMINISTRO, MONTAJE Y PUESTA EN OPERACION DE: CANALIZACION EN PVC TIPO DB DE 3Ø 3". INCLUYE: EXCAVACION, BOTADA DE MATERIAL, LLENOS EN ARENILLA Y TODO LO NECESARIO PARA SU CORRECTA EJECUCION.</v>
          </cell>
          <cell r="D905" t="str">
            <v>M</v>
          </cell>
          <cell r="E905">
            <v>1155</v>
          </cell>
          <cell r="G905">
            <v>0</v>
          </cell>
          <cell r="H905">
            <v>79087.860578205014</v>
          </cell>
        </row>
        <row r="906">
          <cell r="A906" t="str">
            <v>15-03-050</v>
          </cell>
          <cell r="B906" t="str">
            <v>1E558</v>
          </cell>
          <cell r="C906" t="str">
            <v>tubo pvc de 3"</v>
          </cell>
          <cell r="D906" t="str">
            <v>m</v>
          </cell>
          <cell r="E906">
            <v>3</v>
          </cell>
          <cell r="F906">
            <v>0.35</v>
          </cell>
          <cell r="G906">
            <v>7216</v>
          </cell>
          <cell r="H906">
            <v>29224.800000000003</v>
          </cell>
        </row>
        <row r="907">
          <cell r="A907" t="str">
            <v>15-03-050</v>
          </cell>
          <cell r="B907" t="str">
            <v>1E149</v>
          </cell>
          <cell r="C907" t="str">
            <v>soldadura liquida conduit pvc - 1/8 gl</v>
          </cell>
          <cell r="D907" t="str">
            <v>u</v>
          </cell>
          <cell r="E907">
            <v>4.5719999999999997E-2</v>
          </cell>
          <cell r="F907">
            <v>0.35</v>
          </cell>
          <cell r="G907">
            <v>38477.199999999997</v>
          </cell>
          <cell r="H907">
            <v>2374.8897383999997</v>
          </cell>
        </row>
        <row r="908">
          <cell r="A908" t="str">
            <v>15-03-050</v>
          </cell>
          <cell r="B908" t="str">
            <v>1E581</v>
          </cell>
          <cell r="C908" t="str">
            <v>terminal campana de 3"</v>
          </cell>
          <cell r="D908" t="str">
            <v>u</v>
          </cell>
          <cell r="E908">
            <v>0.25124000000000002</v>
          </cell>
          <cell r="F908">
            <v>0.35</v>
          </cell>
          <cell r="G908">
            <v>2988</v>
          </cell>
          <cell r="H908">
            <v>1013.4519120000002</v>
          </cell>
        </row>
        <row r="909">
          <cell r="A909" t="str">
            <v>15-03-050</v>
          </cell>
          <cell r="B909" t="str">
            <v>61213</v>
          </cell>
          <cell r="C909" t="str">
            <v>transporte a envigado</v>
          </cell>
          <cell r="D909" t="str">
            <v>t</v>
          </cell>
          <cell r="E909">
            <v>0.22813</v>
          </cell>
          <cell r="F909">
            <v>0.35</v>
          </cell>
          <cell r="G909">
            <v>8166.4</v>
          </cell>
          <cell r="H909">
            <v>2515.0511231999999</v>
          </cell>
        </row>
        <row r="910">
          <cell r="A910" t="str">
            <v>15-03-050</v>
          </cell>
          <cell r="B910" t="str">
            <v>2E134</v>
          </cell>
          <cell r="C910" t="str">
            <v>cuadrilla electrica dia</v>
          </cell>
          <cell r="D910" t="str">
            <v>dia</v>
          </cell>
          <cell r="E910">
            <v>0.14588000000000001</v>
          </cell>
          <cell r="F910">
            <v>0.35</v>
          </cell>
          <cell r="G910">
            <v>212586.45</v>
          </cell>
          <cell r="H910">
            <v>41866.350290100003</v>
          </cell>
        </row>
        <row r="911">
          <cell r="A911" t="str">
            <v>15-03-050</v>
          </cell>
          <cell r="B911" t="str">
            <v>46111</v>
          </cell>
          <cell r="C911" t="str">
            <v>herramienta y equipo menor</v>
          </cell>
          <cell r="D911" t="str">
            <v>%</v>
          </cell>
          <cell r="E911">
            <v>41866.350290100003</v>
          </cell>
          <cell r="G911">
            <v>0.05</v>
          </cell>
          <cell r="H911">
            <v>2093.3175145050004</v>
          </cell>
        </row>
        <row r="912">
          <cell r="A912">
            <v>0</v>
          </cell>
          <cell r="C912" t="str">
            <v>DIRECTO:  79088,0 / M</v>
          </cell>
          <cell r="D912">
            <v>0</v>
          </cell>
          <cell r="G912">
            <v>0</v>
          </cell>
          <cell r="H912">
            <v>0</v>
          </cell>
        </row>
        <row r="913">
          <cell r="A913">
            <v>0</v>
          </cell>
          <cell r="C913">
            <v>0</v>
          </cell>
          <cell r="D913">
            <v>0</v>
          </cell>
          <cell r="G913">
            <v>0</v>
          </cell>
          <cell r="H913">
            <v>0</v>
          </cell>
        </row>
        <row r="914">
          <cell r="A914" t="str">
            <v>15-03-060</v>
          </cell>
          <cell r="B914" t="str">
            <v>15-03-060</v>
          </cell>
          <cell r="C914" t="str">
            <v>SUMINISTRO, MONTAJE Y PUESTA EN OPERACION DE: CANALIZACION EN PVC TIPO DB DE 1Ø 2". INCLUYE, EXCAVACION, BOTADA DE MATERIAL, LLENOS EN ARENILLA Y TODO LO NECESARIO PARA SU CORRECTA EJECUCION.</v>
          </cell>
          <cell r="D914" t="str">
            <v>M</v>
          </cell>
          <cell r="E914">
            <v>121.00000000000001</v>
          </cell>
          <cell r="G914">
            <v>0</v>
          </cell>
          <cell r="H914">
            <v>43302.840335066256</v>
          </cell>
        </row>
        <row r="915">
          <cell r="A915" t="str">
            <v>15-03-060</v>
          </cell>
          <cell r="B915" t="str">
            <v>1E615</v>
          </cell>
          <cell r="C915" t="str">
            <v>tubo pvc de 2"</v>
          </cell>
          <cell r="D915" t="str">
            <v>m</v>
          </cell>
          <cell r="E915">
            <v>1</v>
          </cell>
          <cell r="F915">
            <v>0.35</v>
          </cell>
          <cell r="G915">
            <v>2967</v>
          </cell>
          <cell r="H915">
            <v>4005.4500000000003</v>
          </cell>
        </row>
        <row r="916">
          <cell r="A916" t="str">
            <v>15-03-060</v>
          </cell>
          <cell r="B916" t="str">
            <v>1E149</v>
          </cell>
          <cell r="C916" t="str">
            <v>soldadura liquida conduit pvc - 1/8 gl</v>
          </cell>
          <cell r="D916" t="str">
            <v>u</v>
          </cell>
          <cell r="E916">
            <v>5.1060000000000001E-2</v>
          </cell>
          <cell r="F916">
            <v>0.35</v>
          </cell>
          <cell r="G916">
            <v>38477.199999999997</v>
          </cell>
          <cell r="H916">
            <v>2652.2718732000003</v>
          </cell>
        </row>
        <row r="917">
          <cell r="A917" t="str">
            <v>15-03-060</v>
          </cell>
          <cell r="B917" t="str">
            <v>1E630</v>
          </cell>
          <cell r="C917" t="str">
            <v>terminal campana de 2"</v>
          </cell>
          <cell r="D917" t="str">
            <v>u</v>
          </cell>
          <cell r="E917">
            <v>0.22</v>
          </cell>
          <cell r="F917">
            <v>0.35</v>
          </cell>
          <cell r="G917">
            <v>1149</v>
          </cell>
          <cell r="H917">
            <v>341.25300000000004</v>
          </cell>
        </row>
        <row r="918">
          <cell r="A918" t="str">
            <v>15-03-060</v>
          </cell>
          <cell r="B918" t="str">
            <v>61213</v>
          </cell>
          <cell r="C918" t="str">
            <v>transporte a envigado</v>
          </cell>
          <cell r="D918" t="str">
            <v>t</v>
          </cell>
          <cell r="E918">
            <v>0.15209</v>
          </cell>
          <cell r="F918">
            <v>0.35</v>
          </cell>
          <cell r="G918">
            <v>8166.4</v>
          </cell>
          <cell r="H918">
            <v>1676.7374975999999</v>
          </cell>
        </row>
        <row r="919">
          <cell r="A919" t="str">
            <v>15-03-060</v>
          </cell>
          <cell r="B919" t="str">
            <v>2E134</v>
          </cell>
          <cell r="C919" t="str">
            <v>cuadrilla electrica dia</v>
          </cell>
          <cell r="D919" t="str">
            <v>dia</v>
          </cell>
          <cell r="E919">
            <v>0.11491</v>
          </cell>
          <cell r="F919">
            <v>0.35</v>
          </cell>
          <cell r="G919">
            <v>212586.45</v>
          </cell>
          <cell r="H919">
            <v>32978.217108825003</v>
          </cell>
        </row>
        <row r="920">
          <cell r="A920" t="str">
            <v>15-03-060</v>
          </cell>
          <cell r="B920" t="str">
            <v>46111</v>
          </cell>
          <cell r="C920" t="str">
            <v>herramienta y equipo menor</v>
          </cell>
          <cell r="D920" t="str">
            <v>%</v>
          </cell>
          <cell r="E920">
            <v>32978.217108825003</v>
          </cell>
          <cell r="G920">
            <v>0.05</v>
          </cell>
          <cell r="H920">
            <v>1648.9108554412503</v>
          </cell>
        </row>
        <row r="921">
          <cell r="A921">
            <v>0</v>
          </cell>
          <cell r="C921" t="str">
            <v>DIRECTO:  43303,0 / M</v>
          </cell>
          <cell r="D921">
            <v>0</v>
          </cell>
          <cell r="G921">
            <v>0</v>
          </cell>
          <cell r="H921">
            <v>0</v>
          </cell>
        </row>
        <row r="922">
          <cell r="A922">
            <v>0</v>
          </cell>
          <cell r="C922">
            <v>0</v>
          </cell>
          <cell r="D922">
            <v>0</v>
          </cell>
          <cell r="G922">
            <v>0</v>
          </cell>
          <cell r="H922">
            <v>0</v>
          </cell>
        </row>
        <row r="923">
          <cell r="A923" t="str">
            <v>15-03-070</v>
          </cell>
          <cell r="B923" t="str">
            <v>15-03-070</v>
          </cell>
          <cell r="C923" t="str">
            <v>SUMINISTRO, MONTAJE Y PUESTA EN OPERACION DE: CANALIZACION EN PVC TIPO DB DE 1Ø 3". INCLUYE, EXCAVACION, BOTADA DE MATERIAL, LLENOS EN ARENILLA Y TODO LO NECESARIO PARA SU CORRECTA EJECUCION.</v>
          </cell>
          <cell r="D923" t="str">
            <v>M</v>
          </cell>
          <cell r="E923">
            <v>52.800000000000004</v>
          </cell>
          <cell r="G923">
            <v>0</v>
          </cell>
          <cell r="H923">
            <v>69064.803832263759</v>
          </cell>
        </row>
        <row r="924">
          <cell r="A924" t="str">
            <v>15-03-070</v>
          </cell>
          <cell r="B924" t="str">
            <v>1E558</v>
          </cell>
          <cell r="C924" t="str">
            <v>tubo pvc de 3"</v>
          </cell>
          <cell r="D924" t="str">
            <v>m</v>
          </cell>
          <cell r="E924">
            <v>1</v>
          </cell>
          <cell r="F924">
            <v>0.35</v>
          </cell>
          <cell r="G924">
            <v>7216</v>
          </cell>
          <cell r="H924">
            <v>9741.6</v>
          </cell>
        </row>
        <row r="925">
          <cell r="A925" t="str">
            <v>15-03-070</v>
          </cell>
          <cell r="B925" t="str">
            <v>1E149</v>
          </cell>
          <cell r="C925" t="str">
            <v>soldadura liquida conduit pvc - 1/8 gl</v>
          </cell>
          <cell r="D925" t="str">
            <v>u</v>
          </cell>
          <cell r="E925">
            <v>7.6590000000000005E-2</v>
          </cell>
          <cell r="F925">
            <v>0.35</v>
          </cell>
          <cell r="G925">
            <v>38477.199999999997</v>
          </cell>
          <cell r="H925">
            <v>3978.4078098</v>
          </cell>
        </row>
        <row r="926">
          <cell r="A926" t="str">
            <v>15-03-070</v>
          </cell>
          <cell r="B926" t="str">
            <v>1E581</v>
          </cell>
          <cell r="C926" t="str">
            <v>terminal campana de 3"</v>
          </cell>
          <cell r="D926" t="str">
            <v>u</v>
          </cell>
          <cell r="E926">
            <v>0.22</v>
          </cell>
          <cell r="F926">
            <v>0.35</v>
          </cell>
          <cell r="G926">
            <v>2988</v>
          </cell>
          <cell r="H926">
            <v>887.43600000000004</v>
          </cell>
        </row>
        <row r="927">
          <cell r="A927" t="str">
            <v>15-03-070</v>
          </cell>
          <cell r="B927" t="str">
            <v>61213</v>
          </cell>
          <cell r="C927" t="str">
            <v>transporte a envigado</v>
          </cell>
          <cell r="D927" t="str">
            <v>t</v>
          </cell>
          <cell r="E927">
            <v>0.22814000000000001</v>
          </cell>
          <cell r="F927">
            <v>0.35</v>
          </cell>
          <cell r="G927">
            <v>8166.4</v>
          </cell>
          <cell r="H927">
            <v>2515.1613695999999</v>
          </cell>
        </row>
        <row r="928">
          <cell r="A928" t="str">
            <v>15-03-070</v>
          </cell>
          <cell r="B928" t="str">
            <v>2E134</v>
          </cell>
          <cell r="C928" t="str">
            <v>cuadrilla electrica dia</v>
          </cell>
          <cell r="D928" t="str">
            <v>dia</v>
          </cell>
          <cell r="E928">
            <v>0.17237</v>
          </cell>
          <cell r="F928">
            <v>0.35</v>
          </cell>
          <cell r="G928">
            <v>212586.45</v>
          </cell>
          <cell r="H928">
            <v>49468.760621775007</v>
          </cell>
        </row>
        <row r="929">
          <cell r="A929" t="str">
            <v>15-03-070</v>
          </cell>
          <cell r="B929" t="str">
            <v>46111</v>
          </cell>
          <cell r="C929" t="str">
            <v>herramienta y equipo menor</v>
          </cell>
          <cell r="D929" t="str">
            <v>%</v>
          </cell>
          <cell r="E929">
            <v>49468.760621775007</v>
          </cell>
          <cell r="G929">
            <v>0.05</v>
          </cell>
          <cell r="H929">
            <v>2473.4380310887504</v>
          </cell>
        </row>
        <row r="930">
          <cell r="A930">
            <v>0</v>
          </cell>
          <cell r="C930" t="str">
            <v>DIRECTO:  69065,0 / M</v>
          </cell>
          <cell r="D930">
            <v>0</v>
          </cell>
          <cell r="G930">
            <v>0</v>
          </cell>
          <cell r="H930">
            <v>0</v>
          </cell>
        </row>
        <row r="931">
          <cell r="A931">
            <v>0</v>
          </cell>
          <cell r="C931">
            <v>0</v>
          </cell>
          <cell r="D931">
            <v>0</v>
          </cell>
          <cell r="G931">
            <v>0</v>
          </cell>
          <cell r="H931">
            <v>0</v>
          </cell>
        </row>
        <row r="932">
          <cell r="A932" t="str">
            <v>15-03-085</v>
          </cell>
          <cell r="B932" t="str">
            <v>15-03-085</v>
          </cell>
          <cell r="C932" t="str">
            <v>SUMINISTRO, MONTAJE Y PUESTA EN OPERACION DE: CANALIZACION EN PVC TIPO DB DE 6Ø 4". INCLUYE, EXCAVACION, BOTADA DE MATERIAL, LLENOS EN ARENILLA Y TODO LO NECESARIO PARA SU CORRECTA EJECUCION.</v>
          </cell>
          <cell r="D932" t="str">
            <v>M</v>
          </cell>
          <cell r="E932">
            <v>214.50000000000003</v>
          </cell>
          <cell r="G932">
            <v>0</v>
          </cell>
          <cell r="H932">
            <v>236161.78771261504</v>
          </cell>
        </row>
        <row r="933">
          <cell r="A933" t="str">
            <v>15-03-085</v>
          </cell>
          <cell r="B933" t="str">
            <v>1E631</v>
          </cell>
          <cell r="C933" t="str">
            <v>tubo pvc de 4"</v>
          </cell>
          <cell r="D933" t="str">
            <v>m</v>
          </cell>
          <cell r="E933">
            <v>6</v>
          </cell>
          <cell r="F933">
            <v>0.35</v>
          </cell>
          <cell r="G933">
            <v>10887</v>
          </cell>
          <cell r="H933">
            <v>88184.700000000012</v>
          </cell>
        </row>
        <row r="934">
          <cell r="A934" t="str">
            <v>15-03-085</v>
          </cell>
          <cell r="B934" t="str">
            <v>1E149</v>
          </cell>
          <cell r="C934" t="str">
            <v>soldadura liquida conduit pvc - 1/8 gl</v>
          </cell>
          <cell r="D934" t="str">
            <v>u</v>
          </cell>
          <cell r="E934">
            <v>0.13716</v>
          </cell>
          <cell r="F934">
            <v>0.35</v>
          </cell>
          <cell r="G934">
            <v>38477.199999999997</v>
          </cell>
          <cell r="H934">
            <v>7124.6692152000005</v>
          </cell>
        </row>
        <row r="935">
          <cell r="A935" t="str">
            <v>15-03-085</v>
          </cell>
          <cell r="B935" t="str">
            <v>1E632</v>
          </cell>
          <cell r="C935" t="str">
            <v>terminal campana de 4"</v>
          </cell>
          <cell r="D935" t="str">
            <v>u</v>
          </cell>
          <cell r="E935">
            <v>0.25124000000000002</v>
          </cell>
          <cell r="F935">
            <v>0.35</v>
          </cell>
          <cell r="G935">
            <v>4211</v>
          </cell>
          <cell r="H935">
            <v>1428.261714</v>
          </cell>
        </row>
        <row r="936">
          <cell r="A936" t="str">
            <v>15-03-085</v>
          </cell>
          <cell r="B936" t="str">
            <v>61213</v>
          </cell>
          <cell r="C936" t="str">
            <v>transporte a envigado</v>
          </cell>
          <cell r="D936" t="str">
            <v>t</v>
          </cell>
          <cell r="E936">
            <v>0.68439000000000005</v>
          </cell>
          <cell r="F936">
            <v>0.35</v>
          </cell>
          <cell r="G936">
            <v>8166.4</v>
          </cell>
          <cell r="H936">
            <v>7545.1533696000006</v>
          </cell>
        </row>
        <row r="937">
          <cell r="A937" t="str">
            <v>15-03-085</v>
          </cell>
          <cell r="B937" t="str">
            <v>2E134</v>
          </cell>
          <cell r="C937" t="str">
            <v>cuadrilla electrica dia</v>
          </cell>
          <cell r="D937" t="str">
            <v>dia</v>
          </cell>
          <cell r="E937">
            <v>0.43763999999999997</v>
          </cell>
          <cell r="F937">
            <v>0.35</v>
          </cell>
          <cell r="G937">
            <v>212586.45</v>
          </cell>
          <cell r="H937">
            <v>125599.05087030001</v>
          </cell>
        </row>
        <row r="938">
          <cell r="A938" t="str">
            <v>15-03-085</v>
          </cell>
          <cell r="B938" t="str">
            <v>46111</v>
          </cell>
          <cell r="C938" t="str">
            <v>herramienta y equipo menor</v>
          </cell>
          <cell r="D938" t="str">
            <v>%</v>
          </cell>
          <cell r="E938">
            <v>125599.05087030001</v>
          </cell>
          <cell r="G938">
            <v>0.05</v>
          </cell>
          <cell r="H938">
            <v>6279.9525435150008</v>
          </cell>
        </row>
        <row r="939">
          <cell r="A939">
            <v>0</v>
          </cell>
          <cell r="C939" t="str">
            <v>DIRECTO:  236162,0 / M</v>
          </cell>
          <cell r="D939">
            <v>0</v>
          </cell>
          <cell r="G939">
            <v>0</v>
          </cell>
          <cell r="H939">
            <v>0</v>
          </cell>
        </row>
        <row r="940">
          <cell r="A940">
            <v>0</v>
          </cell>
          <cell r="C940">
            <v>0</v>
          </cell>
          <cell r="D940">
            <v>0</v>
          </cell>
          <cell r="G940">
            <v>0</v>
          </cell>
          <cell r="H940">
            <v>0</v>
          </cell>
        </row>
        <row r="941">
          <cell r="A941" t="str">
            <v>15-03-090</v>
          </cell>
          <cell r="B941" t="str">
            <v>15-03-090</v>
          </cell>
          <cell r="C941" t="str">
            <v>SUMINISTRO, MONTAJE Y PUESTA EN OPERACION DE: BAJANTE A MURO EN TUBERIA METALICA GALVANIZADA DE 2". INCLUYE TODO LO NECESARIO PARA SU CORRECTA EJECUCION.</v>
          </cell>
          <cell r="D941" t="str">
            <v>M</v>
          </cell>
          <cell r="E941">
            <v>55.000000000000007</v>
          </cell>
          <cell r="G941">
            <v>0</v>
          </cell>
          <cell r="H941">
            <v>164397.06569099252</v>
          </cell>
        </row>
        <row r="942">
          <cell r="A942" t="str">
            <v>15-03-090</v>
          </cell>
          <cell r="B942" t="str">
            <v>1E633</v>
          </cell>
          <cell r="C942" t="str">
            <v>grapa galvanizada de 2" doble ala</v>
          </cell>
          <cell r="D942" t="str">
            <v>u</v>
          </cell>
          <cell r="E942">
            <v>2</v>
          </cell>
          <cell r="F942">
            <v>0.35</v>
          </cell>
          <cell r="G942">
            <v>2200</v>
          </cell>
          <cell r="H942">
            <v>5940</v>
          </cell>
        </row>
        <row r="943">
          <cell r="A943" t="str">
            <v>15-03-090</v>
          </cell>
          <cell r="B943" t="str">
            <v>1E634</v>
          </cell>
          <cell r="C943" t="str">
            <v>perno expansivo</v>
          </cell>
          <cell r="D943" t="str">
            <v>u</v>
          </cell>
          <cell r="E943">
            <v>4</v>
          </cell>
          <cell r="F943">
            <v>0.35</v>
          </cell>
          <cell r="G943">
            <v>1200</v>
          </cell>
          <cell r="H943">
            <v>6480</v>
          </cell>
        </row>
        <row r="944">
          <cell r="A944" t="str">
            <v>15-03-090</v>
          </cell>
          <cell r="B944" t="str">
            <v>1E635</v>
          </cell>
          <cell r="C944" t="str">
            <v>curva mg de 2"</v>
          </cell>
          <cell r="D944" t="str">
            <v>u</v>
          </cell>
          <cell r="E944">
            <v>1</v>
          </cell>
          <cell r="F944">
            <v>0.35</v>
          </cell>
          <cell r="G944">
            <v>34485</v>
          </cell>
          <cell r="H944">
            <v>46554.75</v>
          </cell>
        </row>
        <row r="945">
          <cell r="A945" t="str">
            <v>15-03-090</v>
          </cell>
          <cell r="B945" t="str">
            <v>1E636</v>
          </cell>
          <cell r="C945" t="str">
            <v>tubo mg de 2" conduven</v>
          </cell>
          <cell r="D945" t="str">
            <v>u</v>
          </cell>
          <cell r="E945">
            <v>2</v>
          </cell>
          <cell r="F945">
            <v>0.35</v>
          </cell>
          <cell r="G945">
            <v>23348</v>
          </cell>
          <cell r="H945">
            <v>63039.600000000006</v>
          </cell>
        </row>
        <row r="946">
          <cell r="A946" t="str">
            <v>15-03-090</v>
          </cell>
          <cell r="B946" t="str">
            <v>61213</v>
          </cell>
          <cell r="C946" t="str">
            <v>transporte a envigado</v>
          </cell>
          <cell r="D946" t="str">
            <v>t</v>
          </cell>
          <cell r="E946">
            <v>0.44463000000000003</v>
          </cell>
          <cell r="F946">
            <v>0.35</v>
          </cell>
          <cell r="G946">
            <v>8166.4</v>
          </cell>
          <cell r="H946">
            <v>4901.8856832000001</v>
          </cell>
        </row>
        <row r="947">
          <cell r="A947" t="str">
            <v>15-03-090</v>
          </cell>
          <cell r="B947" t="str">
            <v>2E134</v>
          </cell>
          <cell r="C947" t="str">
            <v>cuadrilla electrica dia</v>
          </cell>
          <cell r="D947" t="str">
            <v>dia</v>
          </cell>
          <cell r="E947">
            <v>0.12438</v>
          </cell>
          <cell r="F947">
            <v>0.35</v>
          </cell>
          <cell r="G947">
            <v>212586.45</v>
          </cell>
          <cell r="H947">
            <v>35696.028578850004</v>
          </cell>
        </row>
        <row r="948">
          <cell r="A948" t="str">
            <v>15-03-090</v>
          </cell>
          <cell r="B948" t="str">
            <v>46111</v>
          </cell>
          <cell r="C948" t="str">
            <v>herramienta y equipo menor</v>
          </cell>
          <cell r="D948" t="str">
            <v>%</v>
          </cell>
          <cell r="E948">
            <v>35696.028578850004</v>
          </cell>
          <cell r="G948">
            <v>0.05</v>
          </cell>
          <cell r="H948">
            <v>1784.8014289425003</v>
          </cell>
        </row>
        <row r="949">
          <cell r="A949">
            <v>0</v>
          </cell>
          <cell r="C949" t="str">
            <v>DIRECTO:  164398,0 / M</v>
          </cell>
          <cell r="D949">
            <v>0</v>
          </cell>
          <cell r="G949">
            <v>0</v>
          </cell>
          <cell r="H949">
            <v>0</v>
          </cell>
        </row>
        <row r="950">
          <cell r="A950">
            <v>0</v>
          </cell>
          <cell r="C950">
            <v>0</v>
          </cell>
          <cell r="D950">
            <v>0</v>
          </cell>
          <cell r="G950">
            <v>0</v>
          </cell>
          <cell r="H950">
            <v>0</v>
          </cell>
        </row>
        <row r="951">
          <cell r="A951" t="str">
            <v>15-03-100</v>
          </cell>
          <cell r="B951" t="str">
            <v>15-03-100</v>
          </cell>
          <cell r="C951" t="str">
            <v>SUMINISTRO, MONTAJE Y PUESTA EN OPERACION DE: BAJANTE EN POSTE EN TUBERIA METALICA GALVANIZADA DE 3". INCLUYE TODO LO NECESARIO PARA SU CORRECTA EJECUCION.</v>
          </cell>
          <cell r="D951" t="str">
            <v>M</v>
          </cell>
          <cell r="E951">
            <v>59.400000000000006</v>
          </cell>
          <cell r="G951">
            <v>0</v>
          </cell>
          <cell r="H951">
            <v>585260.81199125992</v>
          </cell>
        </row>
        <row r="952">
          <cell r="A952" t="str">
            <v>15-03-100</v>
          </cell>
          <cell r="B952" t="str">
            <v>1E637</v>
          </cell>
          <cell r="C952" t="str">
            <v>hebillas de 5/8"</v>
          </cell>
          <cell r="D952" t="str">
            <v>u</v>
          </cell>
          <cell r="E952">
            <v>3</v>
          </cell>
          <cell r="F952">
            <v>0.35</v>
          </cell>
          <cell r="G952">
            <v>449</v>
          </cell>
          <cell r="H952">
            <v>1818.45</v>
          </cell>
        </row>
        <row r="953">
          <cell r="A953" t="str">
            <v>15-03-100</v>
          </cell>
          <cell r="B953" t="str">
            <v>1E638</v>
          </cell>
          <cell r="C953" t="str">
            <v>cinta band-it de 5/8"</v>
          </cell>
          <cell r="D953" t="str">
            <v>u</v>
          </cell>
          <cell r="E953">
            <v>4.666666666666667</v>
          </cell>
          <cell r="F953">
            <v>0.35</v>
          </cell>
          <cell r="G953">
            <v>2624</v>
          </cell>
          <cell r="H953">
            <v>16531.2</v>
          </cell>
        </row>
        <row r="954">
          <cell r="A954" t="str">
            <v>15-03-100</v>
          </cell>
          <cell r="B954" t="str">
            <v>1E639</v>
          </cell>
          <cell r="C954" t="str">
            <v>union mg de 3"</v>
          </cell>
          <cell r="D954" t="str">
            <v>u</v>
          </cell>
          <cell r="E954">
            <v>1</v>
          </cell>
          <cell r="F954">
            <v>0.35</v>
          </cell>
          <cell r="G954">
            <v>16701</v>
          </cell>
          <cell r="H954">
            <v>22546.350000000002</v>
          </cell>
        </row>
        <row r="955">
          <cell r="A955" t="str">
            <v>15-03-100</v>
          </cell>
          <cell r="B955" t="str">
            <v>1E640</v>
          </cell>
          <cell r="C955" t="str">
            <v>curva mg de 3"</v>
          </cell>
          <cell r="D955" t="str">
            <v>u</v>
          </cell>
          <cell r="E955">
            <v>1</v>
          </cell>
          <cell r="F955">
            <v>0.35</v>
          </cell>
          <cell r="G955">
            <v>93023</v>
          </cell>
          <cell r="H955">
            <v>125581.05</v>
          </cell>
        </row>
        <row r="956">
          <cell r="A956" t="str">
            <v>15-03-100</v>
          </cell>
          <cell r="B956" t="str">
            <v>1E641</v>
          </cell>
          <cell r="C956" t="str">
            <v>tubo mg de 3" conduven</v>
          </cell>
          <cell r="D956" t="str">
            <v>u</v>
          </cell>
          <cell r="E956">
            <v>4.666666666666667</v>
          </cell>
          <cell r="F956">
            <v>0.35</v>
          </cell>
          <cell r="G956">
            <v>59070</v>
          </cell>
          <cell r="H956">
            <v>372141</v>
          </cell>
        </row>
        <row r="957">
          <cell r="A957" t="str">
            <v>15-03-100</v>
          </cell>
          <cell r="B957" t="str">
            <v>61213</v>
          </cell>
          <cell r="C957" t="str">
            <v>transporte a envigado</v>
          </cell>
          <cell r="D957" t="str">
            <v>t</v>
          </cell>
          <cell r="E957">
            <v>0.46532000000000001</v>
          </cell>
          <cell r="F957">
            <v>0.35</v>
          </cell>
          <cell r="G957">
            <v>8166.4</v>
          </cell>
          <cell r="H957">
            <v>5129.9854848000004</v>
          </cell>
        </row>
        <row r="958">
          <cell r="A958" t="str">
            <v>15-03-100</v>
          </cell>
          <cell r="B958" t="str">
            <v>2E134</v>
          </cell>
          <cell r="C958" t="str">
            <v>cuadrilla electrica dia</v>
          </cell>
          <cell r="D958" t="str">
            <v>dia</v>
          </cell>
          <cell r="E958">
            <v>0.13775999999999999</v>
          </cell>
          <cell r="F958">
            <v>0.35</v>
          </cell>
          <cell r="G958">
            <v>212586.45</v>
          </cell>
          <cell r="H958">
            <v>39535.977625200001</v>
          </cell>
        </row>
        <row r="959">
          <cell r="A959" t="str">
            <v>15-03-100</v>
          </cell>
          <cell r="B959" t="str">
            <v>46111</v>
          </cell>
          <cell r="C959" t="str">
            <v>herramienta y equipo menor</v>
          </cell>
          <cell r="D959" t="str">
            <v>%</v>
          </cell>
          <cell r="E959">
            <v>39535.977625200001</v>
          </cell>
          <cell r="G959">
            <v>0.05</v>
          </cell>
          <cell r="H959">
            <v>1976.7988812600001</v>
          </cell>
        </row>
        <row r="960">
          <cell r="A960">
            <v>0</v>
          </cell>
          <cell r="C960" t="str">
            <v>DIRECTO:  585261,0 / M</v>
          </cell>
          <cell r="D960">
            <v>0</v>
          </cell>
          <cell r="G960">
            <v>0</v>
          </cell>
          <cell r="H960">
            <v>0</v>
          </cell>
        </row>
        <row r="961">
          <cell r="A961">
            <v>0</v>
          </cell>
          <cell r="B961" t="str">
            <v>18</v>
          </cell>
          <cell r="C961" t="str">
            <v>URBANISMO</v>
          </cell>
          <cell r="D961">
            <v>0</v>
          </cell>
          <cell r="G961">
            <v>0</v>
          </cell>
          <cell r="H961">
            <v>0</v>
          </cell>
        </row>
        <row r="962">
          <cell r="A962" t="str">
            <v>18-01-020</v>
          </cell>
          <cell r="B962" t="str">
            <v>18-01-020</v>
          </cell>
          <cell r="C962" t="str">
            <v>LOSA FUNDIDA 21 MPa E: 0.10 M - ANDENES</v>
          </cell>
          <cell r="D962" t="str">
            <v>M2</v>
          </cell>
          <cell r="E962">
            <v>1335.4489999999998</v>
          </cell>
          <cell r="G962">
            <v>0</v>
          </cell>
          <cell r="H962">
            <v>83386.532688216976</v>
          </cell>
        </row>
        <row r="963">
          <cell r="A963" t="str">
            <v>18-01-020</v>
          </cell>
          <cell r="B963" t="str">
            <v>72132</v>
          </cell>
          <cell r="C963" t="str">
            <v>aux concreto 3000 psi (21.1 MPa) -obra- 3/4"</v>
          </cell>
          <cell r="D963" t="str">
            <v>m3</v>
          </cell>
          <cell r="E963">
            <v>0.1</v>
          </cell>
          <cell r="F963">
            <v>0.05</v>
          </cell>
          <cell r="G963">
            <v>397371.06598046987</v>
          </cell>
          <cell r="H963">
            <v>41723.961927949334</v>
          </cell>
        </row>
        <row r="964">
          <cell r="A964" t="str">
            <v>18-01-020</v>
          </cell>
          <cell r="B964" t="str">
            <v>11240</v>
          </cell>
          <cell r="C964" t="str">
            <v>piedra para entresuelo</v>
          </cell>
          <cell r="D964" t="str">
            <v>m3</v>
          </cell>
          <cell r="E964">
            <v>0.18</v>
          </cell>
          <cell r="F964">
            <v>0.2</v>
          </cell>
          <cell r="G964">
            <v>47386</v>
          </cell>
          <cell r="H964">
            <v>10235.375999999998</v>
          </cell>
        </row>
        <row r="965">
          <cell r="A965" t="str">
            <v>18-01-020</v>
          </cell>
          <cell r="B965" t="str">
            <v>11218</v>
          </cell>
          <cell r="C965" t="str">
            <v>arenilla</v>
          </cell>
          <cell r="D965" t="str">
            <v>m3</v>
          </cell>
          <cell r="E965">
            <v>0.05</v>
          </cell>
          <cell r="F965">
            <v>0.25</v>
          </cell>
          <cell r="G965">
            <v>20474</v>
          </cell>
          <cell r="H965">
            <v>1279.625</v>
          </cell>
        </row>
        <row r="966">
          <cell r="A966" t="str">
            <v>18-01-020</v>
          </cell>
          <cell r="B966" t="str">
            <v>18Z15</v>
          </cell>
          <cell r="C966" t="str">
            <v>tabla madera comun 1 x 8" 3m</v>
          </cell>
          <cell r="D966" t="str">
            <v>u</v>
          </cell>
          <cell r="E966">
            <v>0.23649999999999999</v>
          </cell>
          <cell r="G966">
            <v>9280</v>
          </cell>
          <cell r="H966">
            <v>2194.7199999999998</v>
          </cell>
        </row>
        <row r="967">
          <cell r="A967" t="str">
            <v>18-01-020</v>
          </cell>
          <cell r="B967" t="str">
            <v>18Z16</v>
          </cell>
          <cell r="C967" t="str">
            <v>larguero madera comun 2"x4" de 3m</v>
          </cell>
          <cell r="D967" t="str">
            <v>u</v>
          </cell>
          <cell r="E967">
            <v>0.16719999999999999</v>
          </cell>
          <cell r="G967">
            <v>6959.9999999999991</v>
          </cell>
          <cell r="H967">
            <v>1163.7119999999998</v>
          </cell>
        </row>
        <row r="968">
          <cell r="A968" t="str">
            <v>18-01-020</v>
          </cell>
          <cell r="B968" t="str">
            <v>15421</v>
          </cell>
          <cell r="C968" t="str">
            <v>clavo corriente 1-1/2" a 5"</v>
          </cell>
          <cell r="D968" t="str">
            <v>lb</v>
          </cell>
          <cell r="E968">
            <v>0.1</v>
          </cell>
          <cell r="G968">
            <v>1624</v>
          </cell>
          <cell r="H968">
            <v>162.4</v>
          </cell>
        </row>
        <row r="969">
          <cell r="A969" t="str">
            <v>18-01-020</v>
          </cell>
          <cell r="B969" t="str">
            <v>44121</v>
          </cell>
          <cell r="C969" t="str">
            <v>vibrador electrico para concreto</v>
          </cell>
          <cell r="D969" t="str">
            <v>d</v>
          </cell>
          <cell r="E969">
            <v>2.5000000000000001E-2</v>
          </cell>
          <cell r="G969">
            <v>39440</v>
          </cell>
          <cell r="H969">
            <v>986</v>
          </cell>
        </row>
        <row r="970">
          <cell r="A970" t="str">
            <v>18-01-020</v>
          </cell>
          <cell r="B970" t="str">
            <v>2C114</v>
          </cell>
          <cell r="C970" t="str">
            <v>mo cuadrilla (2 of + 4 ay)</v>
          </cell>
          <cell r="D970" t="str">
            <v>d</v>
          </cell>
          <cell r="E970">
            <v>0.08</v>
          </cell>
          <cell r="G970">
            <v>301668.51490495645</v>
          </cell>
          <cell r="H970">
            <v>24133.481192396517</v>
          </cell>
        </row>
        <row r="971">
          <cell r="A971" t="str">
            <v>18-01-020</v>
          </cell>
          <cell r="B971" t="str">
            <v>47111</v>
          </cell>
          <cell r="C971" t="str">
            <v>elementos de consumo y proteccion</v>
          </cell>
          <cell r="D971" t="str">
            <v>%</v>
          </cell>
          <cell r="E971">
            <v>24133.481192396517</v>
          </cell>
          <cell r="G971">
            <v>1.2455000000000001E-2</v>
          </cell>
          <cell r="H971">
            <v>300.58250825129863</v>
          </cell>
        </row>
        <row r="972">
          <cell r="A972" t="str">
            <v>18-01-020</v>
          </cell>
          <cell r="B972" t="str">
            <v>46111</v>
          </cell>
          <cell r="C972" t="str">
            <v>herramienta y equipo menor</v>
          </cell>
          <cell r="D972" t="str">
            <v>%</v>
          </cell>
          <cell r="E972">
            <v>24133.481192396517</v>
          </cell>
          <cell r="G972">
            <v>0.05</v>
          </cell>
          <cell r="H972">
            <v>1206.6740596198258</v>
          </cell>
        </row>
        <row r="973">
          <cell r="A973">
            <v>0</v>
          </cell>
          <cell r="C973" t="str">
            <v>DIRECTO:  83387,0 / M2</v>
          </cell>
          <cell r="D973">
            <v>0</v>
          </cell>
          <cell r="E973" t="str">
            <v xml:space="preserve">  </v>
          </cell>
          <cell r="G973">
            <v>0</v>
          </cell>
          <cell r="H973">
            <v>0</v>
          </cell>
        </row>
        <row r="974">
          <cell r="A974">
            <v>0</v>
          </cell>
          <cell r="C974">
            <v>0</v>
          </cell>
          <cell r="D974">
            <v>0</v>
          </cell>
          <cell r="G974">
            <v>0</v>
          </cell>
          <cell r="H974">
            <v>0</v>
          </cell>
        </row>
        <row r="975">
          <cell r="A975" t="str">
            <v>18-01-030</v>
          </cell>
          <cell r="B975" t="str">
            <v>18-01-030</v>
          </cell>
          <cell r="C975" t="str">
            <v>LOSA TACTIL ALERTA Y GUIA 0.40X0.40 M</v>
          </cell>
          <cell r="D975" t="str">
            <v>M</v>
          </cell>
          <cell r="E975">
            <v>2394.7945</v>
          </cell>
          <cell r="G975">
            <v>0</v>
          </cell>
          <cell r="H975">
            <v>65364.596826179404</v>
          </cell>
        </row>
        <row r="976">
          <cell r="A976" t="str">
            <v>18-01-030</v>
          </cell>
          <cell r="B976" t="str">
            <v>18328</v>
          </cell>
          <cell r="C976" t="str">
            <v>adoquin tactil guia o alerta 20x20x6 amarillo, champaña, salmon, jaspe, beige 5.4 kg ntc 2017</v>
          </cell>
          <cell r="D976" t="str">
            <v>u</v>
          </cell>
          <cell r="E976">
            <v>10</v>
          </cell>
          <cell r="F976">
            <v>0.05</v>
          </cell>
          <cell r="G976">
            <v>2032.5519999999999</v>
          </cell>
          <cell r="H976">
            <v>21341.796000000002</v>
          </cell>
        </row>
        <row r="977">
          <cell r="A977" t="str">
            <v>18-01-030</v>
          </cell>
          <cell r="B977" t="str">
            <v>71A13</v>
          </cell>
          <cell r="C977" t="str">
            <v>aux mortero de pega 1:3</v>
          </cell>
          <cell r="D977" t="str">
            <v>m3</v>
          </cell>
          <cell r="E977">
            <v>2.1000000000000001E-2</v>
          </cell>
          <cell r="G977">
            <v>359986.94425218244</v>
          </cell>
          <cell r="H977">
            <v>7559.7258292958313</v>
          </cell>
        </row>
        <row r="978">
          <cell r="A978" t="str">
            <v>18-01-030</v>
          </cell>
          <cell r="B978" t="str">
            <v>11219</v>
          </cell>
          <cell r="C978" t="str">
            <v>arena fina para revoque (1,310kg/m3)</v>
          </cell>
          <cell r="D978" t="str">
            <v>m3</v>
          </cell>
          <cell r="E978">
            <v>4.4000000000000003E-3</v>
          </cell>
          <cell r="G978">
            <v>56491.999999999993</v>
          </cell>
          <cell r="H978">
            <v>248.56479999999999</v>
          </cell>
        </row>
        <row r="979">
          <cell r="A979" t="str">
            <v>18-01-030</v>
          </cell>
          <cell r="B979" t="str">
            <v>1SKP3</v>
          </cell>
          <cell r="C979" t="str">
            <v>sikamanto 3mm poliester x 10m2</v>
          </cell>
          <cell r="D979" t="str">
            <v>m2</v>
          </cell>
          <cell r="E979">
            <v>0.48</v>
          </cell>
          <cell r="G979">
            <v>15079.999999999998</v>
          </cell>
          <cell r="H979">
            <v>7238.3999999999987</v>
          </cell>
        </row>
        <row r="980">
          <cell r="A980" t="str">
            <v>18-01-030</v>
          </cell>
          <cell r="B980" t="str">
            <v>2C111</v>
          </cell>
          <cell r="C980" t="str">
            <v>mo cuadrilla (1 of + 1 ay)</v>
          </cell>
          <cell r="D980" t="str">
            <v>d</v>
          </cell>
          <cell r="E980">
            <v>0.25</v>
          </cell>
          <cell r="G980">
            <v>108564.47283709361</v>
          </cell>
          <cell r="H980">
            <v>27141.118209273402</v>
          </cell>
        </row>
        <row r="981">
          <cell r="A981" t="str">
            <v>18-01-030</v>
          </cell>
          <cell r="B981" t="str">
            <v>22129</v>
          </cell>
          <cell r="C981" t="str">
            <v>mo transporte interno mortero</v>
          </cell>
          <cell r="D981" t="str">
            <v>m3</v>
          </cell>
          <cell r="E981">
            <v>2.1000000000000001E-2</v>
          </cell>
          <cell r="G981">
            <v>6270</v>
          </cell>
          <cell r="H981">
            <v>131.67000000000002</v>
          </cell>
        </row>
        <row r="982">
          <cell r="A982" t="str">
            <v>18-01-030</v>
          </cell>
          <cell r="B982" t="str">
            <v>47111</v>
          </cell>
          <cell r="C982" t="str">
            <v>elementos de consumo y proteccion</v>
          </cell>
          <cell r="D982" t="str">
            <v>%</v>
          </cell>
          <cell r="E982">
            <v>27272.7882092734</v>
          </cell>
          <cell r="G982">
            <v>1.2455000000000001E-2</v>
          </cell>
          <cell r="H982">
            <v>339.68257714650019</v>
          </cell>
        </row>
        <row r="983">
          <cell r="A983" t="str">
            <v>18-01-030</v>
          </cell>
          <cell r="B983" t="str">
            <v>46111</v>
          </cell>
          <cell r="C983" t="str">
            <v>herramienta y equipo menor</v>
          </cell>
          <cell r="D983" t="str">
            <v>%</v>
          </cell>
          <cell r="E983">
            <v>27272.7882092734</v>
          </cell>
          <cell r="G983">
            <v>0.05</v>
          </cell>
          <cell r="H983">
            <v>1363.6394104636702</v>
          </cell>
        </row>
        <row r="984">
          <cell r="A984">
            <v>0</v>
          </cell>
          <cell r="C984" t="str">
            <v>DIRECTO:  65365,0 / M</v>
          </cell>
          <cell r="D984">
            <v>0</v>
          </cell>
          <cell r="E984" t="str">
            <v xml:space="preserve">  </v>
          </cell>
          <cell r="G984">
            <v>0</v>
          </cell>
          <cell r="H984">
            <v>0</v>
          </cell>
        </row>
        <row r="985">
          <cell r="A985">
            <v>0</v>
          </cell>
          <cell r="C985">
            <v>0</v>
          </cell>
          <cell r="D985">
            <v>0</v>
          </cell>
          <cell r="G985">
            <v>0</v>
          </cell>
          <cell r="H985">
            <v>0</v>
          </cell>
        </row>
        <row r="986">
          <cell r="A986" t="str">
            <v>18-01-040</v>
          </cell>
          <cell r="B986" t="str">
            <v>18-01-040</v>
          </cell>
          <cell r="C986" t="str">
            <v>TABLETA DEMARCADORA</v>
          </cell>
          <cell r="D986" t="str">
            <v>M</v>
          </cell>
          <cell r="E986">
            <v>1490.1125</v>
          </cell>
          <cell r="G986">
            <v>0</v>
          </cell>
          <cell r="H986">
            <v>26365.653838386344</v>
          </cell>
        </row>
        <row r="987">
          <cell r="A987" t="str">
            <v>18-01-040</v>
          </cell>
          <cell r="B987" t="str">
            <v>18329</v>
          </cell>
          <cell r="C987" t="str">
            <v>tableta demarcadora 15x100x6</v>
          </cell>
          <cell r="D987" t="str">
            <v>u</v>
          </cell>
          <cell r="E987">
            <v>1</v>
          </cell>
          <cell r="F987">
            <v>0.05</v>
          </cell>
          <cell r="G987">
            <v>7622.07</v>
          </cell>
          <cell r="H987">
            <v>8003.1734999999999</v>
          </cell>
        </row>
        <row r="988">
          <cell r="A988" t="str">
            <v>18-01-040</v>
          </cell>
          <cell r="B988" t="str">
            <v>71A13</v>
          </cell>
          <cell r="C988" t="str">
            <v>aux mortero de pega 1:3</v>
          </cell>
          <cell r="D988" t="str">
            <v>m3</v>
          </cell>
          <cell r="E988">
            <v>1.0500000000000001E-2</v>
          </cell>
          <cell r="G988">
            <v>359986.94425218244</v>
          </cell>
          <cell r="H988">
            <v>3779.8629146479157</v>
          </cell>
        </row>
        <row r="989">
          <cell r="A989" t="str">
            <v>18-01-040</v>
          </cell>
          <cell r="B989" t="str">
            <v>11219</v>
          </cell>
          <cell r="C989" t="str">
            <v>arena fina para revoque (1,310kg/m3)</v>
          </cell>
          <cell r="D989" t="str">
            <v>m3</v>
          </cell>
          <cell r="E989">
            <v>2E-3</v>
          </cell>
          <cell r="G989">
            <v>56491.999999999993</v>
          </cell>
          <cell r="H989">
            <v>112.98399999999999</v>
          </cell>
        </row>
        <row r="990">
          <cell r="A990" t="str">
            <v>18-01-040</v>
          </cell>
          <cell r="B990" t="str">
            <v>1SKP3</v>
          </cell>
          <cell r="C990" t="str">
            <v>sikamanto 3mm poliester x 10m2</v>
          </cell>
          <cell r="D990" t="str">
            <v>m2</v>
          </cell>
          <cell r="E990">
            <v>0.19</v>
          </cell>
          <cell r="G990">
            <v>15079.999999999998</v>
          </cell>
          <cell r="H990">
            <v>2865.2</v>
          </cell>
        </row>
        <row r="991">
          <cell r="A991" t="str">
            <v>18-01-040</v>
          </cell>
          <cell r="B991" t="str">
            <v>2C111</v>
          </cell>
          <cell r="C991" t="str">
            <v>mo cuadrilla (1 of + 1 ay)</v>
          </cell>
          <cell r="D991" t="str">
            <v>d</v>
          </cell>
          <cell r="E991">
            <v>0.1</v>
          </cell>
          <cell r="G991">
            <v>108564.47283709361</v>
          </cell>
          <cell r="H991">
            <v>10856.447283709362</v>
          </cell>
        </row>
        <row r="992">
          <cell r="A992" t="str">
            <v>18-01-040</v>
          </cell>
          <cell r="B992" t="str">
            <v>22129</v>
          </cell>
          <cell r="C992" t="str">
            <v>mo transporte interno mortero</v>
          </cell>
          <cell r="D992" t="str">
            <v>m3</v>
          </cell>
          <cell r="E992">
            <v>1.0500000000000001E-2</v>
          </cell>
          <cell r="G992">
            <v>6270</v>
          </cell>
          <cell r="H992">
            <v>65.835000000000008</v>
          </cell>
        </row>
        <row r="993">
          <cell r="A993" t="str">
            <v>18-01-040</v>
          </cell>
          <cell r="B993" t="str">
            <v>47111</v>
          </cell>
          <cell r="C993" t="str">
            <v>elementos de consumo y proteccion</v>
          </cell>
          <cell r="D993" t="str">
            <v>%</v>
          </cell>
          <cell r="E993">
            <v>10922.282283709361</v>
          </cell>
          <cell r="G993">
            <v>1.2455000000000001E-2</v>
          </cell>
          <cell r="H993">
            <v>136.03702584360011</v>
          </cell>
        </row>
        <row r="994">
          <cell r="A994" t="str">
            <v>18-01-040</v>
          </cell>
          <cell r="B994" t="str">
            <v>46111</v>
          </cell>
          <cell r="C994" t="str">
            <v>herramienta y equipo menor</v>
          </cell>
          <cell r="D994" t="str">
            <v>%</v>
          </cell>
          <cell r="E994">
            <v>10922.282283709361</v>
          </cell>
          <cell r="G994">
            <v>0.05</v>
          </cell>
          <cell r="H994">
            <v>546.11411418546811</v>
          </cell>
        </row>
        <row r="995">
          <cell r="A995">
            <v>0</v>
          </cell>
          <cell r="C995" t="str">
            <v>DIRECTO:  26366,0 / M</v>
          </cell>
          <cell r="D995">
            <v>0</v>
          </cell>
          <cell r="E995" t="str">
            <v xml:space="preserve">  </v>
          </cell>
          <cell r="G995">
            <v>0</v>
          </cell>
          <cell r="H995">
            <v>0</v>
          </cell>
        </row>
        <row r="996">
          <cell r="A996">
            <v>0</v>
          </cell>
          <cell r="C996">
            <v>0</v>
          </cell>
          <cell r="D996">
            <v>0</v>
          </cell>
          <cell r="G996">
            <v>0</v>
          </cell>
          <cell r="H996">
            <v>0</v>
          </cell>
        </row>
        <row r="997">
          <cell r="A997" t="str">
            <v>18-01-050</v>
          </cell>
          <cell r="B997" t="str">
            <v>18-01-050</v>
          </cell>
          <cell r="C997" t="str">
            <v>BORDILLOS BARRERA RECTO, CUADRANTE BARRERA, REBAJE, ESQUINERO BARRERA 90° Y RECTANGULAR RECTO (350)</v>
          </cell>
          <cell r="D997" t="str">
            <v>M</v>
          </cell>
          <cell r="E997">
            <v>1615.635</v>
          </cell>
          <cell r="G997">
            <v>0</v>
          </cell>
          <cell r="H997">
            <v>51093.639587109945</v>
          </cell>
        </row>
        <row r="998">
          <cell r="A998" t="str">
            <v>18-01-050</v>
          </cell>
          <cell r="B998" t="str">
            <v>18814</v>
          </cell>
          <cell r="C998" t="str">
            <v xml:space="preserve">bordillo rectangular recto prefabricado u50 </v>
          </cell>
          <cell r="D998" t="str">
            <v>u</v>
          </cell>
          <cell r="E998">
            <v>6.2124999999999993E-2</v>
          </cell>
          <cell r="F998">
            <v>0.05</v>
          </cell>
          <cell r="G998">
            <v>23329.919999999998</v>
          </cell>
          <cell r="H998">
            <v>1521.8398439999996</v>
          </cell>
        </row>
        <row r="999">
          <cell r="A999" t="str">
            <v>18-01-050</v>
          </cell>
          <cell r="B999" t="str">
            <v>18815</v>
          </cell>
          <cell r="C999" t="str">
            <v>bordillo barrera recto prefabricado u10</v>
          </cell>
          <cell r="D999" t="str">
            <v>u</v>
          </cell>
          <cell r="E999">
            <v>1.1363750000000001</v>
          </cell>
          <cell r="F999">
            <v>0.05</v>
          </cell>
          <cell r="G999">
            <v>21450.719999999998</v>
          </cell>
          <cell r="H999">
            <v>25594.865037</v>
          </cell>
        </row>
        <row r="1000">
          <cell r="A1000" t="str">
            <v>18-01-050</v>
          </cell>
          <cell r="B1000" t="str">
            <v>18816</v>
          </cell>
          <cell r="C1000" t="str">
            <v>bordillo cuadrante barrera prefabricado u70</v>
          </cell>
          <cell r="D1000" t="str">
            <v>u</v>
          </cell>
          <cell r="E1000">
            <v>4.1250000000000002E-3</v>
          </cell>
          <cell r="F1000">
            <v>0.05</v>
          </cell>
          <cell r="G1000">
            <v>23595.791999999998</v>
          </cell>
          <cell r="H1000">
            <v>102.1992741</v>
          </cell>
        </row>
        <row r="1001">
          <cell r="A1001" t="str">
            <v>18-01-050</v>
          </cell>
          <cell r="B1001" t="str">
            <v>18817</v>
          </cell>
          <cell r="C1001" t="str">
            <v>bordillo rebaje prefabricado u160</v>
          </cell>
          <cell r="D1001" t="str">
            <v>u</v>
          </cell>
          <cell r="E1001">
            <v>4.5374999999999999E-2</v>
          </cell>
          <cell r="F1001">
            <v>0.05</v>
          </cell>
          <cell r="G1001">
            <v>24668.327999999998</v>
          </cell>
          <cell r="H1001">
            <v>1175.2916521499999</v>
          </cell>
        </row>
        <row r="1002">
          <cell r="A1002" t="str">
            <v>18-01-050</v>
          </cell>
          <cell r="B1002" t="str">
            <v>18818</v>
          </cell>
          <cell r="C1002" t="str">
            <v>bordillo esquinero barrera 90° prefabricado u120</v>
          </cell>
          <cell r="D1002" t="str">
            <v>u</v>
          </cell>
          <cell r="E1002">
            <v>2E-3</v>
          </cell>
          <cell r="F1002">
            <v>0.05</v>
          </cell>
          <cell r="G1002">
            <v>17160.576000000001</v>
          </cell>
          <cell r="H1002">
            <v>36.037209600000004</v>
          </cell>
        </row>
        <row r="1003">
          <cell r="A1003" t="str">
            <v>18-01-050</v>
          </cell>
          <cell r="B1003" t="str">
            <v>71A14</v>
          </cell>
          <cell r="C1003" t="str">
            <v>aux mortero de pega 1:4</v>
          </cell>
          <cell r="D1003" t="str">
            <v>m3</v>
          </cell>
          <cell r="E1003">
            <v>2.1999999999999999E-2</v>
          </cell>
          <cell r="F1003">
            <v>0.2</v>
          </cell>
          <cell r="G1003">
            <v>305660.30854178657</v>
          </cell>
          <cell r="H1003">
            <v>8069.432145503165</v>
          </cell>
        </row>
        <row r="1004">
          <cell r="A1004" t="str">
            <v>18-01-050</v>
          </cell>
          <cell r="B1004" t="str">
            <v>22129</v>
          </cell>
          <cell r="C1004" t="str">
            <v>mo transporte interno mortero</v>
          </cell>
          <cell r="D1004" t="str">
            <v>m3</v>
          </cell>
          <cell r="E1004">
            <v>2.6399999999999996E-2</v>
          </cell>
          <cell r="G1004">
            <v>6270</v>
          </cell>
          <cell r="H1004">
            <v>165.52799999999996</v>
          </cell>
        </row>
        <row r="1005">
          <cell r="A1005" t="str">
            <v>18-01-050</v>
          </cell>
          <cell r="B1005" t="str">
            <v>2C111</v>
          </cell>
          <cell r="C1005" t="str">
            <v>mo cuadrilla (1 of + 1 ay)</v>
          </cell>
          <cell r="D1005" t="str">
            <v>d</v>
          </cell>
          <cell r="E1005">
            <v>0.125</v>
          </cell>
          <cell r="G1005">
            <v>108564.47283709361</v>
          </cell>
          <cell r="H1005">
            <v>13570.559104636701</v>
          </cell>
        </row>
        <row r="1006">
          <cell r="A1006" t="str">
            <v>18-01-050</v>
          </cell>
          <cell r="B1006" t="str">
            <v>47111</v>
          </cell>
          <cell r="C1006" t="str">
            <v>elementos de consumo y proteccion</v>
          </cell>
          <cell r="D1006" t="str">
            <v>%</v>
          </cell>
          <cell r="E1006">
            <v>13736.087104636701</v>
          </cell>
          <cell r="G1006">
            <v>1.2455000000000001E-2</v>
          </cell>
          <cell r="H1006">
            <v>171.08296488825013</v>
          </cell>
        </row>
        <row r="1007">
          <cell r="A1007" t="str">
            <v>18-01-050</v>
          </cell>
          <cell r="B1007" t="str">
            <v>46111</v>
          </cell>
          <cell r="C1007" t="str">
            <v>herramienta y equipo menor</v>
          </cell>
          <cell r="D1007" t="str">
            <v>%</v>
          </cell>
          <cell r="E1007">
            <v>13736.087104636701</v>
          </cell>
          <cell r="G1007">
            <v>0.05</v>
          </cell>
          <cell r="H1007">
            <v>686.80435523183507</v>
          </cell>
        </row>
        <row r="1008">
          <cell r="A1008">
            <v>0</v>
          </cell>
          <cell r="C1008" t="str">
            <v>DIRECTO:  51094,0 / M</v>
          </cell>
          <cell r="D1008">
            <v>0</v>
          </cell>
          <cell r="G1008">
            <v>0</v>
          </cell>
          <cell r="H1008">
            <v>0</v>
          </cell>
        </row>
        <row r="1009">
          <cell r="A1009">
            <v>0</v>
          </cell>
          <cell r="C1009">
            <v>0</v>
          </cell>
          <cell r="D1009">
            <v>0</v>
          </cell>
          <cell r="G1009">
            <v>0</v>
          </cell>
          <cell r="H1009">
            <v>0</v>
          </cell>
        </row>
        <row r="1010">
          <cell r="A1010" t="str">
            <v>18-02-900</v>
          </cell>
          <cell r="B1010" t="str">
            <v>18-02-900</v>
          </cell>
          <cell r="C1010" t="str">
            <v>RETIRO DE MATERIAL EXISTENTE (FRESADO)</v>
          </cell>
          <cell r="D1010" t="str">
            <v>M3</v>
          </cell>
          <cell r="E1010">
            <v>875.38</v>
          </cell>
          <cell r="G1010">
            <v>0</v>
          </cell>
          <cell r="H1010">
            <v>44766.638233494516</v>
          </cell>
        </row>
        <row r="1011">
          <cell r="A1011" t="str">
            <v>18-02-900</v>
          </cell>
          <cell r="B1011" t="str">
            <v>4V911</v>
          </cell>
          <cell r="C1011" t="str">
            <v>fresadora wirngten w 100</v>
          </cell>
          <cell r="D1011" t="str">
            <v>h</v>
          </cell>
          <cell r="E1011">
            <v>1.8867924528301886E-2</v>
          </cell>
          <cell r="G1011">
            <v>423399.99999999994</v>
          </cell>
          <cell r="H1011">
            <v>7988.6792452830177</v>
          </cell>
        </row>
        <row r="1012">
          <cell r="A1012" t="str">
            <v>18-02-900</v>
          </cell>
          <cell r="B1012" t="str">
            <v>3A242</v>
          </cell>
          <cell r="C1012" t="str">
            <v>subcontrato de cargue y botada de materiales varios</v>
          </cell>
          <cell r="D1012" t="str">
            <v>m3</v>
          </cell>
          <cell r="E1012">
            <v>1</v>
          </cell>
          <cell r="F1012">
            <v>0.3</v>
          </cell>
          <cell r="G1012">
            <v>28000</v>
          </cell>
          <cell r="H1012">
            <v>36400</v>
          </cell>
        </row>
        <row r="1013">
          <cell r="A1013" t="str">
            <v>18-02-900</v>
          </cell>
          <cell r="B1013" t="str">
            <v>2C112</v>
          </cell>
          <cell r="C1013" t="str">
            <v>mo cuadrilla (1 of + 2 ay)</v>
          </cell>
          <cell r="D1013" t="str">
            <v>d</v>
          </cell>
          <cell r="E1013">
            <v>2.3584905660377358E-3</v>
          </cell>
          <cell r="G1013">
            <v>150834.25745247822</v>
          </cell>
          <cell r="H1013">
            <v>355.74117323697692</v>
          </cell>
        </row>
        <row r="1014">
          <cell r="A1014" t="str">
            <v>18-02-900</v>
          </cell>
          <cell r="B1014" t="str">
            <v>47111</v>
          </cell>
          <cell r="C1014" t="str">
            <v>elementos de consumo y proteccion</v>
          </cell>
          <cell r="D1014" t="str">
            <v>%</v>
          </cell>
          <cell r="E1014">
            <v>355.74117323697692</v>
          </cell>
          <cell r="G1014">
            <v>1.2455000000000001E-2</v>
          </cell>
          <cell r="H1014">
            <v>4.4307563126665475</v>
          </cell>
        </row>
        <row r="1015">
          <cell r="A1015" t="str">
            <v>18-02-900</v>
          </cell>
          <cell r="B1015" t="str">
            <v>46111</v>
          </cell>
          <cell r="C1015" t="str">
            <v>herramienta y equipo menor</v>
          </cell>
          <cell r="D1015" t="str">
            <v>%</v>
          </cell>
          <cell r="E1015">
            <v>355.74117323697692</v>
          </cell>
          <cell r="G1015">
            <v>0.05</v>
          </cell>
          <cell r="H1015">
            <v>17.787058661848846</v>
          </cell>
        </row>
        <row r="1016">
          <cell r="A1016">
            <v>0</v>
          </cell>
          <cell r="C1016" t="str">
            <v>DIRECTO:  44767,0 / M3</v>
          </cell>
          <cell r="D1016">
            <v>0</v>
          </cell>
          <cell r="G1016">
            <v>0</v>
          </cell>
          <cell r="H1016">
            <v>0</v>
          </cell>
        </row>
        <row r="1017">
          <cell r="A1017">
            <v>0</v>
          </cell>
          <cell r="C1017">
            <v>0</v>
          </cell>
          <cell r="D1017">
            <v>0</v>
          </cell>
          <cell r="G1017">
            <v>0</v>
          </cell>
          <cell r="H1017">
            <v>0</v>
          </cell>
        </row>
        <row r="1018">
          <cell r="A1018" t="str">
            <v>18-02-910</v>
          </cell>
          <cell r="B1018" t="str">
            <v>18-02-910</v>
          </cell>
          <cell r="C1018" t="str">
            <v>BASE GRANULAR COMPACTADA BG-1 CBR 80%</v>
          </cell>
          <cell r="D1018" t="str">
            <v>M3</v>
          </cell>
          <cell r="E1018">
            <v>1920.6149999999998</v>
          </cell>
          <cell r="G1018">
            <v>0</v>
          </cell>
          <cell r="H1018">
            <v>87918.441230808792</v>
          </cell>
        </row>
        <row r="1019">
          <cell r="A1019" t="str">
            <v>18-02-910</v>
          </cell>
          <cell r="B1019" t="str">
            <v>11292</v>
          </cell>
          <cell r="C1019" t="str">
            <v>base granular (1,650kg/m2)</v>
          </cell>
          <cell r="D1019" t="str">
            <v>m3</v>
          </cell>
          <cell r="E1019">
            <v>1</v>
          </cell>
          <cell r="F1019">
            <v>0.3</v>
          </cell>
          <cell r="G1019">
            <v>60551.999999999993</v>
          </cell>
          <cell r="H1019">
            <v>78717.599999999991</v>
          </cell>
        </row>
        <row r="1020">
          <cell r="A1020" t="str">
            <v>18-02-910</v>
          </cell>
          <cell r="B1020" t="str">
            <v>4V511</v>
          </cell>
          <cell r="C1020" t="str">
            <v>motoniveladora cat 120g</v>
          </cell>
          <cell r="D1020" t="str">
            <v>h</v>
          </cell>
          <cell r="E1020">
            <v>2.5000000000000001E-2</v>
          </cell>
          <cell r="G1020">
            <v>164720</v>
          </cell>
          <cell r="H1020">
            <v>4118</v>
          </cell>
        </row>
        <row r="1021">
          <cell r="A1021" t="str">
            <v>18-02-910</v>
          </cell>
          <cell r="B1021" t="str">
            <v>4V611</v>
          </cell>
          <cell r="C1021" t="str">
            <v>carrotanque para agua</v>
          </cell>
          <cell r="D1021" t="str">
            <v>h</v>
          </cell>
          <cell r="E1021">
            <v>2.5000000000000001E-2</v>
          </cell>
          <cell r="G1021">
            <v>67744</v>
          </cell>
          <cell r="H1021">
            <v>1693.6000000000001</v>
          </cell>
        </row>
        <row r="1022">
          <cell r="A1022" t="str">
            <v>18-02-910</v>
          </cell>
          <cell r="B1022" t="str">
            <v>4V811</v>
          </cell>
          <cell r="C1022" t="str">
            <v>compactador vibratorio</v>
          </cell>
          <cell r="D1022" t="str">
            <v>h</v>
          </cell>
          <cell r="E1022">
            <v>2.5000000000000001E-2</v>
          </cell>
          <cell r="G1022">
            <v>97904</v>
          </cell>
          <cell r="H1022">
            <v>2447.6</v>
          </cell>
        </row>
        <row r="1023">
          <cell r="A1023" t="str">
            <v>18-02-910</v>
          </cell>
          <cell r="B1023" t="str">
            <v>12911</v>
          </cell>
          <cell r="C1023" t="str">
            <v>agua</v>
          </cell>
          <cell r="D1023" t="str">
            <v>lt</v>
          </cell>
          <cell r="E1023">
            <v>50</v>
          </cell>
          <cell r="G1023">
            <v>1.3183400000000001</v>
          </cell>
          <cell r="H1023">
            <v>65.917000000000002</v>
          </cell>
        </row>
        <row r="1024">
          <cell r="A1024" t="str">
            <v>18-02-910</v>
          </cell>
          <cell r="B1024" t="str">
            <v>3A111</v>
          </cell>
          <cell r="C1024" t="str">
            <v>ensayo de toma de densidades</v>
          </cell>
          <cell r="D1024" t="str">
            <v>u</v>
          </cell>
          <cell r="E1024">
            <v>1.1904761904761904E-2</v>
          </cell>
          <cell r="G1024">
            <v>31493.999999999996</v>
          </cell>
          <cell r="H1024">
            <v>374.92857142857139</v>
          </cell>
        </row>
        <row r="1025">
          <cell r="A1025" t="str">
            <v>18-02-910</v>
          </cell>
          <cell r="B1025" t="str">
            <v>2C112</v>
          </cell>
          <cell r="C1025" t="str">
            <v>mo cuadrilla (1 of + 2 ay)</v>
          </cell>
          <cell r="D1025" t="str">
            <v>d</v>
          </cell>
          <cell r="E1025">
            <v>3.1250000000000002E-3</v>
          </cell>
          <cell r="G1025">
            <v>150834.25745247822</v>
          </cell>
          <cell r="H1025">
            <v>471.35705453899448</v>
          </cell>
        </row>
        <row r="1026">
          <cell r="A1026" t="str">
            <v>18-02-910</v>
          </cell>
          <cell r="B1026" t="str">
            <v>47111</v>
          </cell>
          <cell r="C1026" t="str">
            <v>elementos de consumo y proteccion</v>
          </cell>
          <cell r="D1026" t="str">
            <v>%</v>
          </cell>
          <cell r="E1026">
            <v>471.35705453899448</v>
          </cell>
          <cell r="G1026">
            <v>1.2455000000000001E-2</v>
          </cell>
          <cell r="H1026">
            <v>5.8707521142831762</v>
          </cell>
        </row>
        <row r="1027">
          <cell r="A1027" t="str">
            <v>18-02-910</v>
          </cell>
          <cell r="B1027" t="str">
            <v>46111</v>
          </cell>
          <cell r="C1027" t="str">
            <v>herramienta y equipo menor</v>
          </cell>
          <cell r="D1027" t="str">
            <v>%</v>
          </cell>
          <cell r="E1027">
            <v>471.35705453899448</v>
          </cell>
          <cell r="G1027">
            <v>0.05</v>
          </cell>
          <cell r="H1027">
            <v>23.567852726949724</v>
          </cell>
        </row>
        <row r="1028">
          <cell r="A1028">
            <v>0</v>
          </cell>
          <cell r="C1028" t="str">
            <v>DIRECTO:  87919,0 / M3</v>
          </cell>
          <cell r="D1028">
            <v>0</v>
          </cell>
          <cell r="G1028">
            <v>0</v>
          </cell>
          <cell r="H1028">
            <v>0</v>
          </cell>
        </row>
        <row r="1029">
          <cell r="A1029">
            <v>0</v>
          </cell>
          <cell r="C1029">
            <v>0</v>
          </cell>
          <cell r="D1029">
            <v>0</v>
          </cell>
          <cell r="G1029">
            <v>0</v>
          </cell>
          <cell r="H1029">
            <v>0</v>
          </cell>
        </row>
        <row r="1030">
          <cell r="A1030" t="str">
            <v>18-02-920</v>
          </cell>
          <cell r="B1030" t="str">
            <v>18-02-920</v>
          </cell>
          <cell r="C1030" t="str">
            <v>MEZCLA ASFALTICA TIPO MSC-1</v>
          </cell>
          <cell r="D1030" t="str">
            <v>M3</v>
          </cell>
          <cell r="E1030">
            <v>1549.28</v>
          </cell>
          <cell r="G1030">
            <v>0</v>
          </cell>
          <cell r="H1030">
            <v>556327.36141539237</v>
          </cell>
        </row>
        <row r="1031">
          <cell r="A1031" t="str">
            <v>18-02-920</v>
          </cell>
          <cell r="B1031" t="str">
            <v>1O126</v>
          </cell>
          <cell r="C1031" t="str">
            <v>mezcla asfaltica tipo msc-1 con asfalto 60-70, norma invias (1800kg/m3)</v>
          </cell>
          <cell r="D1031" t="str">
            <v>ton</v>
          </cell>
          <cell r="E1031">
            <v>1.8</v>
          </cell>
          <cell r="F1031">
            <v>0.25</v>
          </cell>
          <cell r="G1031">
            <v>223299.99999999997</v>
          </cell>
          <cell r="H1031">
            <v>502424.99999999994</v>
          </cell>
        </row>
        <row r="1032">
          <cell r="A1032" t="str">
            <v>18-02-920</v>
          </cell>
          <cell r="B1032" t="str">
            <v>1O124</v>
          </cell>
          <cell r="C1032" t="str">
            <v>riego de liga con emulsion asfaltica crr-1</v>
          </cell>
          <cell r="D1032" t="str">
            <v>lt</v>
          </cell>
          <cell r="E1032">
            <v>5</v>
          </cell>
          <cell r="F1032">
            <v>0.05</v>
          </cell>
          <cell r="G1032">
            <v>2320</v>
          </cell>
          <cell r="H1032">
            <v>12180</v>
          </cell>
        </row>
        <row r="1033">
          <cell r="A1033" t="str">
            <v>18-02-920</v>
          </cell>
          <cell r="B1033" t="str">
            <v>4V311</v>
          </cell>
          <cell r="C1033" t="str">
            <v xml:space="preserve">finisher volvo blaw knox pf 161 </v>
          </cell>
          <cell r="D1033" t="str">
            <v>h</v>
          </cell>
          <cell r="E1033">
            <v>2.6666666666666668E-2</v>
          </cell>
          <cell r="G1033">
            <v>117159.99999999999</v>
          </cell>
          <cell r="H1033">
            <v>3124.2666666666664</v>
          </cell>
        </row>
        <row r="1034">
          <cell r="A1034" t="str">
            <v>18-02-920</v>
          </cell>
          <cell r="B1034" t="str">
            <v>4V811</v>
          </cell>
          <cell r="C1034" t="str">
            <v>compactador vibratorio</v>
          </cell>
          <cell r="D1034" t="str">
            <v>h</v>
          </cell>
          <cell r="E1034">
            <v>2.6666666666666668E-2</v>
          </cell>
          <cell r="G1034">
            <v>97904</v>
          </cell>
          <cell r="H1034">
            <v>2610.7733333333335</v>
          </cell>
        </row>
        <row r="1035">
          <cell r="A1035" t="str">
            <v>18-02-920</v>
          </cell>
          <cell r="B1035" t="str">
            <v>4V812</v>
          </cell>
          <cell r="C1035" t="str">
            <v>compactador de llantas</v>
          </cell>
          <cell r="D1035" t="str">
            <v>h</v>
          </cell>
          <cell r="E1035">
            <v>2.6666666666666668E-2</v>
          </cell>
          <cell r="G1035">
            <v>57651.999999999993</v>
          </cell>
          <cell r="H1035">
            <v>1537.3866666666665</v>
          </cell>
        </row>
        <row r="1036">
          <cell r="A1036" t="str">
            <v>18-02-920</v>
          </cell>
          <cell r="B1036" t="str">
            <v>2C113</v>
          </cell>
          <cell r="C1036" t="str">
            <v>mo cuadrilla (2 of + 3 ay)</v>
          </cell>
          <cell r="D1036" t="str">
            <v>d</v>
          </cell>
          <cell r="E1036">
            <v>0.125</v>
          </cell>
          <cell r="G1036">
            <v>259398.73028957183</v>
          </cell>
          <cell r="H1036">
            <v>32424.841286196479</v>
          </cell>
        </row>
        <row r="1037">
          <cell r="A1037" t="str">
            <v>18-02-920</v>
          </cell>
          <cell r="B1037" t="str">
            <v>47111</v>
          </cell>
          <cell r="C1037" t="str">
            <v>elementos de consumo y proteccion</v>
          </cell>
          <cell r="D1037" t="str">
            <v>%</v>
          </cell>
          <cell r="E1037">
            <v>32424.841286196479</v>
          </cell>
          <cell r="G1037">
            <v>1.2455000000000001E-2</v>
          </cell>
          <cell r="H1037">
            <v>403.85139821957716</v>
          </cell>
        </row>
        <row r="1038">
          <cell r="A1038" t="str">
            <v>18-02-920</v>
          </cell>
          <cell r="B1038" t="str">
            <v>46111</v>
          </cell>
          <cell r="C1038" t="str">
            <v>herramienta y equipo menor</v>
          </cell>
          <cell r="D1038" t="str">
            <v>%</v>
          </cell>
          <cell r="E1038">
            <v>32424.841286196479</v>
          </cell>
          <cell r="G1038">
            <v>0.05</v>
          </cell>
          <cell r="H1038">
            <v>1621.2420643098239</v>
          </cell>
        </row>
        <row r="1039">
          <cell r="A1039">
            <v>0</v>
          </cell>
          <cell r="C1039" t="str">
            <v>DIRECTO:  556328,0 / M3</v>
          </cell>
          <cell r="D1039">
            <v>0</v>
          </cell>
          <cell r="G1039">
            <v>0</v>
          </cell>
          <cell r="H1039">
            <v>0</v>
          </cell>
        </row>
        <row r="1040">
          <cell r="A1040">
            <v>0</v>
          </cell>
          <cell r="C1040">
            <v>0</v>
          </cell>
          <cell r="D1040">
            <v>0</v>
          </cell>
          <cell r="G1040">
            <v>0</v>
          </cell>
          <cell r="H1040">
            <v>0</v>
          </cell>
        </row>
        <row r="1041">
          <cell r="A1041" t="str">
            <v>18-02-930</v>
          </cell>
          <cell r="B1041" t="str">
            <v>18-02-930</v>
          </cell>
          <cell r="C1041" t="str">
            <v>MEZCLA ASFALTICA TIPO MDC-2</v>
          </cell>
          <cell r="D1041" t="str">
            <v>M3</v>
          </cell>
          <cell r="E1041">
            <v>1002.1675</v>
          </cell>
          <cell r="G1041">
            <v>0</v>
          </cell>
          <cell r="H1041">
            <v>574597.3614153926</v>
          </cell>
        </row>
        <row r="1042">
          <cell r="A1042" t="str">
            <v>18-02-930</v>
          </cell>
          <cell r="B1042" t="str">
            <v>1O127</v>
          </cell>
          <cell r="C1042" t="str">
            <v>mezcla asfaltica tipo mdc-2 con asfalto 60-70, norma invias (1800kg/m3)</v>
          </cell>
          <cell r="D1042" t="str">
            <v>ton</v>
          </cell>
          <cell r="E1042">
            <v>1.8</v>
          </cell>
          <cell r="F1042">
            <v>0.25</v>
          </cell>
          <cell r="G1042">
            <v>231419.99999999997</v>
          </cell>
          <cell r="H1042">
            <v>520694.99999999994</v>
          </cell>
        </row>
        <row r="1043">
          <cell r="A1043" t="str">
            <v>18-02-930</v>
          </cell>
          <cell r="B1043" t="str">
            <v>1O124</v>
          </cell>
          <cell r="C1043" t="str">
            <v>riego de liga con emulsion asfaltica crr-1</v>
          </cell>
          <cell r="D1043" t="str">
            <v>lt</v>
          </cell>
          <cell r="E1043">
            <v>5</v>
          </cell>
          <cell r="F1043">
            <v>0.05</v>
          </cell>
          <cell r="G1043">
            <v>2320</v>
          </cell>
          <cell r="H1043">
            <v>12180</v>
          </cell>
        </row>
        <row r="1044">
          <cell r="A1044" t="str">
            <v>18-02-930</v>
          </cell>
          <cell r="B1044" t="str">
            <v>4V311</v>
          </cell>
          <cell r="C1044" t="str">
            <v xml:space="preserve">finisher volvo blaw knox pf 161 </v>
          </cell>
          <cell r="D1044" t="str">
            <v>h</v>
          </cell>
          <cell r="E1044">
            <v>2.6666666666666668E-2</v>
          </cell>
          <cell r="G1044">
            <v>117159.99999999999</v>
          </cell>
          <cell r="H1044">
            <v>3124.2666666666664</v>
          </cell>
        </row>
        <row r="1045">
          <cell r="A1045" t="str">
            <v>18-02-930</v>
          </cell>
          <cell r="B1045" t="str">
            <v>4V811</v>
          </cell>
          <cell r="C1045" t="str">
            <v>compactador vibratorio</v>
          </cell>
          <cell r="D1045" t="str">
            <v>h</v>
          </cell>
          <cell r="E1045">
            <v>2.6666666666666668E-2</v>
          </cell>
          <cell r="G1045">
            <v>97904</v>
          </cell>
          <cell r="H1045">
            <v>2610.7733333333335</v>
          </cell>
        </row>
        <row r="1046">
          <cell r="A1046" t="str">
            <v>18-02-930</v>
          </cell>
          <cell r="B1046" t="str">
            <v>4V812</v>
          </cell>
          <cell r="C1046" t="str">
            <v>compactador de llantas</v>
          </cell>
          <cell r="D1046" t="str">
            <v>h</v>
          </cell>
          <cell r="E1046">
            <v>2.6666666666666668E-2</v>
          </cell>
          <cell r="G1046">
            <v>57651.999999999993</v>
          </cell>
          <cell r="H1046">
            <v>1537.3866666666665</v>
          </cell>
        </row>
        <row r="1047">
          <cell r="A1047" t="str">
            <v>18-02-930</v>
          </cell>
          <cell r="B1047" t="str">
            <v>2C113</v>
          </cell>
          <cell r="C1047" t="str">
            <v>mo cuadrilla (2 of + 3 ay)</v>
          </cell>
          <cell r="D1047" t="str">
            <v>d</v>
          </cell>
          <cell r="E1047">
            <v>0.125</v>
          </cell>
          <cell r="G1047">
            <v>259398.73028957183</v>
          </cell>
          <cell r="H1047">
            <v>32424.841286196479</v>
          </cell>
        </row>
        <row r="1048">
          <cell r="A1048" t="str">
            <v>18-02-930</v>
          </cell>
          <cell r="B1048" t="str">
            <v>47111</v>
          </cell>
          <cell r="C1048" t="str">
            <v>elementos de consumo y proteccion</v>
          </cell>
          <cell r="D1048" t="str">
            <v>%</v>
          </cell>
          <cell r="E1048">
            <v>32424.841286196479</v>
          </cell>
          <cell r="G1048">
            <v>1.2455000000000001E-2</v>
          </cell>
          <cell r="H1048">
            <v>403.85139821957716</v>
          </cell>
        </row>
        <row r="1049">
          <cell r="A1049" t="str">
            <v>18-02-930</v>
          </cell>
          <cell r="B1049" t="str">
            <v>46111</v>
          </cell>
          <cell r="C1049" t="str">
            <v>herramienta y equipo menor</v>
          </cell>
          <cell r="D1049" t="str">
            <v>%</v>
          </cell>
          <cell r="E1049">
            <v>32424.841286196479</v>
          </cell>
          <cell r="G1049">
            <v>0.05</v>
          </cell>
          <cell r="H1049">
            <v>1621.2420643098239</v>
          </cell>
        </row>
        <row r="1050">
          <cell r="A1050">
            <v>0</v>
          </cell>
          <cell r="C1050" t="str">
            <v>DIRECTO:  574598,0 / M3</v>
          </cell>
          <cell r="D1050">
            <v>0</v>
          </cell>
          <cell r="G1050">
            <v>0</v>
          </cell>
          <cell r="H1050">
            <v>0</v>
          </cell>
        </row>
        <row r="1051">
          <cell r="A1051">
            <v>0</v>
          </cell>
          <cell r="C1051">
            <v>0</v>
          </cell>
          <cell r="D1051">
            <v>0</v>
          </cell>
          <cell r="G1051">
            <v>0</v>
          </cell>
          <cell r="H1051">
            <v>0</v>
          </cell>
        </row>
        <row r="1052">
          <cell r="A1052" t="str">
            <v>18-03-010</v>
          </cell>
          <cell r="B1052" t="str">
            <v>18-03-010</v>
          </cell>
          <cell r="C1052" t="str">
            <v>CANECA</v>
          </cell>
          <cell r="D1052" t="str">
            <v>U</v>
          </cell>
          <cell r="E1052">
            <v>4</v>
          </cell>
          <cell r="G1052">
            <v>0</v>
          </cell>
          <cell r="H1052">
            <v>738221.94955591892</v>
          </cell>
        </row>
        <row r="1053">
          <cell r="A1053" t="str">
            <v>18-03-010</v>
          </cell>
          <cell r="B1053" t="str">
            <v>1T511</v>
          </cell>
          <cell r="C1053" t="str">
            <v>basusrero arquimuebles</v>
          </cell>
          <cell r="D1053" t="str">
            <v>u</v>
          </cell>
          <cell r="E1053">
            <v>1</v>
          </cell>
          <cell r="G1053">
            <v>660040</v>
          </cell>
          <cell r="H1053">
            <v>660040</v>
          </cell>
        </row>
        <row r="1054">
          <cell r="A1054" t="str">
            <v>18-03-010</v>
          </cell>
          <cell r="B1054" t="str">
            <v>72132</v>
          </cell>
          <cell r="C1054" t="str">
            <v>aux concreto 3000 psi (21.1 MPa) -obra- 3/4"</v>
          </cell>
          <cell r="D1054" t="str">
            <v>m3</v>
          </cell>
          <cell r="E1054">
            <v>8.0640000000000003E-2</v>
          </cell>
          <cell r="G1054">
            <v>397371.06598046987</v>
          </cell>
          <cell r="H1054">
            <v>32044.002760665091</v>
          </cell>
        </row>
        <row r="1055">
          <cell r="A1055" t="str">
            <v>18-03-010</v>
          </cell>
          <cell r="B1055" t="str">
            <v>2C111</v>
          </cell>
          <cell r="C1055" t="str">
            <v>mo cuadrilla (1 of + 1 ay)</v>
          </cell>
          <cell r="D1055" t="str">
            <v>d</v>
          </cell>
          <cell r="E1055">
            <v>0.4</v>
          </cell>
          <cell r="G1055">
            <v>108564.47283709361</v>
          </cell>
          <cell r="H1055">
            <v>43425.789134837447</v>
          </cell>
        </row>
        <row r="1056">
          <cell r="A1056" t="str">
            <v>18-03-010</v>
          </cell>
          <cell r="B1056" t="str">
            <v>47111</v>
          </cell>
          <cell r="C1056" t="str">
            <v>elementos de consumo y proteccion</v>
          </cell>
          <cell r="D1056" t="str">
            <v>%</v>
          </cell>
          <cell r="E1056">
            <v>43425.789134837447</v>
          </cell>
          <cell r="G1056">
            <v>1.2455000000000001E-2</v>
          </cell>
          <cell r="H1056">
            <v>540.86820367440043</v>
          </cell>
        </row>
        <row r="1057">
          <cell r="A1057" t="str">
            <v>18-03-010</v>
          </cell>
          <cell r="B1057" t="str">
            <v>46111</v>
          </cell>
          <cell r="C1057" t="str">
            <v>herramienta y equipo menor</v>
          </cell>
          <cell r="D1057" t="str">
            <v>%</v>
          </cell>
          <cell r="E1057">
            <v>43425.789134837447</v>
          </cell>
          <cell r="G1057">
            <v>0.05</v>
          </cell>
          <cell r="H1057">
            <v>2171.2894567418725</v>
          </cell>
        </row>
        <row r="1058">
          <cell r="A1058">
            <v>0</v>
          </cell>
          <cell r="C1058" t="str">
            <v>DIRECTO:  738222,0 / U</v>
          </cell>
          <cell r="D1058">
            <v>0</v>
          </cell>
          <cell r="G1058">
            <v>0</v>
          </cell>
          <cell r="H1058">
            <v>0</v>
          </cell>
        </row>
        <row r="1059">
          <cell r="A1059">
            <v>0</v>
          </cell>
          <cell r="C1059">
            <v>0</v>
          </cell>
          <cell r="D1059">
            <v>0</v>
          </cell>
          <cell r="G1059">
            <v>0</v>
          </cell>
          <cell r="H1059">
            <v>0</v>
          </cell>
        </row>
        <row r="1060">
          <cell r="A1060" t="str">
            <v>18-03-035</v>
          </cell>
          <cell r="B1060" t="str">
            <v>18-03-035</v>
          </cell>
          <cell r="C1060" t="str">
            <v>SEÑAL VERTICAL INFORMATIVA PARADEROS</v>
          </cell>
          <cell r="D1060" t="str">
            <v>U</v>
          </cell>
          <cell r="E1060">
            <v>4</v>
          </cell>
          <cell r="G1060">
            <v>0</v>
          </cell>
          <cell r="H1060">
            <v>6106649.8565962669</v>
          </cell>
        </row>
        <row r="1061">
          <cell r="A1061" t="str">
            <v>18-03-035</v>
          </cell>
          <cell r="B1061" t="str">
            <v>1T513</v>
          </cell>
          <cell r="C1061" t="str">
            <v>panel luminoso arquimuebles</v>
          </cell>
          <cell r="D1061" t="str">
            <v>u</v>
          </cell>
          <cell r="E1061">
            <v>1</v>
          </cell>
          <cell r="G1061">
            <v>6066800</v>
          </cell>
          <cell r="H1061">
            <v>6066800</v>
          </cell>
        </row>
        <row r="1062">
          <cell r="A1062" t="str">
            <v>18-03-035</v>
          </cell>
          <cell r="B1062" t="str">
            <v>72132</v>
          </cell>
          <cell r="C1062" t="str">
            <v>aux concreto 3000 psi (21.1 MPa) -obra- 3/4"</v>
          </cell>
          <cell r="D1062" t="str">
            <v>m3</v>
          </cell>
          <cell r="E1062">
            <v>6.4000000000000015E-2</v>
          </cell>
          <cell r="G1062">
            <v>397371.06598046987</v>
          </cell>
          <cell r="H1062">
            <v>25431.748222750077</v>
          </cell>
        </row>
        <row r="1063">
          <cell r="A1063" t="str">
            <v>18-03-035</v>
          </cell>
          <cell r="B1063" t="str">
            <v>2C111</v>
          </cell>
          <cell r="C1063" t="str">
            <v>mo cuadrilla (1 of + 1 ay)</v>
          </cell>
          <cell r="D1063" t="str">
            <v>d</v>
          </cell>
          <cell r="E1063">
            <v>0.125</v>
          </cell>
          <cell r="G1063">
            <v>108564.47283709361</v>
          </cell>
          <cell r="H1063">
            <v>13570.559104636701</v>
          </cell>
        </row>
        <row r="1064">
          <cell r="A1064" t="str">
            <v>18-03-035</v>
          </cell>
          <cell r="B1064" t="str">
            <v>47111</v>
          </cell>
          <cell r="C1064" t="str">
            <v>elementos de consumo y proteccion</v>
          </cell>
          <cell r="D1064" t="str">
            <v>%</v>
          </cell>
          <cell r="E1064">
            <v>13570.559104636701</v>
          </cell>
          <cell r="G1064">
            <v>1.2455000000000001E-2</v>
          </cell>
          <cell r="H1064">
            <v>169.02131364825013</v>
          </cell>
        </row>
        <row r="1065">
          <cell r="A1065" t="str">
            <v>18-03-035</v>
          </cell>
          <cell r="B1065" t="str">
            <v>46111</v>
          </cell>
          <cell r="C1065" t="str">
            <v>herramienta y equipo menor</v>
          </cell>
          <cell r="D1065" t="str">
            <v>%</v>
          </cell>
          <cell r="E1065">
            <v>13570.559104636701</v>
          </cell>
          <cell r="G1065">
            <v>0.05</v>
          </cell>
          <cell r="H1065">
            <v>678.52795523183511</v>
          </cell>
        </row>
        <row r="1066">
          <cell r="A1066">
            <v>0</v>
          </cell>
          <cell r="C1066" t="str">
            <v>DIRECTO:  6106650,0 / U</v>
          </cell>
          <cell r="D1066">
            <v>0</v>
          </cell>
          <cell r="G1066">
            <v>0</v>
          </cell>
          <cell r="H1066">
            <v>0</v>
          </cell>
        </row>
        <row r="1067">
          <cell r="A1067">
            <v>0</v>
          </cell>
          <cell r="C1067">
            <v>0</v>
          </cell>
          <cell r="D1067">
            <v>0</v>
          </cell>
          <cell r="G1067">
            <v>0</v>
          </cell>
          <cell r="H1067">
            <v>0</v>
          </cell>
        </row>
        <row r="1068">
          <cell r="A1068" t="str">
            <v>18-03-080</v>
          </cell>
          <cell r="B1068" t="str">
            <v>18-03-080</v>
          </cell>
          <cell r="C1068" t="str">
            <v>BOLARDOS</v>
          </cell>
          <cell r="D1068" t="str">
            <v>U</v>
          </cell>
          <cell r="E1068">
            <v>120</v>
          </cell>
          <cell r="G1068">
            <v>0</v>
          </cell>
          <cell r="H1068">
            <v>362763.54075910663</v>
          </cell>
        </row>
        <row r="1069">
          <cell r="A1069" t="str">
            <v>18-03-080</v>
          </cell>
          <cell r="B1069" t="str">
            <v>1T515</v>
          </cell>
          <cell r="C1069" t="str">
            <v>bolardo genesis, estructura recubierta con pintura electrostatica. gorro superior en acero inoxidable. alto 1 m, ancho 11 cm</v>
          </cell>
          <cell r="D1069" t="str">
            <v>u</v>
          </cell>
          <cell r="E1069">
            <v>1</v>
          </cell>
          <cell r="G1069">
            <v>340000.63999999996</v>
          </cell>
          <cell r="H1069">
            <v>340000.63999999996</v>
          </cell>
        </row>
        <row r="1070">
          <cell r="A1070" t="str">
            <v>18-03-080</v>
          </cell>
          <cell r="B1070" t="str">
            <v>72132</v>
          </cell>
          <cell r="C1070" t="str">
            <v>aux concreto 3000 psi (21.1 MPa) -obra- 3/4"</v>
          </cell>
          <cell r="D1070" t="str">
            <v>m3</v>
          </cell>
          <cell r="E1070">
            <v>2.1000000000000001E-2</v>
          </cell>
          <cell r="G1070">
            <v>397371.06598046987</v>
          </cell>
          <cell r="H1070">
            <v>8344.792385589868</v>
          </cell>
        </row>
        <row r="1071">
          <cell r="A1071" t="str">
            <v>18-03-080</v>
          </cell>
          <cell r="B1071" t="str">
            <v>2C111</v>
          </cell>
          <cell r="C1071" t="str">
            <v>mo cuadrilla (1 of + 1 ay)</v>
          </cell>
          <cell r="D1071" t="str">
            <v>d</v>
          </cell>
          <cell r="E1071">
            <v>0.125</v>
          </cell>
          <cell r="G1071">
            <v>108564.47283709361</v>
          </cell>
          <cell r="H1071">
            <v>13570.559104636701</v>
          </cell>
        </row>
        <row r="1072">
          <cell r="A1072" t="str">
            <v>18-03-080</v>
          </cell>
          <cell r="B1072" t="str">
            <v>47111</v>
          </cell>
          <cell r="C1072" t="str">
            <v>elementos de consumo y proteccion</v>
          </cell>
          <cell r="D1072" t="str">
            <v>%</v>
          </cell>
          <cell r="E1072">
            <v>13570.559104636701</v>
          </cell>
          <cell r="G1072">
            <v>1.2455000000000001E-2</v>
          </cell>
          <cell r="H1072">
            <v>169.02131364825013</v>
          </cell>
        </row>
        <row r="1073">
          <cell r="A1073" t="str">
            <v>18-03-080</v>
          </cell>
          <cell r="B1073" t="str">
            <v>46111</v>
          </cell>
          <cell r="C1073" t="str">
            <v>herramienta y equipo menor</v>
          </cell>
          <cell r="D1073" t="str">
            <v>%</v>
          </cell>
          <cell r="E1073">
            <v>13570.559104636701</v>
          </cell>
          <cell r="G1073">
            <v>0.05</v>
          </cell>
          <cell r="H1073">
            <v>678.52795523183511</v>
          </cell>
        </row>
        <row r="1074">
          <cell r="A1074">
            <v>0</v>
          </cell>
          <cell r="C1074" t="str">
            <v>DIRECTO:  362764,0 / U</v>
          </cell>
          <cell r="D1074">
            <v>0</v>
          </cell>
          <cell r="G1074">
            <v>0</v>
          </cell>
          <cell r="H1074">
            <v>0</v>
          </cell>
        </row>
        <row r="1075">
          <cell r="A1075">
            <v>0</v>
          </cell>
          <cell r="C1075">
            <v>0</v>
          </cell>
          <cell r="D1075">
            <v>0</v>
          </cell>
          <cell r="G1075">
            <v>0</v>
          </cell>
          <cell r="H1075">
            <v>0</v>
          </cell>
        </row>
        <row r="1076">
          <cell r="A1076" t="str">
            <v>18-04-050</v>
          </cell>
          <cell r="B1076" t="str">
            <v>18-04-050</v>
          </cell>
          <cell r="C1076" t="str">
            <v>ZONA VERDE</v>
          </cell>
          <cell r="D1076" t="str">
            <v>M2</v>
          </cell>
          <cell r="E1076">
            <v>281.18649999999997</v>
          </cell>
          <cell r="G1076">
            <v>0</v>
          </cell>
          <cell r="H1076">
            <v>7724.4086800000005</v>
          </cell>
        </row>
        <row r="1077">
          <cell r="A1077" t="str">
            <v>18-04-050</v>
          </cell>
          <cell r="B1077" t="str">
            <v>39112</v>
          </cell>
          <cell r="C1077" t="str">
            <v>subcontrato zona verde en grama macana. incluye suministro e instalacion.</v>
          </cell>
          <cell r="D1077" t="str">
            <v>m2</v>
          </cell>
          <cell r="E1077">
            <v>1</v>
          </cell>
          <cell r="F1077">
            <v>0.25641000000000003</v>
          </cell>
          <cell r="G1077">
            <v>6148</v>
          </cell>
          <cell r="H1077">
            <v>7724.4086800000005</v>
          </cell>
        </row>
        <row r="1078">
          <cell r="A1078" t="str">
            <v>18-04-050</v>
          </cell>
          <cell r="B1078" t="str">
            <v>47111</v>
          </cell>
          <cell r="C1078" t="str">
            <v>elementos de consumo y proteccion</v>
          </cell>
          <cell r="D1078" t="str">
            <v>%</v>
          </cell>
          <cell r="E1078">
            <v>0</v>
          </cell>
          <cell r="G1078">
            <v>1.2455000000000001E-2</v>
          </cell>
          <cell r="H1078">
            <v>0</v>
          </cell>
        </row>
        <row r="1079">
          <cell r="A1079" t="str">
            <v>18-04-050</v>
          </cell>
          <cell r="B1079" t="str">
            <v>46111</v>
          </cell>
          <cell r="C1079" t="str">
            <v>herramienta y equipo menor</v>
          </cell>
          <cell r="D1079" t="str">
            <v>%</v>
          </cell>
          <cell r="E1079">
            <v>0</v>
          </cell>
          <cell r="G1079">
            <v>0.05</v>
          </cell>
          <cell r="H1079">
            <v>0</v>
          </cell>
        </row>
        <row r="1080">
          <cell r="A1080">
            <v>0</v>
          </cell>
          <cell r="C1080" t="str">
            <v>DIRECTO:  7725,0 / M2</v>
          </cell>
          <cell r="D1080">
            <v>0</v>
          </cell>
          <cell r="G1080">
            <v>0</v>
          </cell>
          <cell r="H1080">
            <v>0</v>
          </cell>
        </row>
        <row r="1081">
          <cell r="A1081">
            <v>0</v>
          </cell>
          <cell r="C1081">
            <v>0</v>
          </cell>
          <cell r="D1081">
            <v>0</v>
          </cell>
          <cell r="G1081">
            <v>0</v>
          </cell>
          <cell r="H1081">
            <v>0</v>
          </cell>
        </row>
        <row r="1082">
          <cell r="A1082" t="str">
            <v>18-05-010</v>
          </cell>
          <cell r="B1082" t="str">
            <v>18-05-010</v>
          </cell>
          <cell r="C1082" t="str">
            <v>SEÑALES HORIZONTALES (FLECHAS, PARES, ETC.)</v>
          </cell>
          <cell r="D1082" t="str">
            <v>U</v>
          </cell>
          <cell r="E1082">
            <v>104</v>
          </cell>
          <cell r="G1082">
            <v>0</v>
          </cell>
          <cell r="H1082">
            <v>58761.770534674746</v>
          </cell>
        </row>
        <row r="1083">
          <cell r="A1083" t="str">
            <v>18-05-010</v>
          </cell>
          <cell r="B1083" t="str">
            <v>12311</v>
          </cell>
          <cell r="C1083" t="str">
            <v>pintura acrilica pura para trafico</v>
          </cell>
          <cell r="D1083" t="str">
            <v>gl</v>
          </cell>
          <cell r="E1083">
            <v>0.2040816326530612</v>
          </cell>
          <cell r="G1083">
            <v>66400.72</v>
          </cell>
          <cell r="H1083">
            <v>13551.167346938773</v>
          </cell>
        </row>
        <row r="1084">
          <cell r="A1084" t="str">
            <v>18-05-010</v>
          </cell>
          <cell r="B1084" t="str">
            <v>12312</v>
          </cell>
          <cell r="C1084" t="str">
            <v>esferas reflectivas</v>
          </cell>
          <cell r="D1084" t="str">
            <v>blt</v>
          </cell>
          <cell r="E1084">
            <v>2.9154518950437313E-2</v>
          </cell>
          <cell r="G1084">
            <v>141299.59999999998</v>
          </cell>
          <cell r="H1084">
            <v>4119.5218658892118</v>
          </cell>
        </row>
        <row r="1085">
          <cell r="A1085" t="str">
            <v>18-05-010</v>
          </cell>
          <cell r="B1085" t="str">
            <v>12313</v>
          </cell>
          <cell r="C1085" t="str">
            <v>xilol disolvente</v>
          </cell>
          <cell r="D1085" t="str">
            <v>gl</v>
          </cell>
          <cell r="E1085">
            <v>4.0816326530612242E-2</v>
          </cell>
          <cell r="G1085">
            <v>25172</v>
          </cell>
          <cell r="H1085">
            <v>1027.4285714285713</v>
          </cell>
        </row>
        <row r="1086">
          <cell r="A1086" t="str">
            <v>18-05-010</v>
          </cell>
          <cell r="B1086" t="str">
            <v>2C112</v>
          </cell>
          <cell r="C1086" t="str">
            <v>mo cuadrilla (1 of + 2 ay)</v>
          </cell>
          <cell r="D1086" t="str">
            <v>d</v>
          </cell>
          <cell r="E1086">
            <v>0.25</v>
          </cell>
          <cell r="G1086">
            <v>150834.25745247822</v>
          </cell>
          <cell r="H1086">
            <v>37708.564363119556</v>
          </cell>
        </row>
        <row r="1087">
          <cell r="A1087" t="str">
            <v>18-05-010</v>
          </cell>
          <cell r="B1087" t="str">
            <v>47111</v>
          </cell>
          <cell r="C1087" t="str">
            <v>elementos de consumo y proteccion</v>
          </cell>
          <cell r="D1087" t="str">
            <v>%</v>
          </cell>
          <cell r="E1087">
            <v>37708.564363119556</v>
          </cell>
          <cell r="G1087">
            <v>1.2455000000000001E-2</v>
          </cell>
          <cell r="H1087">
            <v>469.66016914265413</v>
          </cell>
        </row>
        <row r="1088">
          <cell r="A1088" t="str">
            <v>18-05-010</v>
          </cell>
          <cell r="B1088" t="str">
            <v>46111</v>
          </cell>
          <cell r="C1088" t="str">
            <v>herramienta y equipo menor</v>
          </cell>
          <cell r="D1088" t="str">
            <v>%</v>
          </cell>
          <cell r="E1088">
            <v>37708.564363119556</v>
          </cell>
          <cell r="G1088">
            <v>0.05</v>
          </cell>
          <cell r="H1088">
            <v>1885.4282181559779</v>
          </cell>
        </row>
        <row r="1089">
          <cell r="A1089">
            <v>0</v>
          </cell>
          <cell r="C1089" t="str">
            <v>DIRECTO:  58762,0 / U</v>
          </cell>
          <cell r="D1089">
            <v>0</v>
          </cell>
          <cell r="G1089">
            <v>0</v>
          </cell>
          <cell r="H1089">
            <v>0</v>
          </cell>
        </row>
        <row r="1090">
          <cell r="A1090">
            <v>0</v>
          </cell>
          <cell r="C1090">
            <v>0</v>
          </cell>
          <cell r="D1090">
            <v>0</v>
          </cell>
          <cell r="G1090">
            <v>0</v>
          </cell>
          <cell r="H1090">
            <v>0</v>
          </cell>
        </row>
        <row r="1091">
          <cell r="A1091" t="str">
            <v>18-05-020</v>
          </cell>
          <cell r="B1091" t="str">
            <v>18-05-020</v>
          </cell>
          <cell r="C1091" t="str">
            <v>SEÑALES VERTICALES (REGLAMENTARIAS, PREVENTIVAS E INFORMATIVAS)</v>
          </cell>
          <cell r="D1091" t="str">
            <v>M</v>
          </cell>
          <cell r="E1091">
            <v>47.300000000000004</v>
          </cell>
          <cell r="G1091">
            <v>0</v>
          </cell>
          <cell r="H1091">
            <v>226588.00078741473</v>
          </cell>
        </row>
        <row r="1092">
          <cell r="A1092" t="str">
            <v>18-05-020</v>
          </cell>
          <cell r="B1092" t="str">
            <v>72139</v>
          </cell>
          <cell r="C1092" t="str">
            <v>aux concreto 2500 psi (17.5 MPa) -obra- 3/4"</v>
          </cell>
          <cell r="D1092" t="str">
            <v>m3</v>
          </cell>
          <cell r="E1092">
            <v>1.6000000000000004E-2</v>
          </cell>
          <cell r="F1092">
            <v>0.05</v>
          </cell>
          <cell r="G1092">
            <v>368333.38020325993</v>
          </cell>
          <cell r="H1092">
            <v>6188.0007874147686</v>
          </cell>
        </row>
        <row r="1093">
          <cell r="A1093" t="str">
            <v>18-05-020</v>
          </cell>
          <cell r="B1093" t="str">
            <v>17711</v>
          </cell>
          <cell r="C1093" t="str">
            <v>señal vertical</v>
          </cell>
          <cell r="D1093" t="str">
            <v>u</v>
          </cell>
          <cell r="E1093">
            <v>1</v>
          </cell>
          <cell r="G1093">
            <v>220399.99999999997</v>
          </cell>
          <cell r="H1093">
            <v>220399.99999999997</v>
          </cell>
        </row>
        <row r="1094">
          <cell r="A1094" t="str">
            <v>18-05-020</v>
          </cell>
          <cell r="B1094" t="str">
            <v>47111</v>
          </cell>
          <cell r="C1094" t="str">
            <v>elementos de consumo y proteccion</v>
          </cell>
          <cell r="D1094" t="str">
            <v>%</v>
          </cell>
          <cell r="E1094">
            <v>0</v>
          </cell>
          <cell r="G1094">
            <v>1.2455000000000001E-2</v>
          </cell>
          <cell r="H1094">
            <v>0</v>
          </cell>
        </row>
        <row r="1095">
          <cell r="A1095" t="str">
            <v>18-05-020</v>
          </cell>
          <cell r="B1095" t="str">
            <v>46111</v>
          </cell>
          <cell r="C1095" t="str">
            <v>herramienta y equipo menor</v>
          </cell>
          <cell r="D1095" t="str">
            <v>%</v>
          </cell>
          <cell r="E1095">
            <v>0</v>
          </cell>
          <cell r="G1095">
            <v>0.05</v>
          </cell>
          <cell r="H1095">
            <v>0</v>
          </cell>
        </row>
        <row r="1096">
          <cell r="A1096">
            <v>0</v>
          </cell>
          <cell r="C1096" t="str">
            <v>DIRECTO:  226589,0 / M</v>
          </cell>
          <cell r="D1096">
            <v>0</v>
          </cell>
          <cell r="G1096">
            <v>0</v>
          </cell>
          <cell r="H1096">
            <v>0</v>
          </cell>
        </row>
        <row r="1097">
          <cell r="A1097">
            <v>0</v>
          </cell>
          <cell r="C1097">
            <v>0</v>
          </cell>
          <cell r="D1097">
            <v>0</v>
          </cell>
          <cell r="G1097">
            <v>0</v>
          </cell>
          <cell r="H1097">
            <v>0</v>
          </cell>
        </row>
        <row r="1098">
          <cell r="A1098" t="str">
            <v>18-05-030</v>
          </cell>
          <cell r="B1098" t="str">
            <v>18-05-030</v>
          </cell>
          <cell r="C1098" t="str">
            <v>CHEVRON 1</v>
          </cell>
          <cell r="D1098" t="str">
            <v>U</v>
          </cell>
          <cell r="E1098">
            <v>2</v>
          </cell>
          <cell r="G1098">
            <v>0</v>
          </cell>
          <cell r="H1098">
            <v>145388.00078741476</v>
          </cell>
        </row>
        <row r="1099">
          <cell r="A1099" t="str">
            <v>18-05-030</v>
          </cell>
          <cell r="B1099" t="str">
            <v>72139</v>
          </cell>
          <cell r="C1099" t="str">
            <v>aux concreto 2500 psi (17.5 MPa) -obra- 3/4"</v>
          </cell>
          <cell r="D1099" t="str">
            <v>m3</v>
          </cell>
          <cell r="E1099">
            <v>1.6000000000000004E-2</v>
          </cell>
          <cell r="F1099">
            <v>0.05</v>
          </cell>
          <cell r="G1099">
            <v>368333.38020325993</v>
          </cell>
          <cell r="H1099">
            <v>6188.0007874147686</v>
          </cell>
        </row>
        <row r="1100">
          <cell r="A1100" t="str">
            <v>18-05-030</v>
          </cell>
          <cell r="B1100" t="str">
            <v>17712</v>
          </cell>
          <cell r="C1100" t="str">
            <v>chevron 1</v>
          </cell>
          <cell r="D1100" t="str">
            <v>u</v>
          </cell>
          <cell r="E1100">
            <v>1</v>
          </cell>
          <cell r="G1100">
            <v>139200</v>
          </cell>
          <cell r="H1100">
            <v>139200</v>
          </cell>
        </row>
        <row r="1101">
          <cell r="A1101" t="str">
            <v>18-05-030</v>
          </cell>
          <cell r="B1101" t="str">
            <v>47111</v>
          </cell>
          <cell r="C1101" t="str">
            <v>elementos de consumo y proteccion</v>
          </cell>
          <cell r="D1101" t="str">
            <v>%</v>
          </cell>
          <cell r="E1101">
            <v>0</v>
          </cell>
          <cell r="G1101">
            <v>1.2455000000000001E-2</v>
          </cell>
          <cell r="H1101">
            <v>0</v>
          </cell>
        </row>
        <row r="1102">
          <cell r="A1102" t="str">
            <v>18-05-030</v>
          </cell>
          <cell r="B1102" t="str">
            <v>46111</v>
          </cell>
          <cell r="C1102" t="str">
            <v>herramienta y equipo menor</v>
          </cell>
          <cell r="D1102" t="str">
            <v>%</v>
          </cell>
          <cell r="E1102">
            <v>0</v>
          </cell>
          <cell r="G1102">
            <v>0.05</v>
          </cell>
          <cell r="H1102">
            <v>0</v>
          </cell>
        </row>
        <row r="1103">
          <cell r="A1103">
            <v>0</v>
          </cell>
          <cell r="C1103" t="str">
            <v>DIRECTO:  145389,0 / U</v>
          </cell>
          <cell r="D1103">
            <v>0</v>
          </cell>
          <cell r="G1103">
            <v>0</v>
          </cell>
          <cell r="H1103">
            <v>0</v>
          </cell>
        </row>
        <row r="1104">
          <cell r="A1104">
            <v>0</v>
          </cell>
          <cell r="C1104">
            <v>0</v>
          </cell>
          <cell r="D1104">
            <v>0</v>
          </cell>
          <cell r="G1104">
            <v>0</v>
          </cell>
          <cell r="H1104">
            <v>0</v>
          </cell>
        </row>
        <row r="1105">
          <cell r="A1105" t="str">
            <v>18-05-035</v>
          </cell>
          <cell r="B1105" t="str">
            <v>18-05-035</v>
          </cell>
          <cell r="C1105" t="str">
            <v>CHEVRON 2</v>
          </cell>
          <cell r="D1105" t="str">
            <v>U</v>
          </cell>
          <cell r="E1105">
            <v>2</v>
          </cell>
          <cell r="G1105">
            <v>0</v>
          </cell>
          <cell r="H1105">
            <v>116388.00078741476</v>
          </cell>
        </row>
        <row r="1106">
          <cell r="A1106" t="str">
            <v>18-05-035</v>
          </cell>
          <cell r="B1106" t="str">
            <v>72139</v>
          </cell>
          <cell r="C1106" t="str">
            <v>aux concreto 2500 psi (17.5 MPa) -obra- 3/4"</v>
          </cell>
          <cell r="D1106" t="str">
            <v>m3</v>
          </cell>
          <cell r="E1106">
            <v>1.6000000000000004E-2</v>
          </cell>
          <cell r="F1106">
            <v>0.05</v>
          </cell>
          <cell r="G1106">
            <v>368333.38020325993</v>
          </cell>
          <cell r="H1106">
            <v>6188.0007874147686</v>
          </cell>
        </row>
        <row r="1107">
          <cell r="A1107" t="str">
            <v>18-05-035</v>
          </cell>
          <cell r="B1107" t="str">
            <v>17714</v>
          </cell>
          <cell r="C1107" t="str">
            <v>chevron 2</v>
          </cell>
          <cell r="D1107" t="str">
            <v>u</v>
          </cell>
          <cell r="E1107">
            <v>1</v>
          </cell>
          <cell r="G1107">
            <v>110199.99999999999</v>
          </cell>
          <cell r="H1107">
            <v>110199.99999999999</v>
          </cell>
        </row>
        <row r="1108">
          <cell r="A1108" t="str">
            <v>18-05-035</v>
          </cell>
          <cell r="B1108" t="str">
            <v>47111</v>
          </cell>
          <cell r="C1108" t="str">
            <v>elementos de consumo y proteccion</v>
          </cell>
          <cell r="D1108" t="str">
            <v>%</v>
          </cell>
          <cell r="E1108">
            <v>0</v>
          </cell>
          <cell r="G1108">
            <v>1.2455000000000001E-2</v>
          </cell>
          <cell r="H1108">
            <v>0</v>
          </cell>
        </row>
        <row r="1109">
          <cell r="A1109" t="str">
            <v>18-05-035</v>
          </cell>
          <cell r="B1109" t="str">
            <v>46111</v>
          </cell>
          <cell r="C1109" t="str">
            <v>herramienta y equipo menor</v>
          </cell>
          <cell r="D1109" t="str">
            <v>%</v>
          </cell>
          <cell r="E1109">
            <v>0</v>
          </cell>
          <cell r="G1109">
            <v>0.05</v>
          </cell>
          <cell r="H1109">
            <v>0</v>
          </cell>
        </row>
        <row r="1110">
          <cell r="A1110">
            <v>0</v>
          </cell>
          <cell r="C1110" t="str">
            <v>DIRECTO:  116389,0 / U</v>
          </cell>
          <cell r="D1110">
            <v>0</v>
          </cell>
          <cell r="G1110">
            <v>0</v>
          </cell>
          <cell r="H1110">
            <v>0</v>
          </cell>
        </row>
        <row r="1111">
          <cell r="A1111">
            <v>0</v>
          </cell>
          <cell r="C1111">
            <v>0</v>
          </cell>
          <cell r="D1111">
            <v>0</v>
          </cell>
          <cell r="G1111">
            <v>0</v>
          </cell>
          <cell r="H1111">
            <v>0</v>
          </cell>
        </row>
        <row r="1112">
          <cell r="A1112" t="str">
            <v>18-05-050</v>
          </cell>
          <cell r="B1112" t="str">
            <v>18-05-050</v>
          </cell>
          <cell r="C1112" t="str">
            <v>LINEAS AMARILLAS Y BLANCAS, CONTINUAS Y DISCONTINUAS</v>
          </cell>
          <cell r="D1112" t="str">
            <v>M</v>
          </cell>
          <cell r="E1112">
            <v>1431.1</v>
          </cell>
          <cell r="G1112">
            <v>0</v>
          </cell>
          <cell r="H1112">
            <v>2357.0753160242489</v>
          </cell>
        </row>
        <row r="1113">
          <cell r="A1113" t="str">
            <v>18-05-050</v>
          </cell>
          <cell r="B1113" t="str">
            <v>12311</v>
          </cell>
          <cell r="C1113" t="str">
            <v>pintura acrilica pura para trafico</v>
          </cell>
          <cell r="D1113" t="str">
            <v>gl</v>
          </cell>
          <cell r="E1113">
            <v>2.1276595744680851E-2</v>
          </cell>
          <cell r="G1113">
            <v>66400.72</v>
          </cell>
          <cell r="H1113">
            <v>1412.7812765957447</v>
          </cell>
        </row>
        <row r="1114">
          <cell r="A1114" t="str">
            <v>18-05-050</v>
          </cell>
          <cell r="B1114" t="str">
            <v>12312</v>
          </cell>
          <cell r="C1114" t="str">
            <v>esferas reflectivas</v>
          </cell>
          <cell r="D1114" t="str">
            <v>blt</v>
          </cell>
          <cell r="E1114">
            <v>3.0395136778115501E-3</v>
          </cell>
          <cell r="G1114">
            <v>141299.59999999998</v>
          </cell>
          <cell r="H1114">
            <v>429.48206686930087</v>
          </cell>
        </row>
        <row r="1115">
          <cell r="A1115" t="str">
            <v>18-05-050</v>
          </cell>
          <cell r="B1115" t="str">
            <v>12313</v>
          </cell>
          <cell r="C1115" t="str">
            <v>xilol disolvente</v>
          </cell>
          <cell r="D1115" t="str">
            <v>gl</v>
          </cell>
          <cell r="E1115">
            <v>4.2553191489361703E-3</v>
          </cell>
          <cell r="G1115">
            <v>25172</v>
          </cell>
          <cell r="H1115">
            <v>107.11489361702128</v>
          </cell>
        </row>
        <row r="1116">
          <cell r="A1116" t="str">
            <v>18-05-050</v>
          </cell>
          <cell r="B1116" t="str">
            <v>4V914</v>
          </cell>
          <cell r="C1116" t="str">
            <v>vehiculo delineador</v>
          </cell>
          <cell r="D1116" t="str">
            <v>h</v>
          </cell>
          <cell r="E1116">
            <v>9.0909090909090909E-4</v>
          </cell>
          <cell r="G1116">
            <v>69600</v>
          </cell>
          <cell r="H1116">
            <v>63.272727272727273</v>
          </cell>
        </row>
        <row r="1117">
          <cell r="A1117" t="str">
            <v>18-05-050</v>
          </cell>
          <cell r="B1117" t="str">
            <v>4V915</v>
          </cell>
          <cell r="C1117" t="str">
            <v>camioneta</v>
          </cell>
          <cell r="D1117" t="str">
            <v>h</v>
          </cell>
          <cell r="E1117">
            <v>1.6666666666666668E-3</v>
          </cell>
          <cell r="G1117">
            <v>46400</v>
          </cell>
          <cell r="H1117">
            <v>77.333333333333343</v>
          </cell>
        </row>
        <row r="1118">
          <cell r="A1118" t="str">
            <v>18-05-050</v>
          </cell>
          <cell r="B1118" t="str">
            <v>2C112</v>
          </cell>
          <cell r="C1118" t="str">
            <v>mo cuadrilla (1 of + 2 ay)</v>
          </cell>
          <cell r="D1118" t="str">
            <v>d</v>
          </cell>
          <cell r="E1118">
            <v>1.6666666666666668E-3</v>
          </cell>
          <cell r="G1118">
            <v>150834.25745247822</v>
          </cell>
          <cell r="H1118">
            <v>251.39042908746373</v>
          </cell>
        </row>
        <row r="1119">
          <cell r="A1119" t="str">
            <v>18-05-050</v>
          </cell>
          <cell r="B1119" t="str">
            <v>47111</v>
          </cell>
          <cell r="C1119" t="str">
            <v>elementos de consumo y proteccion</v>
          </cell>
          <cell r="D1119" t="str">
            <v>%</v>
          </cell>
          <cell r="E1119">
            <v>251.39042908746373</v>
          </cell>
          <cell r="G1119">
            <v>1.2455000000000001E-2</v>
          </cell>
          <cell r="H1119">
            <v>3.1310677942843608</v>
          </cell>
        </row>
        <row r="1120">
          <cell r="A1120" t="str">
            <v>18-05-050</v>
          </cell>
          <cell r="B1120" t="str">
            <v>46111</v>
          </cell>
          <cell r="C1120" t="str">
            <v>herramienta y equipo menor</v>
          </cell>
          <cell r="D1120" t="str">
            <v>%</v>
          </cell>
          <cell r="E1120">
            <v>251.39042908746373</v>
          </cell>
          <cell r="G1120">
            <v>0.05</v>
          </cell>
          <cell r="H1120">
            <v>12.569521454373188</v>
          </cell>
        </row>
        <row r="1121">
          <cell r="A1121">
            <v>0</v>
          </cell>
          <cell r="C1121" t="str">
            <v>DIRECTO:  2358,0 / M</v>
          </cell>
          <cell r="D1121">
            <v>0</v>
          </cell>
          <cell r="G1121">
            <v>0</v>
          </cell>
          <cell r="H1121">
            <v>0</v>
          </cell>
        </row>
        <row r="1122">
          <cell r="A1122">
            <v>0</v>
          </cell>
          <cell r="C1122">
            <v>0</v>
          </cell>
          <cell r="D1122">
            <v>0</v>
          </cell>
          <cell r="G1122">
            <v>0</v>
          </cell>
          <cell r="H1122">
            <v>0</v>
          </cell>
        </row>
        <row r="1123">
          <cell r="A1123" t="str">
            <v>18-05-060</v>
          </cell>
          <cell r="B1123" t="str">
            <v>18-05-060</v>
          </cell>
          <cell r="C1123" t="str">
            <v>CEBRAS</v>
          </cell>
          <cell r="D1123" t="str">
            <v>M</v>
          </cell>
          <cell r="E1123">
            <v>193.60000000000002</v>
          </cell>
          <cell r="G1123">
            <v>0</v>
          </cell>
          <cell r="H1123">
            <v>175822.52133007694</v>
          </cell>
        </row>
        <row r="1124">
          <cell r="A1124" t="str">
            <v>18-05-060</v>
          </cell>
          <cell r="B1124" t="str">
            <v>12311</v>
          </cell>
          <cell r="C1124" t="str">
            <v>pintura acrilica pura para trafico</v>
          </cell>
          <cell r="D1124" t="str">
            <v>gl</v>
          </cell>
          <cell r="E1124">
            <v>0.34482758620689657</v>
          </cell>
          <cell r="G1124">
            <v>66400.72</v>
          </cell>
          <cell r="H1124">
            <v>22896.800000000003</v>
          </cell>
        </row>
        <row r="1125">
          <cell r="A1125" t="str">
            <v>18-05-060</v>
          </cell>
          <cell r="B1125" t="str">
            <v>12312</v>
          </cell>
          <cell r="C1125" t="str">
            <v>esferas reflectivas</v>
          </cell>
          <cell r="D1125" t="str">
            <v>blt</v>
          </cell>
          <cell r="E1125">
            <v>4.9261083743842367E-2</v>
          </cell>
          <cell r="G1125">
            <v>141299.59999999998</v>
          </cell>
          <cell r="H1125">
            <v>6960.5714285714275</v>
          </cell>
        </row>
        <row r="1126">
          <cell r="A1126" t="str">
            <v>18-05-060</v>
          </cell>
          <cell r="B1126" t="str">
            <v>12313</v>
          </cell>
          <cell r="C1126" t="str">
            <v>xilol disolvente</v>
          </cell>
          <cell r="D1126" t="str">
            <v>gl</v>
          </cell>
          <cell r="E1126">
            <v>6.8965517241379309E-2</v>
          </cell>
          <cell r="G1126">
            <v>25172</v>
          </cell>
          <cell r="H1126">
            <v>1736</v>
          </cell>
        </row>
        <row r="1127">
          <cell r="A1127" t="str">
            <v>18-05-060</v>
          </cell>
          <cell r="B1127" t="str">
            <v>2C112</v>
          </cell>
          <cell r="C1127" t="str">
            <v>mo cuadrilla (1 of + 2 ay)</v>
          </cell>
          <cell r="D1127" t="str">
            <v>d</v>
          </cell>
          <cell r="E1127">
            <v>0.9</v>
          </cell>
          <cell r="G1127">
            <v>150834.25745247822</v>
          </cell>
          <cell r="H1127">
            <v>135750.83170723042</v>
          </cell>
        </row>
        <row r="1128">
          <cell r="A1128" t="str">
            <v>18-05-060</v>
          </cell>
          <cell r="B1128" t="str">
            <v>47111</v>
          </cell>
          <cell r="C1128" t="str">
            <v>elementos de consumo y proteccion</v>
          </cell>
          <cell r="D1128" t="str">
            <v>%</v>
          </cell>
          <cell r="E1128">
            <v>135750.83170723042</v>
          </cell>
          <cell r="G1128">
            <v>1.2455000000000001E-2</v>
          </cell>
          <cell r="H1128">
            <v>1690.776608913555</v>
          </cell>
        </row>
        <row r="1129">
          <cell r="A1129" t="str">
            <v>18-05-060</v>
          </cell>
          <cell r="B1129" t="str">
            <v>46111</v>
          </cell>
          <cell r="C1129" t="str">
            <v>herramienta y equipo menor</v>
          </cell>
          <cell r="D1129" t="str">
            <v>%</v>
          </cell>
          <cell r="E1129">
            <v>135750.83170723042</v>
          </cell>
          <cell r="G1129">
            <v>0.05</v>
          </cell>
          <cell r="H1129">
            <v>6787.5415853615214</v>
          </cell>
        </row>
        <row r="1130">
          <cell r="A1130">
            <v>0</v>
          </cell>
          <cell r="C1130" t="str">
            <v>DIRECTO:  175823,0 / M</v>
          </cell>
          <cell r="D1130">
            <v>0</v>
          </cell>
          <cell r="G1130">
            <v>0</v>
          </cell>
          <cell r="H1130">
            <v>0</v>
          </cell>
        </row>
        <row r="1131">
          <cell r="A1131">
            <v>0</v>
          </cell>
          <cell r="C1131">
            <v>0</v>
          </cell>
          <cell r="D1131">
            <v>0</v>
          </cell>
          <cell r="G1131">
            <v>0</v>
          </cell>
          <cell r="H1131">
            <v>0</v>
          </cell>
        </row>
        <row r="1132">
          <cell r="A1132" t="str">
            <v>18-05-070</v>
          </cell>
          <cell r="B1132" t="str">
            <v>18-05-070</v>
          </cell>
          <cell r="C1132" t="str">
            <v>BERMAS O SOBREANCHOS</v>
          </cell>
          <cell r="D1132" t="str">
            <v>M2</v>
          </cell>
          <cell r="E1132">
            <v>470.8</v>
          </cell>
          <cell r="G1132">
            <v>0</v>
          </cell>
          <cell r="H1132">
            <v>34806.085434486442</v>
          </cell>
        </row>
        <row r="1133">
          <cell r="A1133" t="str">
            <v>18-05-070</v>
          </cell>
          <cell r="B1133" t="str">
            <v>12311</v>
          </cell>
          <cell r="C1133" t="str">
            <v>pintura acrilica pura para trafico</v>
          </cell>
          <cell r="D1133" t="str">
            <v>gl</v>
          </cell>
          <cell r="E1133">
            <v>0.17</v>
          </cell>
          <cell r="G1133">
            <v>66400.72</v>
          </cell>
          <cell r="H1133">
            <v>11288.1224</v>
          </cell>
        </row>
        <row r="1134">
          <cell r="A1134" t="str">
            <v>18-05-070</v>
          </cell>
          <cell r="B1134" t="str">
            <v>12312</v>
          </cell>
          <cell r="C1134" t="str">
            <v>esferas reflectivas</v>
          </cell>
          <cell r="D1134" t="str">
            <v>blt</v>
          </cell>
          <cell r="E1134">
            <v>2.4285714285714289E-2</v>
          </cell>
          <cell r="G1134">
            <v>141299.59999999998</v>
          </cell>
          <cell r="H1134">
            <v>3431.5617142857141</v>
          </cell>
        </row>
        <row r="1135">
          <cell r="A1135" t="str">
            <v>18-05-070</v>
          </cell>
          <cell r="B1135" t="str">
            <v>12313</v>
          </cell>
          <cell r="C1135" t="str">
            <v>xilol disolvente</v>
          </cell>
          <cell r="D1135" t="str">
            <v>gl</v>
          </cell>
          <cell r="E1135">
            <v>3.4000000000000002E-2</v>
          </cell>
          <cell r="G1135">
            <v>25172</v>
          </cell>
          <cell r="H1135">
            <v>855.84800000000007</v>
          </cell>
        </row>
        <row r="1136">
          <cell r="A1136" t="str">
            <v>18-05-070</v>
          </cell>
          <cell r="B1136" t="str">
            <v>2C112</v>
          </cell>
          <cell r="C1136" t="str">
            <v>mo cuadrilla (1 of + 2 ay)</v>
          </cell>
          <cell r="D1136" t="str">
            <v>d</v>
          </cell>
          <cell r="E1136">
            <v>0.12</v>
          </cell>
          <cell r="G1136">
            <v>150834.25745247822</v>
          </cell>
          <cell r="H1136">
            <v>18100.110894297388</v>
          </cell>
        </row>
        <row r="1137">
          <cell r="A1137" t="str">
            <v>18-05-070</v>
          </cell>
          <cell r="B1137" t="str">
            <v>47111</v>
          </cell>
          <cell r="C1137" t="str">
            <v>elementos de consumo y proteccion</v>
          </cell>
          <cell r="D1137" t="str">
            <v>%</v>
          </cell>
          <cell r="E1137">
            <v>18100.110894297388</v>
          </cell>
          <cell r="G1137">
            <v>1.2455000000000001E-2</v>
          </cell>
          <cell r="H1137">
            <v>225.43688118847399</v>
          </cell>
        </row>
        <row r="1138">
          <cell r="A1138" t="str">
            <v>18-05-070</v>
          </cell>
          <cell r="B1138" t="str">
            <v>46111</v>
          </cell>
          <cell r="C1138" t="str">
            <v>herramienta y equipo menor</v>
          </cell>
          <cell r="D1138" t="str">
            <v>%</v>
          </cell>
          <cell r="E1138">
            <v>18100.110894297388</v>
          </cell>
          <cell r="G1138">
            <v>0.05</v>
          </cell>
          <cell r="H1138">
            <v>905.00554471486942</v>
          </cell>
        </row>
        <row r="1139">
          <cell r="A1139">
            <v>0</v>
          </cell>
          <cell r="C1139" t="str">
            <v>DIRECTO:  34807,0 / M2</v>
          </cell>
          <cell r="D1139">
            <v>0</v>
          </cell>
          <cell r="G1139">
            <v>0</v>
          </cell>
          <cell r="H1139">
            <v>0</v>
          </cell>
        </row>
        <row r="1140">
          <cell r="A1140">
            <v>0</v>
          </cell>
          <cell r="C1140">
            <v>0</v>
          </cell>
          <cell r="D1140">
            <v>0</v>
          </cell>
          <cell r="G1140">
            <v>0</v>
          </cell>
          <cell r="H1140">
            <v>0</v>
          </cell>
        </row>
        <row r="1141">
          <cell r="A1141" t="str">
            <v>18-06-010</v>
          </cell>
          <cell r="B1141" t="str">
            <v>18-06-010</v>
          </cell>
          <cell r="C1141" t="str">
            <v>CANALIZACION EN PAVIMENTO</v>
          </cell>
          <cell r="D1141" t="str">
            <v>M</v>
          </cell>
          <cell r="E1141">
            <v>70.400000000000006</v>
          </cell>
          <cell r="G1141">
            <v>0</v>
          </cell>
          <cell r="H1141">
            <v>1602.5461100167277</v>
          </cell>
        </row>
        <row r="1142">
          <cell r="A1142" t="str">
            <v>18-06-010</v>
          </cell>
          <cell r="B1142" t="str">
            <v>2C112</v>
          </cell>
          <cell r="C1142" t="str">
            <v>mo cuadrilla (1 of + 2 ay)</v>
          </cell>
          <cell r="D1142" t="str">
            <v>d</v>
          </cell>
          <cell r="E1142">
            <v>0.01</v>
          </cell>
          <cell r="G1142">
            <v>150834.25745247822</v>
          </cell>
          <cell r="H1142">
            <v>1508.3425745247823</v>
          </cell>
        </row>
        <row r="1143">
          <cell r="A1143" t="str">
            <v>18-06-010</v>
          </cell>
          <cell r="B1143" t="str">
            <v>47111</v>
          </cell>
          <cell r="C1143" t="str">
            <v>elementos de consumo y proteccion</v>
          </cell>
          <cell r="D1143" t="str">
            <v>%</v>
          </cell>
          <cell r="E1143">
            <v>1508.3425745247823</v>
          </cell>
          <cell r="G1143">
            <v>1.2455000000000001E-2</v>
          </cell>
          <cell r="H1143">
            <v>18.786406765706165</v>
          </cell>
        </row>
        <row r="1144">
          <cell r="A1144" t="str">
            <v>18-06-010</v>
          </cell>
          <cell r="B1144" t="str">
            <v>46111</v>
          </cell>
          <cell r="C1144" t="str">
            <v>herramienta y equipo menor</v>
          </cell>
          <cell r="D1144" t="str">
            <v>%</v>
          </cell>
          <cell r="E1144">
            <v>1508.3425745247823</v>
          </cell>
          <cell r="G1144">
            <v>0.05</v>
          </cell>
          <cell r="H1144">
            <v>75.417128726239113</v>
          </cell>
        </row>
        <row r="1145">
          <cell r="A1145">
            <v>0</v>
          </cell>
          <cell r="C1145" t="str">
            <v>DIRECTO:  1603,0 / M</v>
          </cell>
          <cell r="D1145">
            <v>0</v>
          </cell>
          <cell r="G1145">
            <v>0</v>
          </cell>
          <cell r="H1145">
            <v>0</v>
          </cell>
        </row>
        <row r="1146">
          <cell r="A1146">
            <v>0</v>
          </cell>
          <cell r="C1146">
            <v>0</v>
          </cell>
          <cell r="D1146">
            <v>0</v>
          </cell>
          <cell r="G1146">
            <v>0</v>
          </cell>
          <cell r="H1146">
            <v>0</v>
          </cell>
        </row>
        <row r="1147">
          <cell r="A1147" t="str">
            <v>18-06-020</v>
          </cell>
          <cell r="B1147" t="str">
            <v>18-06-020</v>
          </cell>
          <cell r="C1147" t="str">
            <v>CANALIZACION EN ANDEN</v>
          </cell>
          <cell r="D1147" t="str">
            <v>M</v>
          </cell>
          <cell r="E1147">
            <v>55.000000000000007</v>
          </cell>
          <cell r="G1147">
            <v>0</v>
          </cell>
          <cell r="H1147">
            <v>8012.7305500836374</v>
          </cell>
        </row>
        <row r="1148">
          <cell r="A1148" t="str">
            <v>18-06-020</v>
          </cell>
          <cell r="B1148" t="str">
            <v>2C112</v>
          </cell>
          <cell r="C1148" t="str">
            <v>mo cuadrilla (1 of + 2 ay)</v>
          </cell>
          <cell r="D1148" t="str">
            <v>d</v>
          </cell>
          <cell r="E1148">
            <v>0.05</v>
          </cell>
          <cell r="G1148">
            <v>150834.25745247822</v>
          </cell>
          <cell r="H1148">
            <v>7541.7128726239116</v>
          </cell>
        </row>
        <row r="1149">
          <cell r="A1149" t="str">
            <v>18-06-020</v>
          </cell>
          <cell r="B1149" t="str">
            <v>47111</v>
          </cell>
          <cell r="C1149" t="str">
            <v>elementos de consumo y proteccion</v>
          </cell>
          <cell r="D1149" t="str">
            <v>%</v>
          </cell>
          <cell r="E1149">
            <v>7541.7128726239116</v>
          </cell>
          <cell r="G1149">
            <v>1.2455000000000001E-2</v>
          </cell>
          <cell r="H1149">
            <v>93.93203382853082</v>
          </cell>
        </row>
        <row r="1150">
          <cell r="A1150" t="str">
            <v>18-06-020</v>
          </cell>
          <cell r="B1150" t="str">
            <v>46111</v>
          </cell>
          <cell r="C1150" t="str">
            <v>herramienta y equipo menor</v>
          </cell>
          <cell r="D1150" t="str">
            <v>%</v>
          </cell>
          <cell r="E1150">
            <v>7541.7128726239116</v>
          </cell>
          <cell r="G1150">
            <v>0.05</v>
          </cell>
          <cell r="H1150">
            <v>377.08564363119558</v>
          </cell>
        </row>
        <row r="1151">
          <cell r="A1151">
            <v>0</v>
          </cell>
          <cell r="C1151" t="str">
            <v>DIRECTO:  8013,0 / M</v>
          </cell>
          <cell r="D1151">
            <v>0</v>
          </cell>
          <cell r="G1151">
            <v>0</v>
          </cell>
          <cell r="H1151">
            <v>0</v>
          </cell>
        </row>
        <row r="1152">
          <cell r="A1152">
            <v>0</v>
          </cell>
          <cell r="C1152">
            <v>0</v>
          </cell>
          <cell r="D1152">
            <v>0</v>
          </cell>
          <cell r="G1152">
            <v>0</v>
          </cell>
          <cell r="H1152">
            <v>0</v>
          </cell>
        </row>
        <row r="1153">
          <cell r="A1153" t="str">
            <v>18-06-040</v>
          </cell>
          <cell r="B1153" t="str">
            <v>18-06-040</v>
          </cell>
          <cell r="C1153" t="str">
            <v>CAJAS DE INSPECCION DE 50 X 50</v>
          </cell>
          <cell r="D1153" t="str">
            <v>U</v>
          </cell>
          <cell r="E1153">
            <v>11</v>
          </cell>
          <cell r="G1153">
            <v>0</v>
          </cell>
          <cell r="H1153">
            <v>315520</v>
          </cell>
        </row>
        <row r="1154">
          <cell r="A1154" t="str">
            <v>18-06-040</v>
          </cell>
          <cell r="B1154" t="str">
            <v>3SF17</v>
          </cell>
          <cell r="C1154" t="str">
            <v>caja de inspeccion 50x50</v>
          </cell>
          <cell r="D1154" t="str">
            <v>u</v>
          </cell>
          <cell r="E1154">
            <v>1</v>
          </cell>
          <cell r="G1154">
            <v>315520</v>
          </cell>
          <cell r="H1154">
            <v>315520</v>
          </cell>
        </row>
        <row r="1155">
          <cell r="A1155" t="str">
            <v>18-06-040</v>
          </cell>
          <cell r="B1155" t="str">
            <v>47111</v>
          </cell>
          <cell r="C1155" t="str">
            <v>elementos de consumo y proteccion</v>
          </cell>
          <cell r="D1155" t="str">
            <v>%</v>
          </cell>
          <cell r="E1155">
            <v>0</v>
          </cell>
          <cell r="G1155">
            <v>1.2455000000000001E-2</v>
          </cell>
          <cell r="H1155">
            <v>0</v>
          </cell>
        </row>
        <row r="1156">
          <cell r="A1156" t="str">
            <v>18-06-040</v>
          </cell>
          <cell r="B1156" t="str">
            <v>46111</v>
          </cell>
          <cell r="C1156" t="str">
            <v>herramienta y equipo menor</v>
          </cell>
          <cell r="D1156" t="str">
            <v>%</v>
          </cell>
          <cell r="E1156">
            <v>0</v>
          </cell>
          <cell r="G1156">
            <v>0.05</v>
          </cell>
          <cell r="H1156">
            <v>0</v>
          </cell>
        </row>
        <row r="1157">
          <cell r="A1157">
            <v>0</v>
          </cell>
          <cell r="C1157" t="str">
            <v>DIRECTO:  315520,0 / U</v>
          </cell>
          <cell r="D1157">
            <v>0</v>
          </cell>
          <cell r="G1157">
            <v>0</v>
          </cell>
          <cell r="H1157">
            <v>0</v>
          </cell>
        </row>
        <row r="1158">
          <cell r="A1158">
            <v>0</v>
          </cell>
          <cell r="C1158">
            <v>0</v>
          </cell>
          <cell r="D1158">
            <v>0</v>
          </cell>
          <cell r="G1158">
            <v>0</v>
          </cell>
          <cell r="H1158">
            <v>0</v>
          </cell>
        </row>
        <row r="1159">
          <cell r="A1159" t="str">
            <v>18-06-050</v>
          </cell>
          <cell r="B1159" t="str">
            <v>18-06-050</v>
          </cell>
          <cell r="C1159" t="str">
            <v>CAJAS DE INSPECCION DE 60 X 80</v>
          </cell>
          <cell r="D1159" t="str">
            <v>U</v>
          </cell>
          <cell r="E1159">
            <v>9</v>
          </cell>
          <cell r="G1159">
            <v>0</v>
          </cell>
          <cell r="H1159">
            <v>406000</v>
          </cell>
        </row>
        <row r="1160">
          <cell r="A1160" t="str">
            <v>18-06-050</v>
          </cell>
          <cell r="B1160" t="str">
            <v>3SF18</v>
          </cell>
          <cell r="C1160" t="str">
            <v>caja de inspeccion 60x80</v>
          </cell>
          <cell r="D1160" t="str">
            <v>u</v>
          </cell>
          <cell r="E1160">
            <v>1</v>
          </cell>
          <cell r="G1160">
            <v>406000</v>
          </cell>
          <cell r="H1160">
            <v>406000</v>
          </cell>
        </row>
        <row r="1161">
          <cell r="A1161" t="str">
            <v>18-06-050</v>
          </cell>
          <cell r="B1161" t="str">
            <v>47111</v>
          </cell>
          <cell r="C1161" t="str">
            <v>elementos de consumo y proteccion</v>
          </cell>
          <cell r="D1161" t="str">
            <v>%</v>
          </cell>
          <cell r="E1161">
            <v>0</v>
          </cell>
          <cell r="G1161">
            <v>1.2455000000000001E-2</v>
          </cell>
          <cell r="H1161">
            <v>0</v>
          </cell>
        </row>
        <row r="1162">
          <cell r="A1162" t="str">
            <v>18-06-050</v>
          </cell>
          <cell r="B1162" t="str">
            <v>46111</v>
          </cell>
          <cell r="C1162" t="str">
            <v>herramienta y equipo menor</v>
          </cell>
          <cell r="D1162" t="str">
            <v>%</v>
          </cell>
          <cell r="E1162">
            <v>0</v>
          </cell>
          <cell r="G1162">
            <v>0.05</v>
          </cell>
          <cell r="H1162">
            <v>0</v>
          </cell>
        </row>
        <row r="1163">
          <cell r="A1163">
            <v>0</v>
          </cell>
          <cell r="C1163" t="str">
            <v>DIRECTO:  406000,0 / U</v>
          </cell>
          <cell r="D1163">
            <v>0</v>
          </cell>
          <cell r="G1163">
            <v>0</v>
          </cell>
          <cell r="H1163">
            <v>0</v>
          </cell>
        </row>
        <row r="1164">
          <cell r="A1164">
            <v>0</v>
          </cell>
          <cell r="C1164">
            <v>0</v>
          </cell>
          <cell r="D1164">
            <v>0</v>
          </cell>
          <cell r="G1164">
            <v>0</v>
          </cell>
          <cell r="H1164">
            <v>0</v>
          </cell>
        </row>
        <row r="1165">
          <cell r="A1165" t="str">
            <v>18-06-070</v>
          </cell>
          <cell r="B1165" t="str">
            <v>18-06-070</v>
          </cell>
          <cell r="C1165" t="str">
            <v>POSTE RECTOS</v>
          </cell>
          <cell r="D1165" t="str">
            <v>U</v>
          </cell>
          <cell r="E1165">
            <v>20</v>
          </cell>
          <cell r="G1165">
            <v>0</v>
          </cell>
          <cell r="H1165">
            <v>888559.99999999988</v>
          </cell>
        </row>
        <row r="1166">
          <cell r="A1166" t="str">
            <v>18-06-070</v>
          </cell>
          <cell r="B1166" t="str">
            <v>3SF19</v>
          </cell>
          <cell r="C1166" t="str">
            <v>poste recto vehicular</v>
          </cell>
          <cell r="D1166" t="str">
            <v>u</v>
          </cell>
          <cell r="E1166">
            <v>1</v>
          </cell>
          <cell r="G1166">
            <v>888559.99999999988</v>
          </cell>
          <cell r="H1166">
            <v>888559.99999999988</v>
          </cell>
        </row>
        <row r="1167">
          <cell r="A1167" t="str">
            <v>18-06-070</v>
          </cell>
          <cell r="B1167" t="str">
            <v>47111</v>
          </cell>
          <cell r="C1167" t="str">
            <v>elementos de consumo y proteccion</v>
          </cell>
          <cell r="D1167" t="str">
            <v>%</v>
          </cell>
          <cell r="E1167">
            <v>0</v>
          </cell>
          <cell r="G1167">
            <v>1.2455000000000001E-2</v>
          </cell>
          <cell r="H1167">
            <v>0</v>
          </cell>
        </row>
        <row r="1168">
          <cell r="A1168" t="str">
            <v>18-06-070</v>
          </cell>
          <cell r="B1168" t="str">
            <v>46111</v>
          </cell>
          <cell r="C1168" t="str">
            <v>herramienta y equipo menor</v>
          </cell>
          <cell r="D1168" t="str">
            <v>%</v>
          </cell>
          <cell r="E1168">
            <v>0</v>
          </cell>
          <cell r="G1168">
            <v>0.05</v>
          </cell>
          <cell r="H1168">
            <v>0</v>
          </cell>
        </row>
        <row r="1169">
          <cell r="A1169">
            <v>0</v>
          </cell>
          <cell r="C1169" t="str">
            <v>DIRECTO:  888560,0 / U</v>
          </cell>
          <cell r="D1169">
            <v>0</v>
          </cell>
          <cell r="G1169">
            <v>0</v>
          </cell>
          <cell r="H1169">
            <v>0</v>
          </cell>
        </row>
        <row r="1170">
          <cell r="A1170">
            <v>0</v>
          </cell>
          <cell r="C1170">
            <v>0</v>
          </cell>
          <cell r="D1170">
            <v>0</v>
          </cell>
          <cell r="G1170">
            <v>0</v>
          </cell>
          <cell r="H1170">
            <v>0</v>
          </cell>
        </row>
        <row r="1171">
          <cell r="A1171" t="str">
            <v>18-06-080</v>
          </cell>
          <cell r="B1171" t="str">
            <v>18-06-080</v>
          </cell>
          <cell r="C1171" t="str">
            <v>ANCLAJES</v>
          </cell>
          <cell r="D1171" t="str">
            <v>U</v>
          </cell>
          <cell r="E1171">
            <v>20</v>
          </cell>
          <cell r="G1171">
            <v>0</v>
          </cell>
          <cell r="H1171">
            <v>698320</v>
          </cell>
        </row>
        <row r="1172">
          <cell r="A1172" t="str">
            <v>18-06-080</v>
          </cell>
          <cell r="B1172" t="str">
            <v>3SF20</v>
          </cell>
          <cell r="C1172" t="str">
            <v>anclaje para poste semaforo</v>
          </cell>
          <cell r="D1172" t="str">
            <v>u</v>
          </cell>
          <cell r="E1172">
            <v>1</v>
          </cell>
          <cell r="G1172">
            <v>698320</v>
          </cell>
          <cell r="H1172">
            <v>698320</v>
          </cell>
        </row>
        <row r="1173">
          <cell r="A1173" t="str">
            <v>18-06-080</v>
          </cell>
          <cell r="B1173" t="str">
            <v>47111</v>
          </cell>
          <cell r="C1173" t="str">
            <v>elementos de consumo y proteccion</v>
          </cell>
          <cell r="D1173" t="str">
            <v>%</v>
          </cell>
          <cell r="E1173">
            <v>0</v>
          </cell>
          <cell r="G1173">
            <v>1.2455000000000001E-2</v>
          </cell>
          <cell r="H1173">
            <v>0</v>
          </cell>
        </row>
        <row r="1174">
          <cell r="A1174" t="str">
            <v>18-06-080</v>
          </cell>
          <cell r="B1174" t="str">
            <v>46111</v>
          </cell>
          <cell r="C1174" t="str">
            <v>herramienta y equipo menor</v>
          </cell>
          <cell r="D1174" t="str">
            <v>%</v>
          </cell>
          <cell r="E1174">
            <v>0</v>
          </cell>
          <cell r="G1174">
            <v>0.05</v>
          </cell>
          <cell r="H1174">
            <v>0</v>
          </cell>
        </row>
        <row r="1175">
          <cell r="A1175">
            <v>0</v>
          </cell>
          <cell r="C1175" t="str">
            <v>DIRECTO:  698320,0 / U</v>
          </cell>
          <cell r="D1175">
            <v>0</v>
          </cell>
          <cell r="G1175">
            <v>0</v>
          </cell>
          <cell r="H1175">
            <v>0</v>
          </cell>
        </row>
        <row r="1176">
          <cell r="A1176">
            <v>0</v>
          </cell>
          <cell r="C1176">
            <v>0</v>
          </cell>
          <cell r="D1176">
            <v>0</v>
          </cell>
          <cell r="G1176">
            <v>0</v>
          </cell>
          <cell r="H1176">
            <v>0</v>
          </cell>
        </row>
        <row r="1177">
          <cell r="A1177" t="str">
            <v>18-06-090</v>
          </cell>
          <cell r="B1177" t="str">
            <v>18-06-090</v>
          </cell>
          <cell r="C1177" t="str">
            <v>PEDESTAL PARA CONTROLADOR</v>
          </cell>
          <cell r="D1177" t="str">
            <v>U</v>
          </cell>
          <cell r="E1177">
            <v>11</v>
          </cell>
          <cell r="G1177">
            <v>0</v>
          </cell>
          <cell r="H1177">
            <v>506339.99999999994</v>
          </cell>
        </row>
        <row r="1178">
          <cell r="A1178" t="str">
            <v>18-06-090</v>
          </cell>
          <cell r="B1178" t="str">
            <v>3SF21</v>
          </cell>
          <cell r="C1178" t="str">
            <v>pedestal para controlador</v>
          </cell>
          <cell r="D1178" t="str">
            <v>u</v>
          </cell>
          <cell r="E1178">
            <v>1</v>
          </cell>
          <cell r="G1178">
            <v>506339.99999999994</v>
          </cell>
          <cell r="H1178">
            <v>506339.99999999994</v>
          </cell>
        </row>
        <row r="1179">
          <cell r="A1179" t="str">
            <v>18-06-090</v>
          </cell>
          <cell r="B1179" t="str">
            <v>47111</v>
          </cell>
          <cell r="C1179" t="str">
            <v>elementos de consumo y proteccion</v>
          </cell>
          <cell r="D1179" t="str">
            <v>%</v>
          </cell>
          <cell r="E1179">
            <v>0</v>
          </cell>
          <cell r="G1179">
            <v>1.2455000000000001E-2</v>
          </cell>
          <cell r="H1179">
            <v>0</v>
          </cell>
        </row>
        <row r="1180">
          <cell r="A1180" t="str">
            <v>18-06-090</v>
          </cell>
          <cell r="B1180" t="str">
            <v>46111</v>
          </cell>
          <cell r="C1180" t="str">
            <v>herramienta y equipo menor</v>
          </cell>
          <cell r="D1180" t="str">
            <v>%</v>
          </cell>
          <cell r="E1180">
            <v>0</v>
          </cell>
          <cell r="G1180">
            <v>0.05</v>
          </cell>
          <cell r="H1180">
            <v>0</v>
          </cell>
        </row>
        <row r="1181">
          <cell r="A1181">
            <v>0</v>
          </cell>
          <cell r="C1181" t="str">
            <v>DIRECTO:  506340,0 / U</v>
          </cell>
          <cell r="D1181">
            <v>0</v>
          </cell>
          <cell r="G1181">
            <v>0</v>
          </cell>
          <cell r="H1181">
            <v>0</v>
          </cell>
        </row>
        <row r="1182">
          <cell r="A1182">
            <v>0</v>
          </cell>
          <cell r="C1182">
            <v>0</v>
          </cell>
          <cell r="D1182">
            <v>0</v>
          </cell>
          <cell r="G1182">
            <v>0</v>
          </cell>
          <cell r="H1182">
            <v>0</v>
          </cell>
        </row>
        <row r="1183">
          <cell r="A1183" t="str">
            <v>18-06-100</v>
          </cell>
          <cell r="B1183" t="str">
            <v>18-06-100</v>
          </cell>
          <cell r="C1183" t="str">
            <v>SISTEMA DE TIERRA</v>
          </cell>
          <cell r="D1183" t="str">
            <v>U</v>
          </cell>
          <cell r="E1183">
            <v>20</v>
          </cell>
          <cell r="G1183">
            <v>0</v>
          </cell>
          <cell r="H1183">
            <v>199520</v>
          </cell>
        </row>
        <row r="1184">
          <cell r="A1184" t="str">
            <v>18-06-100</v>
          </cell>
          <cell r="B1184" t="str">
            <v>3SF22</v>
          </cell>
          <cell r="C1184" t="str">
            <v>sistema de tierra para semaforos</v>
          </cell>
          <cell r="D1184" t="str">
            <v>u</v>
          </cell>
          <cell r="E1184">
            <v>1</v>
          </cell>
          <cell r="G1184">
            <v>199520</v>
          </cell>
          <cell r="H1184">
            <v>199520</v>
          </cell>
        </row>
        <row r="1185">
          <cell r="A1185" t="str">
            <v>18-06-100</v>
          </cell>
          <cell r="B1185" t="str">
            <v>47111</v>
          </cell>
          <cell r="C1185" t="str">
            <v>elementos de consumo y proteccion</v>
          </cell>
          <cell r="D1185" t="str">
            <v>%</v>
          </cell>
          <cell r="E1185">
            <v>0</v>
          </cell>
          <cell r="G1185">
            <v>1.2455000000000001E-2</v>
          </cell>
          <cell r="H1185">
            <v>0</v>
          </cell>
        </row>
        <row r="1186">
          <cell r="A1186" t="str">
            <v>18-06-100</v>
          </cell>
          <cell r="B1186" t="str">
            <v>46111</v>
          </cell>
          <cell r="C1186" t="str">
            <v>herramienta y equipo menor</v>
          </cell>
          <cell r="D1186" t="str">
            <v>%</v>
          </cell>
          <cell r="E1186">
            <v>0</v>
          </cell>
          <cell r="G1186">
            <v>0.05</v>
          </cell>
          <cell r="H1186">
            <v>0</v>
          </cell>
        </row>
        <row r="1187">
          <cell r="A1187">
            <v>0</v>
          </cell>
          <cell r="C1187" t="str">
            <v>DIRECTO:  199520,0 / U</v>
          </cell>
          <cell r="D1187">
            <v>0</v>
          </cell>
          <cell r="G1187">
            <v>0</v>
          </cell>
          <cell r="H1187">
            <v>0</v>
          </cell>
        </row>
        <row r="1188">
          <cell r="A1188">
            <v>0</v>
          </cell>
          <cell r="C1188">
            <v>0</v>
          </cell>
          <cell r="D1188">
            <v>0</v>
          </cell>
          <cell r="G1188">
            <v>0</v>
          </cell>
          <cell r="H1188">
            <v>0</v>
          </cell>
        </row>
        <row r="1189">
          <cell r="A1189" t="str">
            <v>18-06-110</v>
          </cell>
          <cell r="B1189" t="str">
            <v>18-06-110</v>
          </cell>
          <cell r="C1189" t="str">
            <v>ACOMETIDA ELECTRICA</v>
          </cell>
          <cell r="D1189" t="str">
            <v>U</v>
          </cell>
          <cell r="E1189">
            <v>20</v>
          </cell>
          <cell r="G1189">
            <v>0</v>
          </cell>
          <cell r="H1189">
            <v>348000</v>
          </cell>
        </row>
        <row r="1190">
          <cell r="A1190" t="str">
            <v>18-06-110</v>
          </cell>
          <cell r="B1190" t="str">
            <v>3SF23</v>
          </cell>
          <cell r="C1190" t="str">
            <v>acometida electrica</v>
          </cell>
          <cell r="D1190" t="str">
            <v>m</v>
          </cell>
          <cell r="E1190">
            <v>1</v>
          </cell>
          <cell r="G1190">
            <v>348000</v>
          </cell>
          <cell r="H1190">
            <v>348000</v>
          </cell>
        </row>
        <row r="1191">
          <cell r="A1191" t="str">
            <v>18-06-110</v>
          </cell>
          <cell r="B1191" t="str">
            <v>47111</v>
          </cell>
          <cell r="C1191" t="str">
            <v>elementos de consumo y proteccion</v>
          </cell>
          <cell r="D1191" t="str">
            <v>%</v>
          </cell>
          <cell r="E1191">
            <v>0</v>
          </cell>
          <cell r="G1191">
            <v>1.2455000000000001E-2</v>
          </cell>
          <cell r="H1191">
            <v>0</v>
          </cell>
        </row>
        <row r="1192">
          <cell r="A1192" t="str">
            <v>18-06-110</v>
          </cell>
          <cell r="B1192" t="str">
            <v>46111</v>
          </cell>
          <cell r="C1192" t="str">
            <v>herramienta y equipo menor</v>
          </cell>
          <cell r="D1192" t="str">
            <v>%</v>
          </cell>
          <cell r="E1192">
            <v>0</v>
          </cell>
          <cell r="G1192">
            <v>0.05</v>
          </cell>
          <cell r="H1192">
            <v>0</v>
          </cell>
        </row>
        <row r="1193">
          <cell r="A1193">
            <v>0</v>
          </cell>
          <cell r="C1193" t="str">
            <v>DIRECTO:  348000,0 / U</v>
          </cell>
          <cell r="D1193">
            <v>0</v>
          </cell>
          <cell r="G1193">
            <v>0</v>
          </cell>
          <cell r="H1193">
            <v>0</v>
          </cell>
        </row>
        <row r="1194">
          <cell r="A1194">
            <v>0</v>
          </cell>
          <cell r="C1194">
            <v>0</v>
          </cell>
          <cell r="D1194">
            <v>0</v>
          </cell>
          <cell r="G1194">
            <v>0</v>
          </cell>
          <cell r="H1194">
            <v>0</v>
          </cell>
        </row>
        <row r="1195">
          <cell r="A1195" t="str">
            <v>18-06-120</v>
          </cell>
          <cell r="B1195" t="str">
            <v>18-06-120</v>
          </cell>
          <cell r="C1195" t="str">
            <v>DISCOS DIRECCIONALES</v>
          </cell>
          <cell r="D1195" t="str">
            <v>U</v>
          </cell>
          <cell r="E1195">
            <v>20</v>
          </cell>
          <cell r="G1195">
            <v>0</v>
          </cell>
          <cell r="H1195">
            <v>104400</v>
          </cell>
        </row>
        <row r="1196">
          <cell r="A1196" t="str">
            <v>18-06-120</v>
          </cell>
          <cell r="B1196" t="str">
            <v>3SF24</v>
          </cell>
          <cell r="C1196" t="str">
            <v>discos direccionales</v>
          </cell>
          <cell r="D1196" t="str">
            <v>u</v>
          </cell>
          <cell r="E1196">
            <v>1</v>
          </cell>
          <cell r="G1196">
            <v>104400</v>
          </cell>
          <cell r="H1196">
            <v>104400</v>
          </cell>
        </row>
        <row r="1197">
          <cell r="A1197" t="str">
            <v>18-06-120</v>
          </cell>
          <cell r="B1197" t="str">
            <v>47111</v>
          </cell>
          <cell r="C1197" t="str">
            <v>elementos de consumo y proteccion</v>
          </cell>
          <cell r="D1197" t="str">
            <v>%</v>
          </cell>
          <cell r="E1197">
            <v>0</v>
          </cell>
          <cell r="G1197">
            <v>1.2455000000000001E-2</v>
          </cell>
          <cell r="H1197">
            <v>0</v>
          </cell>
        </row>
        <row r="1198">
          <cell r="A1198" t="str">
            <v>18-06-120</v>
          </cell>
          <cell r="B1198" t="str">
            <v>46111</v>
          </cell>
          <cell r="C1198" t="str">
            <v>herramienta y equipo menor</v>
          </cell>
          <cell r="D1198" t="str">
            <v>%</v>
          </cell>
          <cell r="E1198">
            <v>0</v>
          </cell>
          <cell r="G1198">
            <v>0.05</v>
          </cell>
          <cell r="H1198">
            <v>0</v>
          </cell>
        </row>
        <row r="1199">
          <cell r="A1199">
            <v>0</v>
          </cell>
          <cell r="C1199" t="str">
            <v>DIRECTO:  104400,0 / U</v>
          </cell>
          <cell r="D1199">
            <v>0</v>
          </cell>
          <cell r="G1199">
            <v>0</v>
          </cell>
          <cell r="H1199">
            <v>0</v>
          </cell>
        </row>
        <row r="1200">
          <cell r="A1200">
            <v>0</v>
          </cell>
          <cell r="C1200">
            <v>0</v>
          </cell>
          <cell r="D1200">
            <v>0</v>
          </cell>
          <cell r="G1200">
            <v>0</v>
          </cell>
          <cell r="H1200">
            <v>0</v>
          </cell>
        </row>
        <row r="1201">
          <cell r="A1201" t="str">
            <v>18-06-130</v>
          </cell>
          <cell r="B1201" t="str">
            <v>18-06-130</v>
          </cell>
          <cell r="C1201" t="str">
            <v>CABLE DE CONTROL</v>
          </cell>
          <cell r="D1201" t="str">
            <v>M</v>
          </cell>
          <cell r="E1201">
            <v>70.400000000000006</v>
          </cell>
          <cell r="G1201">
            <v>0</v>
          </cell>
          <cell r="H1201">
            <v>291160</v>
          </cell>
        </row>
        <row r="1202">
          <cell r="A1202" t="str">
            <v>18-06-130</v>
          </cell>
          <cell r="B1202" t="str">
            <v>3SF16</v>
          </cell>
          <cell r="C1202" t="str">
            <v>canalizaciones en pavimento tubo pvc 2"</v>
          </cell>
          <cell r="D1202" t="str">
            <v>m</v>
          </cell>
          <cell r="E1202">
            <v>1</v>
          </cell>
          <cell r="G1202">
            <v>291160</v>
          </cell>
          <cell r="H1202">
            <v>291160</v>
          </cell>
        </row>
        <row r="1203">
          <cell r="A1203" t="str">
            <v>18-06-130</v>
          </cell>
          <cell r="B1203" t="str">
            <v>47111</v>
          </cell>
          <cell r="C1203" t="str">
            <v>elementos de consumo y proteccion</v>
          </cell>
          <cell r="D1203" t="str">
            <v>%</v>
          </cell>
          <cell r="E1203">
            <v>0</v>
          </cell>
          <cell r="G1203">
            <v>1.2455000000000001E-2</v>
          </cell>
          <cell r="H1203">
            <v>0</v>
          </cell>
        </row>
        <row r="1204">
          <cell r="A1204" t="str">
            <v>18-06-130</v>
          </cell>
          <cell r="B1204" t="str">
            <v>46111</v>
          </cell>
          <cell r="C1204" t="str">
            <v>herramienta y equipo menor</v>
          </cell>
          <cell r="D1204" t="str">
            <v>%</v>
          </cell>
          <cell r="E1204">
            <v>0</v>
          </cell>
          <cell r="G1204">
            <v>0.05</v>
          </cell>
          <cell r="H1204">
            <v>0</v>
          </cell>
        </row>
        <row r="1205">
          <cell r="A1205">
            <v>0</v>
          </cell>
          <cell r="C1205" t="str">
            <v>DIRECTO:  291160,0 / M</v>
          </cell>
          <cell r="D1205">
            <v>0</v>
          </cell>
          <cell r="G1205">
            <v>0</v>
          </cell>
          <cell r="H1205">
            <v>0</v>
          </cell>
        </row>
        <row r="1206">
          <cell r="A1206">
            <v>0</v>
          </cell>
          <cell r="C1206">
            <v>0</v>
          </cell>
          <cell r="D1206">
            <v>0</v>
          </cell>
          <cell r="G1206">
            <v>0</v>
          </cell>
          <cell r="H1206">
            <v>0</v>
          </cell>
        </row>
        <row r="1207">
          <cell r="A1207" t="str">
            <v>18-06-140</v>
          </cell>
          <cell r="B1207" t="str">
            <v>18-06-140</v>
          </cell>
          <cell r="C1207" t="str">
            <v>CABLE PULSADOR</v>
          </cell>
          <cell r="D1207" t="str">
            <v>M</v>
          </cell>
          <cell r="E1207">
            <v>55.000000000000007</v>
          </cell>
          <cell r="G1207">
            <v>0</v>
          </cell>
          <cell r="H1207">
            <v>291160</v>
          </cell>
        </row>
        <row r="1208">
          <cell r="A1208" t="str">
            <v>18-06-140</v>
          </cell>
          <cell r="B1208" t="str">
            <v>3SF16</v>
          </cell>
          <cell r="C1208" t="str">
            <v>canalizaciones en pavimento tubo pvc 2"</v>
          </cell>
          <cell r="D1208" t="str">
            <v>m</v>
          </cell>
          <cell r="E1208">
            <v>1</v>
          </cell>
          <cell r="G1208">
            <v>291160</v>
          </cell>
          <cell r="H1208">
            <v>291160</v>
          </cell>
        </row>
        <row r="1209">
          <cell r="A1209" t="str">
            <v>18-06-140</v>
          </cell>
          <cell r="B1209" t="str">
            <v>47111</v>
          </cell>
          <cell r="C1209" t="str">
            <v>elementos de consumo y proteccion</v>
          </cell>
          <cell r="D1209" t="str">
            <v>%</v>
          </cell>
          <cell r="E1209">
            <v>0</v>
          </cell>
          <cell r="G1209">
            <v>1.2455000000000001E-2</v>
          </cell>
          <cell r="H1209">
            <v>0</v>
          </cell>
        </row>
        <row r="1210">
          <cell r="A1210" t="str">
            <v>18-06-140</v>
          </cell>
          <cell r="B1210" t="str">
            <v>46111</v>
          </cell>
          <cell r="C1210" t="str">
            <v>herramienta y equipo menor</v>
          </cell>
          <cell r="D1210" t="str">
            <v>%</v>
          </cell>
          <cell r="E1210">
            <v>0</v>
          </cell>
          <cell r="G1210">
            <v>0.05</v>
          </cell>
          <cell r="H1210">
            <v>0</v>
          </cell>
        </row>
        <row r="1211">
          <cell r="A1211">
            <v>0</v>
          </cell>
          <cell r="C1211" t="str">
            <v>DIRECTO:  291160,0 / M</v>
          </cell>
          <cell r="D1211">
            <v>0</v>
          </cell>
          <cell r="G1211">
            <v>0</v>
          </cell>
          <cell r="H1211">
            <v>0</v>
          </cell>
        </row>
        <row r="1212">
          <cell r="A1212">
            <v>0</v>
          </cell>
          <cell r="C1212">
            <v>0</v>
          </cell>
          <cell r="D1212">
            <v>0</v>
          </cell>
          <cell r="G1212">
            <v>0</v>
          </cell>
          <cell r="H1212">
            <v>0</v>
          </cell>
        </row>
        <row r="1213">
          <cell r="A1213" t="str">
            <v>18-06-160</v>
          </cell>
          <cell r="B1213" t="str">
            <v>18-06-160</v>
          </cell>
          <cell r="C1213" t="str">
            <v>SEMAFOROS VEHICULARES A POSTE</v>
          </cell>
          <cell r="D1213" t="str">
            <v>U</v>
          </cell>
          <cell r="E1213">
            <v>9</v>
          </cell>
          <cell r="G1213">
            <v>0</v>
          </cell>
          <cell r="H1213">
            <v>1683740</v>
          </cell>
        </row>
        <row r="1214">
          <cell r="A1214" t="str">
            <v>18-06-160</v>
          </cell>
          <cell r="B1214" t="str">
            <v>3SF11</v>
          </cell>
          <cell r="C1214" t="str">
            <v>semaforo vehicular a poste</v>
          </cell>
          <cell r="D1214" t="str">
            <v>u</v>
          </cell>
          <cell r="E1214">
            <v>1</v>
          </cell>
          <cell r="G1214">
            <v>1683740</v>
          </cell>
          <cell r="H1214">
            <v>1683740</v>
          </cell>
        </row>
        <row r="1215">
          <cell r="A1215" t="str">
            <v>18-06-160</v>
          </cell>
          <cell r="B1215" t="str">
            <v>47111</v>
          </cell>
          <cell r="C1215" t="str">
            <v>elementos de consumo y proteccion</v>
          </cell>
          <cell r="D1215" t="str">
            <v>%</v>
          </cell>
          <cell r="E1215">
            <v>0</v>
          </cell>
          <cell r="G1215">
            <v>1.2455000000000001E-2</v>
          </cell>
          <cell r="H1215">
            <v>0</v>
          </cell>
        </row>
        <row r="1216">
          <cell r="A1216" t="str">
            <v>18-06-160</v>
          </cell>
          <cell r="B1216" t="str">
            <v>46111</v>
          </cell>
          <cell r="C1216" t="str">
            <v>herramienta y equipo menor</v>
          </cell>
          <cell r="D1216" t="str">
            <v>%</v>
          </cell>
          <cell r="E1216">
            <v>0</v>
          </cell>
          <cell r="G1216">
            <v>0.05</v>
          </cell>
          <cell r="H1216">
            <v>0</v>
          </cell>
        </row>
        <row r="1217">
          <cell r="A1217">
            <v>0</v>
          </cell>
          <cell r="C1217" t="str">
            <v>DIRECTO:  1683740,0 / U</v>
          </cell>
          <cell r="D1217">
            <v>0</v>
          </cell>
          <cell r="G1217">
            <v>0</v>
          </cell>
          <cell r="H1217">
            <v>0</v>
          </cell>
        </row>
        <row r="1218">
          <cell r="A1218">
            <v>0</v>
          </cell>
          <cell r="C1218">
            <v>0</v>
          </cell>
          <cell r="D1218">
            <v>0</v>
          </cell>
          <cell r="G1218">
            <v>0</v>
          </cell>
          <cell r="H1218">
            <v>0</v>
          </cell>
        </row>
        <row r="1219">
          <cell r="A1219" t="str">
            <v>18-06-170</v>
          </cell>
          <cell r="B1219" t="str">
            <v>18-06-170</v>
          </cell>
          <cell r="C1219" t="str">
            <v>SEMAFOROS PEATONALES</v>
          </cell>
          <cell r="D1219" t="str">
            <v>U</v>
          </cell>
          <cell r="E1219">
            <v>11</v>
          </cell>
          <cell r="G1219">
            <v>0</v>
          </cell>
          <cell r="H1219">
            <v>1400120</v>
          </cell>
        </row>
        <row r="1220">
          <cell r="A1220" t="str">
            <v>18-06-170</v>
          </cell>
          <cell r="B1220" t="str">
            <v>3SF13</v>
          </cell>
          <cell r="C1220" t="str">
            <v>semaforo peatonal</v>
          </cell>
          <cell r="D1220" t="str">
            <v>u</v>
          </cell>
          <cell r="E1220">
            <v>1</v>
          </cell>
          <cell r="G1220">
            <v>1400120</v>
          </cell>
          <cell r="H1220">
            <v>1400120</v>
          </cell>
        </row>
        <row r="1221">
          <cell r="A1221" t="str">
            <v>18-06-170</v>
          </cell>
          <cell r="B1221" t="str">
            <v>47111</v>
          </cell>
          <cell r="C1221" t="str">
            <v>elementos de consumo y proteccion</v>
          </cell>
          <cell r="D1221" t="str">
            <v>%</v>
          </cell>
          <cell r="E1221">
            <v>0</v>
          </cell>
          <cell r="G1221">
            <v>1.2455000000000001E-2</v>
          </cell>
          <cell r="H1221">
            <v>0</v>
          </cell>
        </row>
        <row r="1222">
          <cell r="A1222" t="str">
            <v>18-06-170</v>
          </cell>
          <cell r="B1222" t="str">
            <v>46111</v>
          </cell>
          <cell r="C1222" t="str">
            <v>herramienta y equipo menor</v>
          </cell>
          <cell r="D1222" t="str">
            <v>%</v>
          </cell>
          <cell r="E1222">
            <v>0</v>
          </cell>
          <cell r="G1222">
            <v>0.05</v>
          </cell>
          <cell r="H1222">
            <v>0</v>
          </cell>
        </row>
        <row r="1223">
          <cell r="A1223">
            <v>0</v>
          </cell>
          <cell r="C1223" t="str">
            <v>DIRECTO:  1400120,0 / U</v>
          </cell>
          <cell r="D1223">
            <v>0</v>
          </cell>
          <cell r="G1223">
            <v>0</v>
          </cell>
          <cell r="H1223">
            <v>0</v>
          </cell>
        </row>
        <row r="1224">
          <cell r="A1224">
            <v>0</v>
          </cell>
          <cell r="C1224">
            <v>0</v>
          </cell>
          <cell r="D1224">
            <v>0</v>
          </cell>
          <cell r="G1224">
            <v>0</v>
          </cell>
          <cell r="H1224">
            <v>0</v>
          </cell>
        </row>
        <row r="1225">
          <cell r="A1225" t="str">
            <v>18-06-210</v>
          </cell>
          <cell r="B1225" t="str">
            <v>18-06-210</v>
          </cell>
          <cell r="C1225" t="str">
            <v>PLACAS DE CONTRASTE</v>
          </cell>
          <cell r="D1225" t="str">
            <v>U</v>
          </cell>
          <cell r="E1225">
            <v>9</v>
          </cell>
          <cell r="G1225">
            <v>0</v>
          </cell>
          <cell r="H1225">
            <v>218659.99999999997</v>
          </cell>
        </row>
        <row r="1226">
          <cell r="A1226" t="str">
            <v>18-06-210</v>
          </cell>
          <cell r="B1226" t="str">
            <v>3SF25</v>
          </cell>
          <cell r="C1226" t="str">
            <v>sumininstro e instalacion placas de contraste en aluminio para semaforo vehicular de 200 mm</v>
          </cell>
          <cell r="D1226" t="str">
            <v>u</v>
          </cell>
          <cell r="E1226">
            <v>1</v>
          </cell>
          <cell r="G1226">
            <v>218659.99999999997</v>
          </cell>
          <cell r="H1226">
            <v>218659.99999999997</v>
          </cell>
        </row>
        <row r="1227">
          <cell r="A1227" t="str">
            <v>18-06-210</v>
          </cell>
          <cell r="B1227" t="str">
            <v>47111</v>
          </cell>
          <cell r="C1227" t="str">
            <v>elementos de consumo y proteccion</v>
          </cell>
          <cell r="D1227" t="str">
            <v>%</v>
          </cell>
          <cell r="E1227">
            <v>0</v>
          </cell>
          <cell r="G1227">
            <v>1.2455000000000001E-2</v>
          </cell>
          <cell r="H1227">
            <v>0</v>
          </cell>
        </row>
        <row r="1228">
          <cell r="A1228" t="str">
            <v>18-06-210</v>
          </cell>
          <cell r="B1228" t="str">
            <v>46111</v>
          </cell>
          <cell r="C1228" t="str">
            <v>herramienta y equipo menor</v>
          </cell>
          <cell r="D1228" t="str">
            <v>%</v>
          </cell>
          <cell r="E1228">
            <v>0</v>
          </cell>
          <cell r="G1228">
            <v>0.05</v>
          </cell>
          <cell r="H1228">
            <v>0</v>
          </cell>
        </row>
        <row r="1229">
          <cell r="A1229">
            <v>0</v>
          </cell>
          <cell r="C1229" t="str">
            <v>DIRECTO:  218660,0 / U</v>
          </cell>
          <cell r="D1229">
            <v>0</v>
          </cell>
          <cell r="G1229">
            <v>0</v>
          </cell>
          <cell r="H1229">
            <v>0</v>
          </cell>
        </row>
        <row r="1230">
          <cell r="A1230">
            <v>0</v>
          </cell>
          <cell r="C1230">
            <v>0</v>
          </cell>
          <cell r="D1230">
            <v>0</v>
          </cell>
          <cell r="G1230">
            <v>0</v>
          </cell>
          <cell r="H1230">
            <v>0</v>
          </cell>
        </row>
        <row r="1231">
          <cell r="A1231" t="str">
            <v>18-06-230</v>
          </cell>
          <cell r="B1231" t="str">
            <v>18-06-230</v>
          </cell>
          <cell r="C1231" t="str">
            <v>PULSADOR PEATONAL</v>
          </cell>
          <cell r="D1231" t="str">
            <v>U</v>
          </cell>
          <cell r="E1231">
            <v>11</v>
          </cell>
          <cell r="G1231">
            <v>0</v>
          </cell>
          <cell r="H1231">
            <v>106719.99999999999</v>
          </cell>
        </row>
        <row r="1232">
          <cell r="A1232" t="str">
            <v>18-06-230</v>
          </cell>
          <cell r="B1232" t="str">
            <v>3SF26</v>
          </cell>
          <cell r="C1232" t="str">
            <v>canalizaciones en anden tubo pvc 2"</v>
          </cell>
          <cell r="D1232" t="str">
            <v>u</v>
          </cell>
          <cell r="E1232">
            <v>1</v>
          </cell>
          <cell r="G1232">
            <v>106719.99999999999</v>
          </cell>
          <cell r="H1232">
            <v>106719.99999999999</v>
          </cell>
        </row>
        <row r="1233">
          <cell r="A1233" t="str">
            <v>18-06-230</v>
          </cell>
          <cell r="B1233" t="str">
            <v>47111</v>
          </cell>
          <cell r="C1233" t="str">
            <v>elementos de consumo y proteccion</v>
          </cell>
          <cell r="D1233" t="str">
            <v>%</v>
          </cell>
          <cell r="E1233">
            <v>0</v>
          </cell>
          <cell r="G1233">
            <v>1.2455000000000001E-2</v>
          </cell>
          <cell r="H1233">
            <v>0</v>
          </cell>
        </row>
        <row r="1234">
          <cell r="A1234" t="str">
            <v>18-06-230</v>
          </cell>
          <cell r="B1234" t="str">
            <v>46111</v>
          </cell>
          <cell r="C1234" t="str">
            <v>herramienta y equipo menor</v>
          </cell>
          <cell r="D1234" t="str">
            <v>%</v>
          </cell>
          <cell r="E1234">
            <v>0</v>
          </cell>
          <cell r="G1234">
            <v>0.05</v>
          </cell>
          <cell r="H1234">
            <v>0</v>
          </cell>
        </row>
        <row r="1235">
          <cell r="A1235">
            <v>0</v>
          </cell>
          <cell r="C1235" t="str">
            <v>DIRECTO:  106720,0 / U</v>
          </cell>
          <cell r="D1235">
            <v>0</v>
          </cell>
          <cell r="G1235">
            <v>0</v>
          </cell>
          <cell r="H1235">
            <v>0</v>
          </cell>
        </row>
        <row r="1236">
          <cell r="A1236">
            <v>0</v>
          </cell>
          <cell r="C1236">
            <v>0</v>
          </cell>
          <cell r="D1236">
            <v>0</v>
          </cell>
          <cell r="G1236">
            <v>0</v>
          </cell>
          <cell r="H1236">
            <v>0</v>
          </cell>
        </row>
        <row r="1237">
          <cell r="A1237" t="str">
            <v>18-06-260</v>
          </cell>
          <cell r="B1237" t="str">
            <v>18-06-260</v>
          </cell>
          <cell r="C1237" t="str">
            <v>CONTROLADOR LOCAL</v>
          </cell>
          <cell r="D1237" t="str">
            <v>U</v>
          </cell>
          <cell r="E1237">
            <v>3</v>
          </cell>
          <cell r="G1237">
            <v>0</v>
          </cell>
          <cell r="H1237">
            <v>55679999.999999993</v>
          </cell>
        </row>
        <row r="1238">
          <cell r="A1238" t="str">
            <v>18-06-260</v>
          </cell>
          <cell r="B1238" t="str">
            <v>3SF15</v>
          </cell>
          <cell r="C1238" t="str">
            <v xml:space="preserve">suministro controlador local </v>
          </cell>
          <cell r="D1238" t="str">
            <v>u</v>
          </cell>
          <cell r="E1238">
            <v>1</v>
          </cell>
          <cell r="G1238">
            <v>55679999.999999993</v>
          </cell>
          <cell r="H1238">
            <v>55679999.999999993</v>
          </cell>
        </row>
        <row r="1239">
          <cell r="A1239" t="str">
            <v>18-06-260</v>
          </cell>
          <cell r="B1239" t="str">
            <v>47111</v>
          </cell>
          <cell r="C1239" t="str">
            <v>elementos de consumo y proteccion</v>
          </cell>
          <cell r="D1239" t="str">
            <v>%</v>
          </cell>
          <cell r="E1239">
            <v>0</v>
          </cell>
          <cell r="G1239">
            <v>1.2455000000000001E-2</v>
          </cell>
          <cell r="H1239">
            <v>0</v>
          </cell>
        </row>
        <row r="1240">
          <cell r="A1240" t="str">
            <v>18-06-260</v>
          </cell>
          <cell r="B1240" t="str">
            <v>46111</v>
          </cell>
          <cell r="C1240" t="str">
            <v>herramienta y equipo menor</v>
          </cell>
          <cell r="D1240" t="str">
            <v>%</v>
          </cell>
          <cell r="E1240">
            <v>0</v>
          </cell>
          <cell r="G1240">
            <v>0.05</v>
          </cell>
          <cell r="H1240">
            <v>0</v>
          </cell>
        </row>
        <row r="1241">
          <cell r="A1241">
            <v>0</v>
          </cell>
          <cell r="C1241" t="str">
            <v>DIRECTO:  55680000,0 / U</v>
          </cell>
          <cell r="D1241">
            <v>0</v>
          </cell>
          <cell r="G1241">
            <v>0</v>
          </cell>
          <cell r="H1241">
            <v>0</v>
          </cell>
        </row>
        <row r="1242">
          <cell r="A1242">
            <v>0</v>
          </cell>
          <cell r="C1242">
            <v>0</v>
          </cell>
          <cell r="D1242">
            <v>0</v>
          </cell>
          <cell r="G1242">
            <v>0</v>
          </cell>
          <cell r="H1242">
            <v>0</v>
          </cell>
        </row>
        <row r="1243">
          <cell r="A1243">
            <v>0</v>
          </cell>
          <cell r="C1243">
            <v>0</v>
          </cell>
          <cell r="D1243">
            <v>0</v>
          </cell>
          <cell r="G1243">
            <v>0</v>
          </cell>
          <cell r="H1243">
            <v>0</v>
          </cell>
        </row>
      </sheetData>
      <sheetData sheetId="5"/>
      <sheetData sheetId="6"/>
      <sheetData sheetId="7"/>
      <sheetData sheetId="8"/>
      <sheetData sheetId="9"/>
      <sheetData sheetId="10"/>
      <sheetData sheetId="11"/>
      <sheetData sheetId="12"/>
      <sheetData sheetId="13"/>
      <sheetData sheetId="14"/>
      <sheetData sheetId="15">
        <row r="14">
          <cell r="N14">
            <v>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14">
          <cell r="N14">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4">
          <cell r="N14">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14">
          <cell r="N14">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4">
          <cell r="N14">
            <v>0</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14">
          <cell r="N14">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14">
          <cell r="N14">
            <v>0</v>
          </cell>
        </row>
      </sheetData>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4">
          <cell r="N14">
            <v>0</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4">
          <cell r="N14">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14">
          <cell r="N14">
            <v>0</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14">
          <cell r="N14">
            <v>0</v>
          </cell>
        </row>
      </sheetData>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14">
          <cell r="N14">
            <v>0</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ow r="14">
          <cell r="N14">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ow r="14">
          <cell r="N14">
            <v>0</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ow r="14">
          <cell r="N14">
            <v>0</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Base_de_Diseño"/>
      <sheetName val="cotas_"/>
      <sheetName val="Base_de_Diseño1"/>
      <sheetName val="cotas_1"/>
      <sheetName val="Base_de_Diseño2"/>
      <sheetName val="cotas_2"/>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 sheetId="3">
        <row r="1">
          <cell r="A1" t="str">
            <v>Name</v>
          </cell>
        </row>
      </sheetData>
      <sheetData sheetId="4"/>
      <sheetData sheetId="5">
        <row r="1">
          <cell r="A1" t="str">
            <v>Name</v>
          </cell>
        </row>
      </sheetData>
      <sheetData sheetId="6"/>
      <sheetData sheetId="7">
        <row r="1">
          <cell r="A1" t="str">
            <v>Name</v>
          </cell>
        </row>
      </sheetData>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Equipos"/>
      <sheetName val="Seguimiento"/>
      <sheetName val="Resumen metas"/>
      <sheetName val="Brecha EPM"/>
    </sheetNames>
    <sheetDataSet>
      <sheetData sheetId="0"/>
      <sheetData sheetId="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 sheetId="21">
        <row r="12">
          <cell r="A12" t="str">
            <v>Dirección proyectos aguas, Saneamiento, Gas y locativos 2 (PL 2)</v>
          </cell>
        </row>
      </sheetData>
      <sheetData sheetId="22"/>
      <sheetData sheetId="2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OFICIAL "/>
      <sheetName val="PO OFICIAL CORREGIDO"/>
      <sheetName val="PARETO"/>
      <sheetName val="PRESUPUESTO A PRESENTAR"/>
      <sheetName val="PRESUPUESTO ADENDA 4"/>
      <sheetName val="AIU"/>
      <sheetName val="PARETO PO ADENDA 4"/>
      <sheetName val="INSUMOS"/>
      <sheetName val="18-02-920"/>
      <sheetName val="18-02-930"/>
      <sheetName val="05-01-010"/>
      <sheetName val="03-01-300"/>
      <sheetName val="04-04-010"/>
      <sheetName val="03-01-210"/>
      <sheetName val="04-01-10"/>
      <sheetName val="18-02-910"/>
      <sheetName val="05-01-050"/>
      <sheetName val="04-05-015"/>
      <sheetName val="02-02-030"/>
      <sheetName val="04-05-090 (SECCIONES)"/>
      <sheetName val="11-03-010"/>
      <sheetName val="03-02-015"/>
      <sheetName val="18-01-020"/>
      <sheetName val="03-02-010"/>
      <sheetName val="18-02-940"/>
      <sheetName val="18-01-050"/>
      <sheetName val="04-05-160"/>
      <sheetName val="04-04-005"/>
      <sheetName val="18-01-030"/>
      <sheetName val="04-02-005"/>
      <sheetName val="04-05-085(SECCIONES)"/>
      <sheetName val="03-01-400"/>
      <sheetName val="11-03-020"/>
      <sheetName val="04-02-010"/>
      <sheetName val="14-04-020"/>
      <sheetName val="04-05-120 (SECCIONES)"/>
      <sheetName val="02-02-020"/>
      <sheetName val="04-05-130"/>
      <sheetName val="04-05-100"/>
      <sheetName val="14-02-020"/>
      <sheetName val="18-01-040"/>
      <sheetName val="14-11-040"/>
      <sheetName val="14-12-020"/>
      <sheetName val="Cotizador"/>
      <sheetName val="Page1"/>
      <sheetName val="PO_OFICIAL_1"/>
      <sheetName val="PO_OFICIAL_CORREGIDO1"/>
      <sheetName val="PRESUPUESTO_A_PRESENTAR1"/>
      <sheetName val="PRESUPUESTO_ADENDA_41"/>
      <sheetName val="PARETO_PO_ADENDA_41"/>
      <sheetName val="04-05-090_(SECCIONES)1"/>
      <sheetName val="04-05-120_(SECCIONES)1"/>
      <sheetName val="PO_OFICIAL_"/>
      <sheetName val="PO_OFICIAL_CORREGIDO"/>
      <sheetName val="PRESUPUESTO_A_PRESENTAR"/>
      <sheetName val="PRESUPUESTO_ADENDA_4"/>
      <sheetName val="PARETO_PO_ADENDA_4"/>
      <sheetName val="04-05-090_(SECCIONES)"/>
      <sheetName val="04-05-120_(SECCIONES)"/>
      <sheetName val="PO_OFICIAL_2"/>
      <sheetName val="PO_OFICIAL_CORREGIDO2"/>
      <sheetName val="PRESUPUESTO_A_PRESENTAR2"/>
      <sheetName val="PRESUPUESTO_ADENDA_42"/>
      <sheetName val="PARETO_PO_ADENDA_42"/>
      <sheetName val="04-05-090_(SECCIONES)2"/>
      <sheetName val="04-05-120_(SECCIONES)2"/>
      <sheetName val="PO_OFICIAL_3"/>
      <sheetName val="PO_OFICIAL_CORREGIDO3"/>
      <sheetName val="PRESUPUESTO_A_PRESENTAR3"/>
      <sheetName val="PRESUPUESTO_ADENDA_43"/>
      <sheetName val="PARETO_PO_ADENDA_43"/>
      <sheetName val="04-05-090_(SECCIONES)3"/>
      <sheetName val="04-05-120_(SECCIONES)3"/>
      <sheetName val="PO_OFICIAL_4"/>
      <sheetName val="PO_OFICIAL_CORREGIDO4"/>
      <sheetName val="PRESUPUESTO_A_PRESENTAR4"/>
      <sheetName val="PRESUPUESTO_ADENDA_44"/>
      <sheetName val="PARETO_PO_ADENDA_44"/>
      <sheetName val="04-05-090_(SECCIONES)4"/>
      <sheetName val="04-05-120_(SECCIONES)4"/>
      <sheetName val="PO_OFICIAL_5"/>
      <sheetName val="PO_OFICIAL_CORREGIDO5"/>
      <sheetName val="PRESUPUESTO_A_PRESENTAR5"/>
      <sheetName val="PRESUPUESTO_ADENDA_45"/>
      <sheetName val="PARETO_PO_ADENDA_45"/>
      <sheetName val="04-05-090_(SECCIONES)5"/>
      <sheetName val="04-05-120_(SECCIONES)5"/>
      <sheetName val="PRESUPUESTO"/>
      <sheetName val="APUS"/>
      <sheetName val="GASTOS GENERALES"/>
      <sheetName val="TENOR DE MATERIALES"/>
      <sheetName val="MEMORIAS DE CANTIDADES"/>
      <sheetName val="CALCULO PRESTACIONES Y SALA "/>
      <sheetName val="CRONOGRAMA"/>
      <sheetName val="FLUJO DE CAJA"/>
      <sheetName val="1 RIESGOS"/>
      <sheetName val="2 POLITICA"/>
      <sheetName val="3 ECONOMICO"/>
      <sheetName val="3.1 CALCULO ECONOMICO"/>
      <sheetName val="INDICES CAMACOL"/>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PLAN DE MANEJO DE TRANSITO"/>
      <sheetName val="7.3 BIOSEGURIDAD COVID-19"/>
      <sheetName val="Memorias de calculo"/>
      <sheetName val="RESUMEN"/>
      <sheetName val="CALCULO PRESTACIONES Y SALARIOS"/>
    </sheetNames>
    <sheetDataSet>
      <sheetData sheetId="0"/>
      <sheetData sheetId="1"/>
      <sheetData sheetId="2"/>
      <sheetData sheetId="3"/>
      <sheetData sheetId="4">
        <row r="1">
          <cell r="I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sheetData sheetId="46"/>
      <sheetData sheetId="47"/>
      <sheetData sheetId="48">
        <row r="1">
          <cell r="I1">
            <v>0</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1">
          <cell r="I1">
            <v>0</v>
          </cell>
        </row>
      </sheetData>
      <sheetData sheetId="63"/>
      <sheetData sheetId="64"/>
      <sheetData sheetId="65"/>
      <sheetData sheetId="66"/>
      <sheetData sheetId="67"/>
      <sheetData sheetId="68"/>
      <sheetData sheetId="69">
        <row r="1">
          <cell r="I1">
            <v>0</v>
          </cell>
        </row>
      </sheetData>
      <sheetData sheetId="70"/>
      <sheetData sheetId="71"/>
      <sheetData sheetId="72"/>
      <sheetData sheetId="73"/>
      <sheetData sheetId="74"/>
      <sheetData sheetId="75"/>
      <sheetData sheetId="76">
        <row r="1">
          <cell r="I1">
            <v>0</v>
          </cell>
        </row>
      </sheetData>
      <sheetData sheetId="77"/>
      <sheetData sheetId="78"/>
      <sheetData sheetId="79"/>
      <sheetData sheetId="80"/>
      <sheetData sheetId="81"/>
      <sheetData sheetId="82"/>
      <sheetData sheetId="83">
        <row r="1">
          <cell r="I1">
            <v>0</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RONOGRAMA"/>
      <sheetName val="ARU DEFINITIVO"/>
      <sheetName val="CALCULO PRESTACIONES Y SALA "/>
      <sheetName val="FLUJO DE CAJA"/>
      <sheetName val="RIESGOS"/>
      <sheetName val="2 POLITICA"/>
      <sheetName val="3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PLAN DE MANEJO DE TRANSITO"/>
      <sheetName val="7.3 BIOSEGURIDAD COVID-19"/>
      <sheetName val="INDICES CAMACOL"/>
      <sheetName val="Base Indices Camacol"/>
      <sheetName val="Memorias de calculo"/>
      <sheetName val="RESUMEN"/>
      <sheetName val="CALCULO PRESTACIONES Y SALARIOS"/>
    </sheetNames>
    <sheetDataSet>
      <sheetData sheetId="0"/>
      <sheetData sheetId="1"/>
      <sheetData sheetId="2">
        <row r="77">
          <cell r="G77" t="e">
            <v>#DIV/0!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2:H33"/>
  <sheetViews>
    <sheetView tabSelected="1" view="pageBreakPreview" topLeftCell="A12" zoomScale="130" zoomScaleNormal="130" zoomScaleSheetLayoutView="130" workbookViewId="0">
      <selection activeCell="F14" sqref="F14"/>
    </sheetView>
  </sheetViews>
  <sheetFormatPr baseColWidth="10" defaultColWidth="68" defaultRowHeight="12.75" x14ac:dyDescent="0.2"/>
  <cols>
    <col min="1" max="1" width="15" style="658" customWidth="1" collapsed="1"/>
    <col min="2" max="2" width="39.42578125" style="658" customWidth="1" collapsed="1"/>
    <col min="3" max="4" width="12.7109375" style="658" customWidth="1" collapsed="1"/>
    <col min="5" max="5" width="12.7109375" style="659" customWidth="1" collapsed="1"/>
    <col min="6" max="6" width="20.7109375" style="660" customWidth="1" collapsed="1"/>
    <col min="7" max="7" width="31.28515625" style="661" customWidth="1" collapsed="1"/>
    <col min="8" max="8" width="19.85546875" style="658" customWidth="1" collapsed="1"/>
    <col min="9" max="9" width="20.85546875" style="658" customWidth="1" collapsed="1"/>
    <col min="10" max="240" width="68" style="658" collapsed="1"/>
    <col min="241" max="241" width="5.28515625" style="658" customWidth="1" collapsed="1"/>
    <col min="242" max="242" width="28" style="658" customWidth="1" collapsed="1"/>
    <col min="243" max="243" width="21.42578125" style="658" customWidth="1" collapsed="1"/>
    <col min="244" max="244" width="3.28515625" style="658" bestFit="1" customWidth="1" collapsed="1"/>
    <col min="245" max="245" width="5.140625" style="658" bestFit="1" customWidth="1" collapsed="1"/>
    <col min="246" max="246" width="10.42578125" style="658" customWidth="1" collapsed="1"/>
    <col min="247" max="247" width="12" style="658" bestFit="1" customWidth="1" collapsed="1"/>
    <col min="248" max="496" width="68" style="658" collapsed="1"/>
    <col min="497" max="497" width="5.28515625" style="658" customWidth="1" collapsed="1"/>
    <col min="498" max="498" width="28" style="658" customWidth="1" collapsed="1"/>
    <col min="499" max="499" width="21.42578125" style="658" customWidth="1" collapsed="1"/>
    <col min="500" max="500" width="3.28515625" style="658" bestFit="1" customWidth="1" collapsed="1"/>
    <col min="501" max="501" width="5.140625" style="658" bestFit="1" customWidth="1" collapsed="1"/>
    <col min="502" max="502" width="10.42578125" style="658" customWidth="1" collapsed="1"/>
    <col min="503" max="503" width="12" style="658" bestFit="1" customWidth="1" collapsed="1"/>
    <col min="504" max="752" width="68" style="658" collapsed="1"/>
    <col min="753" max="753" width="5.28515625" style="658" customWidth="1" collapsed="1"/>
    <col min="754" max="754" width="28" style="658" customWidth="1" collapsed="1"/>
    <col min="755" max="755" width="21.42578125" style="658" customWidth="1" collapsed="1"/>
    <col min="756" max="756" width="3.28515625" style="658" bestFit="1" customWidth="1" collapsed="1"/>
    <col min="757" max="757" width="5.140625" style="658" bestFit="1" customWidth="1" collapsed="1"/>
    <col min="758" max="758" width="10.42578125" style="658" customWidth="1" collapsed="1"/>
    <col min="759" max="759" width="12" style="658" bestFit="1" customWidth="1" collapsed="1"/>
    <col min="760" max="1008" width="68" style="658" collapsed="1"/>
    <col min="1009" max="1009" width="5.28515625" style="658" customWidth="1" collapsed="1"/>
    <col min="1010" max="1010" width="28" style="658" customWidth="1" collapsed="1"/>
    <col min="1011" max="1011" width="21.42578125" style="658" customWidth="1" collapsed="1"/>
    <col min="1012" max="1012" width="3.28515625" style="658" bestFit="1" customWidth="1" collapsed="1"/>
    <col min="1013" max="1013" width="5.140625" style="658" bestFit="1" customWidth="1" collapsed="1"/>
    <col min="1014" max="1014" width="10.42578125" style="658" customWidth="1" collapsed="1"/>
    <col min="1015" max="1015" width="12" style="658" bestFit="1" customWidth="1" collapsed="1"/>
    <col min="1016" max="1264" width="68" style="658" collapsed="1"/>
    <col min="1265" max="1265" width="5.28515625" style="658" customWidth="1" collapsed="1"/>
    <col min="1266" max="1266" width="28" style="658" customWidth="1" collapsed="1"/>
    <col min="1267" max="1267" width="21.42578125" style="658" customWidth="1" collapsed="1"/>
    <col min="1268" max="1268" width="3.28515625" style="658" bestFit="1" customWidth="1" collapsed="1"/>
    <col min="1269" max="1269" width="5.140625" style="658" bestFit="1" customWidth="1" collapsed="1"/>
    <col min="1270" max="1270" width="10.42578125" style="658" customWidth="1" collapsed="1"/>
    <col min="1271" max="1271" width="12" style="658" bestFit="1" customWidth="1" collapsed="1"/>
    <col min="1272" max="1520" width="68" style="658" collapsed="1"/>
    <col min="1521" max="1521" width="5.28515625" style="658" customWidth="1" collapsed="1"/>
    <col min="1522" max="1522" width="28" style="658" customWidth="1" collapsed="1"/>
    <col min="1523" max="1523" width="21.42578125" style="658" customWidth="1" collapsed="1"/>
    <col min="1524" max="1524" width="3.28515625" style="658" bestFit="1" customWidth="1" collapsed="1"/>
    <col min="1525" max="1525" width="5.140625" style="658" bestFit="1" customWidth="1" collapsed="1"/>
    <col min="1526" max="1526" width="10.42578125" style="658" customWidth="1" collapsed="1"/>
    <col min="1527" max="1527" width="12" style="658" bestFit="1" customWidth="1" collapsed="1"/>
    <col min="1528" max="1776" width="68" style="658" collapsed="1"/>
    <col min="1777" max="1777" width="5.28515625" style="658" customWidth="1" collapsed="1"/>
    <col min="1778" max="1778" width="28" style="658" customWidth="1" collapsed="1"/>
    <col min="1779" max="1779" width="21.42578125" style="658" customWidth="1" collapsed="1"/>
    <col min="1780" max="1780" width="3.28515625" style="658" bestFit="1" customWidth="1" collapsed="1"/>
    <col min="1781" max="1781" width="5.140625" style="658" bestFit="1" customWidth="1" collapsed="1"/>
    <col min="1782" max="1782" width="10.42578125" style="658" customWidth="1" collapsed="1"/>
    <col min="1783" max="1783" width="12" style="658" bestFit="1" customWidth="1" collapsed="1"/>
    <col min="1784" max="2032" width="68" style="658" collapsed="1"/>
    <col min="2033" max="2033" width="5.28515625" style="658" customWidth="1" collapsed="1"/>
    <col min="2034" max="2034" width="28" style="658" customWidth="1" collapsed="1"/>
    <col min="2035" max="2035" width="21.42578125" style="658" customWidth="1" collapsed="1"/>
    <col min="2036" max="2036" width="3.28515625" style="658" bestFit="1" customWidth="1" collapsed="1"/>
    <col min="2037" max="2037" width="5.140625" style="658" bestFit="1" customWidth="1" collapsed="1"/>
    <col min="2038" max="2038" width="10.42578125" style="658" customWidth="1" collapsed="1"/>
    <col min="2039" max="2039" width="12" style="658" bestFit="1" customWidth="1" collapsed="1"/>
    <col min="2040" max="2288" width="68" style="658" collapsed="1"/>
    <col min="2289" max="2289" width="5.28515625" style="658" customWidth="1" collapsed="1"/>
    <col min="2290" max="2290" width="28" style="658" customWidth="1" collapsed="1"/>
    <col min="2291" max="2291" width="21.42578125" style="658" customWidth="1" collapsed="1"/>
    <col min="2292" max="2292" width="3.28515625" style="658" bestFit="1" customWidth="1" collapsed="1"/>
    <col min="2293" max="2293" width="5.140625" style="658" bestFit="1" customWidth="1" collapsed="1"/>
    <col min="2294" max="2294" width="10.42578125" style="658" customWidth="1" collapsed="1"/>
    <col min="2295" max="2295" width="12" style="658" bestFit="1" customWidth="1" collapsed="1"/>
    <col min="2296" max="2544" width="68" style="658" collapsed="1"/>
    <col min="2545" max="2545" width="5.28515625" style="658" customWidth="1" collapsed="1"/>
    <col min="2546" max="2546" width="28" style="658" customWidth="1" collapsed="1"/>
    <col min="2547" max="2547" width="21.42578125" style="658" customWidth="1" collapsed="1"/>
    <col min="2548" max="2548" width="3.28515625" style="658" bestFit="1" customWidth="1" collapsed="1"/>
    <col min="2549" max="2549" width="5.140625" style="658" bestFit="1" customWidth="1" collapsed="1"/>
    <col min="2550" max="2550" width="10.42578125" style="658" customWidth="1" collapsed="1"/>
    <col min="2551" max="2551" width="12" style="658" bestFit="1" customWidth="1" collapsed="1"/>
    <col min="2552" max="2800" width="68" style="658" collapsed="1"/>
    <col min="2801" max="2801" width="5.28515625" style="658" customWidth="1" collapsed="1"/>
    <col min="2802" max="2802" width="28" style="658" customWidth="1" collapsed="1"/>
    <col min="2803" max="2803" width="21.42578125" style="658" customWidth="1" collapsed="1"/>
    <col min="2804" max="2804" width="3.28515625" style="658" bestFit="1" customWidth="1" collapsed="1"/>
    <col min="2805" max="2805" width="5.140625" style="658" bestFit="1" customWidth="1" collapsed="1"/>
    <col min="2806" max="2806" width="10.42578125" style="658" customWidth="1" collapsed="1"/>
    <col min="2807" max="2807" width="12" style="658" bestFit="1" customWidth="1" collapsed="1"/>
    <col min="2808" max="3056" width="68" style="658" collapsed="1"/>
    <col min="3057" max="3057" width="5.28515625" style="658" customWidth="1" collapsed="1"/>
    <col min="3058" max="3058" width="28" style="658" customWidth="1" collapsed="1"/>
    <col min="3059" max="3059" width="21.42578125" style="658" customWidth="1" collapsed="1"/>
    <col min="3060" max="3060" width="3.28515625" style="658" bestFit="1" customWidth="1" collapsed="1"/>
    <col min="3061" max="3061" width="5.140625" style="658" bestFit="1" customWidth="1" collapsed="1"/>
    <col min="3062" max="3062" width="10.42578125" style="658" customWidth="1" collapsed="1"/>
    <col min="3063" max="3063" width="12" style="658" bestFit="1" customWidth="1" collapsed="1"/>
    <col min="3064" max="3312" width="68" style="658" collapsed="1"/>
    <col min="3313" max="3313" width="5.28515625" style="658" customWidth="1" collapsed="1"/>
    <col min="3314" max="3314" width="28" style="658" customWidth="1" collapsed="1"/>
    <col min="3315" max="3315" width="21.42578125" style="658" customWidth="1" collapsed="1"/>
    <col min="3316" max="3316" width="3.28515625" style="658" bestFit="1" customWidth="1" collapsed="1"/>
    <col min="3317" max="3317" width="5.140625" style="658" bestFit="1" customWidth="1" collapsed="1"/>
    <col min="3318" max="3318" width="10.42578125" style="658" customWidth="1" collapsed="1"/>
    <col min="3319" max="3319" width="12" style="658" bestFit="1" customWidth="1" collapsed="1"/>
    <col min="3320" max="3568" width="68" style="658" collapsed="1"/>
    <col min="3569" max="3569" width="5.28515625" style="658" customWidth="1" collapsed="1"/>
    <col min="3570" max="3570" width="28" style="658" customWidth="1" collapsed="1"/>
    <col min="3571" max="3571" width="21.42578125" style="658" customWidth="1" collapsed="1"/>
    <col min="3572" max="3572" width="3.28515625" style="658" bestFit="1" customWidth="1" collapsed="1"/>
    <col min="3573" max="3573" width="5.140625" style="658" bestFit="1" customWidth="1" collapsed="1"/>
    <col min="3574" max="3574" width="10.42578125" style="658" customWidth="1" collapsed="1"/>
    <col min="3575" max="3575" width="12" style="658" bestFit="1" customWidth="1" collapsed="1"/>
    <col min="3576" max="3824" width="68" style="658" collapsed="1"/>
    <col min="3825" max="3825" width="5.28515625" style="658" customWidth="1" collapsed="1"/>
    <col min="3826" max="3826" width="28" style="658" customWidth="1" collapsed="1"/>
    <col min="3827" max="3827" width="21.42578125" style="658" customWidth="1" collapsed="1"/>
    <col min="3828" max="3828" width="3.28515625" style="658" bestFit="1" customWidth="1" collapsed="1"/>
    <col min="3829" max="3829" width="5.140625" style="658" bestFit="1" customWidth="1" collapsed="1"/>
    <col min="3830" max="3830" width="10.42578125" style="658" customWidth="1" collapsed="1"/>
    <col min="3831" max="3831" width="12" style="658" bestFit="1" customWidth="1" collapsed="1"/>
    <col min="3832" max="4080" width="68" style="658" collapsed="1"/>
    <col min="4081" max="4081" width="5.28515625" style="658" customWidth="1" collapsed="1"/>
    <col min="4082" max="4082" width="28" style="658" customWidth="1" collapsed="1"/>
    <col min="4083" max="4083" width="21.42578125" style="658" customWidth="1" collapsed="1"/>
    <col min="4084" max="4084" width="3.28515625" style="658" bestFit="1" customWidth="1" collapsed="1"/>
    <col min="4085" max="4085" width="5.140625" style="658" bestFit="1" customWidth="1" collapsed="1"/>
    <col min="4086" max="4086" width="10.42578125" style="658" customWidth="1" collapsed="1"/>
    <col min="4087" max="4087" width="12" style="658" bestFit="1" customWidth="1" collapsed="1"/>
    <col min="4088" max="4336" width="68" style="658" collapsed="1"/>
    <col min="4337" max="4337" width="5.28515625" style="658" customWidth="1" collapsed="1"/>
    <col min="4338" max="4338" width="28" style="658" customWidth="1" collapsed="1"/>
    <col min="4339" max="4339" width="21.42578125" style="658" customWidth="1" collapsed="1"/>
    <col min="4340" max="4340" width="3.28515625" style="658" bestFit="1" customWidth="1" collapsed="1"/>
    <col min="4341" max="4341" width="5.140625" style="658" bestFit="1" customWidth="1" collapsed="1"/>
    <col min="4342" max="4342" width="10.42578125" style="658" customWidth="1" collapsed="1"/>
    <col min="4343" max="4343" width="12" style="658" bestFit="1" customWidth="1" collapsed="1"/>
    <col min="4344" max="4592" width="68" style="658" collapsed="1"/>
    <col min="4593" max="4593" width="5.28515625" style="658" customWidth="1" collapsed="1"/>
    <col min="4594" max="4594" width="28" style="658" customWidth="1" collapsed="1"/>
    <col min="4595" max="4595" width="21.42578125" style="658" customWidth="1" collapsed="1"/>
    <col min="4596" max="4596" width="3.28515625" style="658" bestFit="1" customWidth="1" collapsed="1"/>
    <col min="4597" max="4597" width="5.140625" style="658" bestFit="1" customWidth="1" collapsed="1"/>
    <col min="4598" max="4598" width="10.42578125" style="658" customWidth="1" collapsed="1"/>
    <col min="4599" max="4599" width="12" style="658" bestFit="1" customWidth="1" collapsed="1"/>
    <col min="4600" max="4848" width="68" style="658" collapsed="1"/>
    <col min="4849" max="4849" width="5.28515625" style="658" customWidth="1" collapsed="1"/>
    <col min="4850" max="4850" width="28" style="658" customWidth="1" collapsed="1"/>
    <col min="4851" max="4851" width="21.42578125" style="658" customWidth="1" collapsed="1"/>
    <col min="4852" max="4852" width="3.28515625" style="658" bestFit="1" customWidth="1" collapsed="1"/>
    <col min="4853" max="4853" width="5.140625" style="658" bestFit="1" customWidth="1" collapsed="1"/>
    <col min="4854" max="4854" width="10.42578125" style="658" customWidth="1" collapsed="1"/>
    <col min="4855" max="4855" width="12" style="658" bestFit="1" customWidth="1" collapsed="1"/>
    <col min="4856" max="5104" width="68" style="658" collapsed="1"/>
    <col min="5105" max="5105" width="5.28515625" style="658" customWidth="1" collapsed="1"/>
    <col min="5106" max="5106" width="28" style="658" customWidth="1" collapsed="1"/>
    <col min="5107" max="5107" width="21.42578125" style="658" customWidth="1" collapsed="1"/>
    <col min="5108" max="5108" width="3.28515625" style="658" bestFit="1" customWidth="1" collapsed="1"/>
    <col min="5109" max="5109" width="5.140625" style="658" bestFit="1" customWidth="1" collapsed="1"/>
    <col min="5110" max="5110" width="10.42578125" style="658" customWidth="1" collapsed="1"/>
    <col min="5111" max="5111" width="12" style="658" bestFit="1" customWidth="1" collapsed="1"/>
    <col min="5112" max="5360" width="68" style="658" collapsed="1"/>
    <col min="5361" max="5361" width="5.28515625" style="658" customWidth="1" collapsed="1"/>
    <col min="5362" max="5362" width="28" style="658" customWidth="1" collapsed="1"/>
    <col min="5363" max="5363" width="21.42578125" style="658" customWidth="1" collapsed="1"/>
    <col min="5364" max="5364" width="3.28515625" style="658" bestFit="1" customWidth="1" collapsed="1"/>
    <col min="5365" max="5365" width="5.140625" style="658" bestFit="1" customWidth="1" collapsed="1"/>
    <col min="5366" max="5366" width="10.42578125" style="658" customWidth="1" collapsed="1"/>
    <col min="5367" max="5367" width="12" style="658" bestFit="1" customWidth="1" collapsed="1"/>
    <col min="5368" max="5616" width="68" style="658" collapsed="1"/>
    <col min="5617" max="5617" width="5.28515625" style="658" customWidth="1" collapsed="1"/>
    <col min="5618" max="5618" width="28" style="658" customWidth="1" collapsed="1"/>
    <col min="5619" max="5619" width="21.42578125" style="658" customWidth="1" collapsed="1"/>
    <col min="5620" max="5620" width="3.28515625" style="658" bestFit="1" customWidth="1" collapsed="1"/>
    <col min="5621" max="5621" width="5.140625" style="658" bestFit="1" customWidth="1" collapsed="1"/>
    <col min="5622" max="5622" width="10.42578125" style="658" customWidth="1" collapsed="1"/>
    <col min="5623" max="5623" width="12" style="658" bestFit="1" customWidth="1" collapsed="1"/>
    <col min="5624" max="5872" width="68" style="658" collapsed="1"/>
    <col min="5873" max="5873" width="5.28515625" style="658" customWidth="1" collapsed="1"/>
    <col min="5874" max="5874" width="28" style="658" customWidth="1" collapsed="1"/>
    <col min="5875" max="5875" width="21.42578125" style="658" customWidth="1" collapsed="1"/>
    <col min="5876" max="5876" width="3.28515625" style="658" bestFit="1" customWidth="1" collapsed="1"/>
    <col min="5877" max="5877" width="5.140625" style="658" bestFit="1" customWidth="1" collapsed="1"/>
    <col min="5878" max="5878" width="10.42578125" style="658" customWidth="1" collapsed="1"/>
    <col min="5879" max="5879" width="12" style="658" bestFit="1" customWidth="1" collapsed="1"/>
    <col min="5880" max="6128" width="68" style="658" collapsed="1"/>
    <col min="6129" max="6129" width="5.28515625" style="658" customWidth="1" collapsed="1"/>
    <col min="6130" max="6130" width="28" style="658" customWidth="1" collapsed="1"/>
    <col min="6131" max="6131" width="21.42578125" style="658" customWidth="1" collapsed="1"/>
    <col min="6132" max="6132" width="3.28515625" style="658" bestFit="1" customWidth="1" collapsed="1"/>
    <col min="6133" max="6133" width="5.140625" style="658" bestFit="1" customWidth="1" collapsed="1"/>
    <col min="6134" max="6134" width="10.42578125" style="658" customWidth="1" collapsed="1"/>
    <col min="6135" max="6135" width="12" style="658" bestFit="1" customWidth="1" collapsed="1"/>
    <col min="6136" max="6384" width="68" style="658" collapsed="1"/>
    <col min="6385" max="6385" width="5.28515625" style="658" customWidth="1" collapsed="1"/>
    <col min="6386" max="6386" width="28" style="658" customWidth="1" collapsed="1"/>
    <col min="6387" max="6387" width="21.42578125" style="658" customWidth="1" collapsed="1"/>
    <col min="6388" max="6388" width="3.28515625" style="658" bestFit="1" customWidth="1" collapsed="1"/>
    <col min="6389" max="6389" width="5.140625" style="658" bestFit="1" customWidth="1" collapsed="1"/>
    <col min="6390" max="6390" width="10.42578125" style="658" customWidth="1" collapsed="1"/>
    <col min="6391" max="6391" width="12" style="658" bestFit="1" customWidth="1" collapsed="1"/>
    <col min="6392" max="6640" width="68" style="658" collapsed="1"/>
    <col min="6641" max="6641" width="5.28515625" style="658" customWidth="1" collapsed="1"/>
    <col min="6642" max="6642" width="28" style="658" customWidth="1" collapsed="1"/>
    <col min="6643" max="6643" width="21.42578125" style="658" customWidth="1" collapsed="1"/>
    <col min="6644" max="6644" width="3.28515625" style="658" bestFit="1" customWidth="1" collapsed="1"/>
    <col min="6645" max="6645" width="5.140625" style="658" bestFit="1" customWidth="1" collapsed="1"/>
    <col min="6646" max="6646" width="10.42578125" style="658" customWidth="1" collapsed="1"/>
    <col min="6647" max="6647" width="12" style="658" bestFit="1" customWidth="1" collapsed="1"/>
    <col min="6648" max="6896" width="68" style="658" collapsed="1"/>
    <col min="6897" max="6897" width="5.28515625" style="658" customWidth="1" collapsed="1"/>
    <col min="6898" max="6898" width="28" style="658" customWidth="1" collapsed="1"/>
    <col min="6899" max="6899" width="21.42578125" style="658" customWidth="1" collapsed="1"/>
    <col min="6900" max="6900" width="3.28515625" style="658" bestFit="1" customWidth="1" collapsed="1"/>
    <col min="6901" max="6901" width="5.140625" style="658" bestFit="1" customWidth="1" collapsed="1"/>
    <col min="6902" max="6902" width="10.42578125" style="658" customWidth="1" collapsed="1"/>
    <col min="6903" max="6903" width="12" style="658" bestFit="1" customWidth="1" collapsed="1"/>
    <col min="6904" max="7152" width="68" style="658" collapsed="1"/>
    <col min="7153" max="7153" width="5.28515625" style="658" customWidth="1" collapsed="1"/>
    <col min="7154" max="7154" width="28" style="658" customWidth="1" collapsed="1"/>
    <col min="7155" max="7155" width="21.42578125" style="658" customWidth="1" collapsed="1"/>
    <col min="7156" max="7156" width="3.28515625" style="658" bestFit="1" customWidth="1" collapsed="1"/>
    <col min="7157" max="7157" width="5.140625" style="658" bestFit="1" customWidth="1" collapsed="1"/>
    <col min="7158" max="7158" width="10.42578125" style="658" customWidth="1" collapsed="1"/>
    <col min="7159" max="7159" width="12" style="658" bestFit="1" customWidth="1" collapsed="1"/>
    <col min="7160" max="7408" width="68" style="658" collapsed="1"/>
    <col min="7409" max="7409" width="5.28515625" style="658" customWidth="1" collapsed="1"/>
    <col min="7410" max="7410" width="28" style="658" customWidth="1" collapsed="1"/>
    <col min="7411" max="7411" width="21.42578125" style="658" customWidth="1" collapsed="1"/>
    <col min="7412" max="7412" width="3.28515625" style="658" bestFit="1" customWidth="1" collapsed="1"/>
    <col min="7413" max="7413" width="5.140625" style="658" bestFit="1" customWidth="1" collapsed="1"/>
    <col min="7414" max="7414" width="10.42578125" style="658" customWidth="1" collapsed="1"/>
    <col min="7415" max="7415" width="12" style="658" bestFit="1" customWidth="1" collapsed="1"/>
    <col min="7416" max="7664" width="68" style="658" collapsed="1"/>
    <col min="7665" max="7665" width="5.28515625" style="658" customWidth="1" collapsed="1"/>
    <col min="7666" max="7666" width="28" style="658" customWidth="1" collapsed="1"/>
    <col min="7667" max="7667" width="21.42578125" style="658" customWidth="1" collapsed="1"/>
    <col min="7668" max="7668" width="3.28515625" style="658" bestFit="1" customWidth="1" collapsed="1"/>
    <col min="7669" max="7669" width="5.140625" style="658" bestFit="1" customWidth="1" collapsed="1"/>
    <col min="7670" max="7670" width="10.42578125" style="658" customWidth="1" collapsed="1"/>
    <col min="7671" max="7671" width="12" style="658" bestFit="1" customWidth="1" collapsed="1"/>
    <col min="7672" max="7920" width="68" style="658" collapsed="1"/>
    <col min="7921" max="7921" width="5.28515625" style="658" customWidth="1" collapsed="1"/>
    <col min="7922" max="7922" width="28" style="658" customWidth="1" collapsed="1"/>
    <col min="7923" max="7923" width="21.42578125" style="658" customWidth="1" collapsed="1"/>
    <col min="7924" max="7924" width="3.28515625" style="658" bestFit="1" customWidth="1" collapsed="1"/>
    <col min="7925" max="7925" width="5.140625" style="658" bestFit="1" customWidth="1" collapsed="1"/>
    <col min="7926" max="7926" width="10.42578125" style="658" customWidth="1" collapsed="1"/>
    <col min="7927" max="7927" width="12" style="658" bestFit="1" customWidth="1" collapsed="1"/>
    <col min="7928" max="8176" width="68" style="658" collapsed="1"/>
    <col min="8177" max="8177" width="5.28515625" style="658" customWidth="1" collapsed="1"/>
    <col min="8178" max="8178" width="28" style="658" customWidth="1" collapsed="1"/>
    <col min="8179" max="8179" width="21.42578125" style="658" customWidth="1" collapsed="1"/>
    <col min="8180" max="8180" width="3.28515625" style="658" bestFit="1" customWidth="1" collapsed="1"/>
    <col min="8181" max="8181" width="5.140625" style="658" bestFit="1" customWidth="1" collapsed="1"/>
    <col min="8182" max="8182" width="10.42578125" style="658" customWidth="1" collapsed="1"/>
    <col min="8183" max="8183" width="12" style="658" bestFit="1" customWidth="1" collapsed="1"/>
    <col min="8184" max="8432" width="68" style="658" collapsed="1"/>
    <col min="8433" max="8433" width="5.28515625" style="658" customWidth="1" collapsed="1"/>
    <col min="8434" max="8434" width="28" style="658" customWidth="1" collapsed="1"/>
    <col min="8435" max="8435" width="21.42578125" style="658" customWidth="1" collapsed="1"/>
    <col min="8436" max="8436" width="3.28515625" style="658" bestFit="1" customWidth="1" collapsed="1"/>
    <col min="8437" max="8437" width="5.140625" style="658" bestFit="1" customWidth="1" collapsed="1"/>
    <col min="8438" max="8438" width="10.42578125" style="658" customWidth="1" collapsed="1"/>
    <col min="8439" max="8439" width="12" style="658" bestFit="1" customWidth="1" collapsed="1"/>
    <col min="8440" max="8688" width="68" style="658" collapsed="1"/>
    <col min="8689" max="8689" width="5.28515625" style="658" customWidth="1" collapsed="1"/>
    <col min="8690" max="8690" width="28" style="658" customWidth="1" collapsed="1"/>
    <col min="8691" max="8691" width="21.42578125" style="658" customWidth="1" collapsed="1"/>
    <col min="8692" max="8692" width="3.28515625" style="658" bestFit="1" customWidth="1" collapsed="1"/>
    <col min="8693" max="8693" width="5.140625" style="658" bestFit="1" customWidth="1" collapsed="1"/>
    <col min="8694" max="8694" width="10.42578125" style="658" customWidth="1" collapsed="1"/>
    <col min="8695" max="8695" width="12" style="658" bestFit="1" customWidth="1" collapsed="1"/>
    <col min="8696" max="8944" width="68" style="658" collapsed="1"/>
    <col min="8945" max="8945" width="5.28515625" style="658" customWidth="1" collapsed="1"/>
    <col min="8946" max="8946" width="28" style="658" customWidth="1" collapsed="1"/>
    <col min="8947" max="8947" width="21.42578125" style="658" customWidth="1" collapsed="1"/>
    <col min="8948" max="8948" width="3.28515625" style="658" bestFit="1" customWidth="1" collapsed="1"/>
    <col min="8949" max="8949" width="5.140625" style="658" bestFit="1" customWidth="1" collapsed="1"/>
    <col min="8950" max="8950" width="10.42578125" style="658" customWidth="1" collapsed="1"/>
    <col min="8951" max="8951" width="12" style="658" bestFit="1" customWidth="1" collapsed="1"/>
    <col min="8952" max="9200" width="68" style="658" collapsed="1"/>
    <col min="9201" max="9201" width="5.28515625" style="658" customWidth="1" collapsed="1"/>
    <col min="9202" max="9202" width="28" style="658" customWidth="1" collapsed="1"/>
    <col min="9203" max="9203" width="21.42578125" style="658" customWidth="1" collapsed="1"/>
    <col min="9204" max="9204" width="3.28515625" style="658" bestFit="1" customWidth="1" collapsed="1"/>
    <col min="9205" max="9205" width="5.140625" style="658" bestFit="1" customWidth="1" collapsed="1"/>
    <col min="9206" max="9206" width="10.42578125" style="658" customWidth="1" collapsed="1"/>
    <col min="9207" max="9207" width="12" style="658" bestFit="1" customWidth="1" collapsed="1"/>
    <col min="9208" max="9456" width="68" style="658" collapsed="1"/>
    <col min="9457" max="9457" width="5.28515625" style="658" customWidth="1" collapsed="1"/>
    <col min="9458" max="9458" width="28" style="658" customWidth="1" collapsed="1"/>
    <col min="9459" max="9459" width="21.42578125" style="658" customWidth="1" collapsed="1"/>
    <col min="9460" max="9460" width="3.28515625" style="658" bestFit="1" customWidth="1" collapsed="1"/>
    <col min="9461" max="9461" width="5.140625" style="658" bestFit="1" customWidth="1" collapsed="1"/>
    <col min="9462" max="9462" width="10.42578125" style="658" customWidth="1" collapsed="1"/>
    <col min="9463" max="9463" width="12" style="658" bestFit="1" customWidth="1" collapsed="1"/>
    <col min="9464" max="9712" width="68" style="658" collapsed="1"/>
    <col min="9713" max="9713" width="5.28515625" style="658" customWidth="1" collapsed="1"/>
    <col min="9714" max="9714" width="28" style="658" customWidth="1" collapsed="1"/>
    <col min="9715" max="9715" width="21.42578125" style="658" customWidth="1" collapsed="1"/>
    <col min="9716" max="9716" width="3.28515625" style="658" bestFit="1" customWidth="1" collapsed="1"/>
    <col min="9717" max="9717" width="5.140625" style="658" bestFit="1" customWidth="1" collapsed="1"/>
    <col min="9718" max="9718" width="10.42578125" style="658" customWidth="1" collapsed="1"/>
    <col min="9719" max="9719" width="12" style="658" bestFit="1" customWidth="1" collapsed="1"/>
    <col min="9720" max="9968" width="68" style="658" collapsed="1"/>
    <col min="9969" max="9969" width="5.28515625" style="658" customWidth="1" collapsed="1"/>
    <col min="9970" max="9970" width="28" style="658" customWidth="1" collapsed="1"/>
    <col min="9971" max="9971" width="21.42578125" style="658" customWidth="1" collapsed="1"/>
    <col min="9972" max="9972" width="3.28515625" style="658" bestFit="1" customWidth="1" collapsed="1"/>
    <col min="9973" max="9973" width="5.140625" style="658" bestFit="1" customWidth="1" collapsed="1"/>
    <col min="9974" max="9974" width="10.42578125" style="658" customWidth="1" collapsed="1"/>
    <col min="9975" max="9975" width="12" style="658" bestFit="1" customWidth="1" collapsed="1"/>
    <col min="9976" max="10224" width="68" style="658" collapsed="1"/>
    <col min="10225" max="10225" width="5.28515625" style="658" customWidth="1" collapsed="1"/>
    <col min="10226" max="10226" width="28" style="658" customWidth="1" collapsed="1"/>
    <col min="10227" max="10227" width="21.42578125" style="658" customWidth="1" collapsed="1"/>
    <col min="10228" max="10228" width="3.28515625" style="658" bestFit="1" customWidth="1" collapsed="1"/>
    <col min="10229" max="10229" width="5.140625" style="658" bestFit="1" customWidth="1" collapsed="1"/>
    <col min="10230" max="10230" width="10.42578125" style="658" customWidth="1" collapsed="1"/>
    <col min="10231" max="10231" width="12" style="658" bestFit="1" customWidth="1" collapsed="1"/>
    <col min="10232" max="10480" width="68" style="658" collapsed="1"/>
    <col min="10481" max="10481" width="5.28515625" style="658" customWidth="1" collapsed="1"/>
    <col min="10482" max="10482" width="28" style="658" customWidth="1" collapsed="1"/>
    <col min="10483" max="10483" width="21.42578125" style="658" customWidth="1" collapsed="1"/>
    <col min="10484" max="10484" width="3.28515625" style="658" bestFit="1" customWidth="1" collapsed="1"/>
    <col min="10485" max="10485" width="5.140625" style="658" bestFit="1" customWidth="1" collapsed="1"/>
    <col min="10486" max="10486" width="10.42578125" style="658" customWidth="1" collapsed="1"/>
    <col min="10487" max="10487" width="12" style="658" bestFit="1" customWidth="1" collapsed="1"/>
    <col min="10488" max="10736" width="68" style="658" collapsed="1"/>
    <col min="10737" max="10737" width="5.28515625" style="658" customWidth="1" collapsed="1"/>
    <col min="10738" max="10738" width="28" style="658" customWidth="1" collapsed="1"/>
    <col min="10739" max="10739" width="21.42578125" style="658" customWidth="1" collapsed="1"/>
    <col min="10740" max="10740" width="3.28515625" style="658" bestFit="1" customWidth="1" collapsed="1"/>
    <col min="10741" max="10741" width="5.140625" style="658" bestFit="1" customWidth="1" collapsed="1"/>
    <col min="10742" max="10742" width="10.42578125" style="658" customWidth="1" collapsed="1"/>
    <col min="10743" max="10743" width="12" style="658" bestFit="1" customWidth="1" collapsed="1"/>
    <col min="10744" max="10992" width="68" style="658" collapsed="1"/>
    <col min="10993" max="10993" width="5.28515625" style="658" customWidth="1" collapsed="1"/>
    <col min="10994" max="10994" width="28" style="658" customWidth="1" collapsed="1"/>
    <col min="10995" max="10995" width="21.42578125" style="658" customWidth="1" collapsed="1"/>
    <col min="10996" max="10996" width="3.28515625" style="658" bestFit="1" customWidth="1" collapsed="1"/>
    <col min="10997" max="10997" width="5.140625" style="658" bestFit="1" customWidth="1" collapsed="1"/>
    <col min="10998" max="10998" width="10.42578125" style="658" customWidth="1" collapsed="1"/>
    <col min="10999" max="10999" width="12" style="658" bestFit="1" customWidth="1" collapsed="1"/>
    <col min="11000" max="11248" width="68" style="658" collapsed="1"/>
    <col min="11249" max="11249" width="5.28515625" style="658" customWidth="1" collapsed="1"/>
    <col min="11250" max="11250" width="28" style="658" customWidth="1" collapsed="1"/>
    <col min="11251" max="11251" width="21.42578125" style="658" customWidth="1" collapsed="1"/>
    <col min="11252" max="11252" width="3.28515625" style="658" bestFit="1" customWidth="1" collapsed="1"/>
    <col min="11253" max="11253" width="5.140625" style="658" bestFit="1" customWidth="1" collapsed="1"/>
    <col min="11254" max="11254" width="10.42578125" style="658" customWidth="1" collapsed="1"/>
    <col min="11255" max="11255" width="12" style="658" bestFit="1" customWidth="1" collapsed="1"/>
    <col min="11256" max="11504" width="68" style="658" collapsed="1"/>
    <col min="11505" max="11505" width="5.28515625" style="658" customWidth="1" collapsed="1"/>
    <col min="11506" max="11506" width="28" style="658" customWidth="1" collapsed="1"/>
    <col min="11507" max="11507" width="21.42578125" style="658" customWidth="1" collapsed="1"/>
    <col min="11508" max="11508" width="3.28515625" style="658" bestFit="1" customWidth="1" collapsed="1"/>
    <col min="11509" max="11509" width="5.140625" style="658" bestFit="1" customWidth="1" collapsed="1"/>
    <col min="11510" max="11510" width="10.42578125" style="658" customWidth="1" collapsed="1"/>
    <col min="11511" max="11511" width="12" style="658" bestFit="1" customWidth="1" collapsed="1"/>
    <col min="11512" max="11760" width="68" style="658" collapsed="1"/>
    <col min="11761" max="11761" width="5.28515625" style="658" customWidth="1" collapsed="1"/>
    <col min="11762" max="11762" width="28" style="658" customWidth="1" collapsed="1"/>
    <col min="11763" max="11763" width="21.42578125" style="658" customWidth="1" collapsed="1"/>
    <col min="11764" max="11764" width="3.28515625" style="658" bestFit="1" customWidth="1" collapsed="1"/>
    <col min="11765" max="11765" width="5.140625" style="658" bestFit="1" customWidth="1" collapsed="1"/>
    <col min="11766" max="11766" width="10.42578125" style="658" customWidth="1" collapsed="1"/>
    <col min="11767" max="11767" width="12" style="658" bestFit="1" customWidth="1" collapsed="1"/>
    <col min="11768" max="12016" width="68" style="658" collapsed="1"/>
    <col min="12017" max="12017" width="5.28515625" style="658" customWidth="1" collapsed="1"/>
    <col min="12018" max="12018" width="28" style="658" customWidth="1" collapsed="1"/>
    <col min="12019" max="12019" width="21.42578125" style="658" customWidth="1" collapsed="1"/>
    <col min="12020" max="12020" width="3.28515625" style="658" bestFit="1" customWidth="1" collapsed="1"/>
    <col min="12021" max="12021" width="5.140625" style="658" bestFit="1" customWidth="1" collapsed="1"/>
    <col min="12022" max="12022" width="10.42578125" style="658" customWidth="1" collapsed="1"/>
    <col min="12023" max="12023" width="12" style="658" bestFit="1" customWidth="1" collapsed="1"/>
    <col min="12024" max="12272" width="68" style="658" collapsed="1"/>
    <col min="12273" max="12273" width="5.28515625" style="658" customWidth="1" collapsed="1"/>
    <col min="12274" max="12274" width="28" style="658" customWidth="1" collapsed="1"/>
    <col min="12275" max="12275" width="21.42578125" style="658" customWidth="1" collapsed="1"/>
    <col min="12276" max="12276" width="3.28515625" style="658" bestFit="1" customWidth="1" collapsed="1"/>
    <col min="12277" max="12277" width="5.140625" style="658" bestFit="1" customWidth="1" collapsed="1"/>
    <col min="12278" max="12278" width="10.42578125" style="658" customWidth="1" collapsed="1"/>
    <col min="12279" max="12279" width="12" style="658" bestFit="1" customWidth="1" collapsed="1"/>
    <col min="12280" max="12528" width="68" style="658" collapsed="1"/>
    <col min="12529" max="12529" width="5.28515625" style="658" customWidth="1" collapsed="1"/>
    <col min="12530" max="12530" width="28" style="658" customWidth="1" collapsed="1"/>
    <col min="12531" max="12531" width="21.42578125" style="658" customWidth="1" collapsed="1"/>
    <col min="12532" max="12532" width="3.28515625" style="658" bestFit="1" customWidth="1" collapsed="1"/>
    <col min="12533" max="12533" width="5.140625" style="658" bestFit="1" customWidth="1" collapsed="1"/>
    <col min="12534" max="12534" width="10.42578125" style="658" customWidth="1" collapsed="1"/>
    <col min="12535" max="12535" width="12" style="658" bestFit="1" customWidth="1" collapsed="1"/>
    <col min="12536" max="12784" width="68" style="658" collapsed="1"/>
    <col min="12785" max="12785" width="5.28515625" style="658" customWidth="1" collapsed="1"/>
    <col min="12786" max="12786" width="28" style="658" customWidth="1" collapsed="1"/>
    <col min="12787" max="12787" width="21.42578125" style="658" customWidth="1" collapsed="1"/>
    <col min="12788" max="12788" width="3.28515625" style="658" bestFit="1" customWidth="1" collapsed="1"/>
    <col min="12789" max="12789" width="5.140625" style="658" bestFit="1" customWidth="1" collapsed="1"/>
    <col min="12790" max="12790" width="10.42578125" style="658" customWidth="1" collapsed="1"/>
    <col min="12791" max="12791" width="12" style="658" bestFit="1" customWidth="1" collapsed="1"/>
    <col min="12792" max="13040" width="68" style="658" collapsed="1"/>
    <col min="13041" max="13041" width="5.28515625" style="658" customWidth="1" collapsed="1"/>
    <col min="13042" max="13042" width="28" style="658" customWidth="1" collapsed="1"/>
    <col min="13043" max="13043" width="21.42578125" style="658" customWidth="1" collapsed="1"/>
    <col min="13044" max="13044" width="3.28515625" style="658" bestFit="1" customWidth="1" collapsed="1"/>
    <col min="13045" max="13045" width="5.140625" style="658" bestFit="1" customWidth="1" collapsed="1"/>
    <col min="13046" max="13046" width="10.42578125" style="658" customWidth="1" collapsed="1"/>
    <col min="13047" max="13047" width="12" style="658" bestFit="1" customWidth="1" collapsed="1"/>
    <col min="13048" max="13296" width="68" style="658" collapsed="1"/>
    <col min="13297" max="13297" width="5.28515625" style="658" customWidth="1" collapsed="1"/>
    <col min="13298" max="13298" width="28" style="658" customWidth="1" collapsed="1"/>
    <col min="13299" max="13299" width="21.42578125" style="658" customWidth="1" collapsed="1"/>
    <col min="13300" max="13300" width="3.28515625" style="658" bestFit="1" customWidth="1" collapsed="1"/>
    <col min="13301" max="13301" width="5.140625" style="658" bestFit="1" customWidth="1" collapsed="1"/>
    <col min="13302" max="13302" width="10.42578125" style="658" customWidth="1" collapsed="1"/>
    <col min="13303" max="13303" width="12" style="658" bestFit="1" customWidth="1" collapsed="1"/>
    <col min="13304" max="13552" width="68" style="658" collapsed="1"/>
    <col min="13553" max="13553" width="5.28515625" style="658" customWidth="1" collapsed="1"/>
    <col min="13554" max="13554" width="28" style="658" customWidth="1" collapsed="1"/>
    <col min="13555" max="13555" width="21.42578125" style="658" customWidth="1" collapsed="1"/>
    <col min="13556" max="13556" width="3.28515625" style="658" bestFit="1" customWidth="1" collapsed="1"/>
    <col min="13557" max="13557" width="5.140625" style="658" bestFit="1" customWidth="1" collapsed="1"/>
    <col min="13558" max="13558" width="10.42578125" style="658" customWidth="1" collapsed="1"/>
    <col min="13559" max="13559" width="12" style="658" bestFit="1" customWidth="1" collapsed="1"/>
    <col min="13560" max="13808" width="68" style="658" collapsed="1"/>
    <col min="13809" max="13809" width="5.28515625" style="658" customWidth="1" collapsed="1"/>
    <col min="13810" max="13810" width="28" style="658" customWidth="1" collapsed="1"/>
    <col min="13811" max="13811" width="21.42578125" style="658" customWidth="1" collapsed="1"/>
    <col min="13812" max="13812" width="3.28515625" style="658" bestFit="1" customWidth="1" collapsed="1"/>
    <col min="13813" max="13813" width="5.140625" style="658" bestFit="1" customWidth="1" collapsed="1"/>
    <col min="13814" max="13814" width="10.42578125" style="658" customWidth="1" collapsed="1"/>
    <col min="13815" max="13815" width="12" style="658" bestFit="1" customWidth="1" collapsed="1"/>
    <col min="13816" max="14064" width="68" style="658" collapsed="1"/>
    <col min="14065" max="14065" width="5.28515625" style="658" customWidth="1" collapsed="1"/>
    <col min="14066" max="14066" width="28" style="658" customWidth="1" collapsed="1"/>
    <col min="14067" max="14067" width="21.42578125" style="658" customWidth="1" collapsed="1"/>
    <col min="14068" max="14068" width="3.28515625" style="658" bestFit="1" customWidth="1" collapsed="1"/>
    <col min="14069" max="14069" width="5.140625" style="658" bestFit="1" customWidth="1" collapsed="1"/>
    <col min="14070" max="14070" width="10.42578125" style="658" customWidth="1" collapsed="1"/>
    <col min="14071" max="14071" width="12" style="658" bestFit="1" customWidth="1" collapsed="1"/>
    <col min="14072" max="14320" width="68" style="658" collapsed="1"/>
    <col min="14321" max="14321" width="5.28515625" style="658" customWidth="1" collapsed="1"/>
    <col min="14322" max="14322" width="28" style="658" customWidth="1" collapsed="1"/>
    <col min="14323" max="14323" width="21.42578125" style="658" customWidth="1" collapsed="1"/>
    <col min="14324" max="14324" width="3.28515625" style="658" bestFit="1" customWidth="1" collapsed="1"/>
    <col min="14325" max="14325" width="5.140625" style="658" bestFit="1" customWidth="1" collapsed="1"/>
    <col min="14326" max="14326" width="10.42578125" style="658" customWidth="1" collapsed="1"/>
    <col min="14327" max="14327" width="12" style="658" bestFit="1" customWidth="1" collapsed="1"/>
    <col min="14328" max="14576" width="68" style="658" collapsed="1"/>
    <col min="14577" max="14577" width="5.28515625" style="658" customWidth="1" collapsed="1"/>
    <col min="14578" max="14578" width="28" style="658" customWidth="1" collapsed="1"/>
    <col min="14579" max="14579" width="21.42578125" style="658" customWidth="1" collapsed="1"/>
    <col min="14580" max="14580" width="3.28515625" style="658" bestFit="1" customWidth="1" collapsed="1"/>
    <col min="14581" max="14581" width="5.140625" style="658" bestFit="1" customWidth="1" collapsed="1"/>
    <col min="14582" max="14582" width="10.42578125" style="658" customWidth="1" collapsed="1"/>
    <col min="14583" max="14583" width="12" style="658" bestFit="1" customWidth="1" collapsed="1"/>
    <col min="14584" max="14832" width="68" style="658" collapsed="1"/>
    <col min="14833" max="14833" width="5.28515625" style="658" customWidth="1" collapsed="1"/>
    <col min="14834" max="14834" width="28" style="658" customWidth="1" collapsed="1"/>
    <col min="14835" max="14835" width="21.42578125" style="658" customWidth="1" collapsed="1"/>
    <col min="14836" max="14836" width="3.28515625" style="658" bestFit="1" customWidth="1" collapsed="1"/>
    <col min="14837" max="14837" width="5.140625" style="658" bestFit="1" customWidth="1" collapsed="1"/>
    <col min="14838" max="14838" width="10.42578125" style="658" customWidth="1" collapsed="1"/>
    <col min="14839" max="14839" width="12" style="658" bestFit="1" customWidth="1" collapsed="1"/>
    <col min="14840" max="15088" width="68" style="658" collapsed="1"/>
    <col min="15089" max="15089" width="5.28515625" style="658" customWidth="1" collapsed="1"/>
    <col min="15090" max="15090" width="28" style="658" customWidth="1" collapsed="1"/>
    <col min="15091" max="15091" width="21.42578125" style="658" customWidth="1" collapsed="1"/>
    <col min="15092" max="15092" width="3.28515625" style="658" bestFit="1" customWidth="1" collapsed="1"/>
    <col min="15093" max="15093" width="5.140625" style="658" bestFit="1" customWidth="1" collapsed="1"/>
    <col min="15094" max="15094" width="10.42578125" style="658" customWidth="1" collapsed="1"/>
    <col min="15095" max="15095" width="12" style="658" bestFit="1" customWidth="1" collapsed="1"/>
    <col min="15096" max="15344" width="68" style="658" collapsed="1"/>
    <col min="15345" max="15345" width="5.28515625" style="658" customWidth="1" collapsed="1"/>
    <col min="15346" max="15346" width="28" style="658" customWidth="1" collapsed="1"/>
    <col min="15347" max="15347" width="21.42578125" style="658" customWidth="1" collapsed="1"/>
    <col min="15348" max="15348" width="3.28515625" style="658" bestFit="1" customWidth="1" collapsed="1"/>
    <col min="15349" max="15349" width="5.140625" style="658" bestFit="1" customWidth="1" collapsed="1"/>
    <col min="15350" max="15350" width="10.42578125" style="658" customWidth="1" collapsed="1"/>
    <col min="15351" max="15351" width="12" style="658" bestFit="1" customWidth="1" collapsed="1"/>
    <col min="15352" max="15600" width="68" style="658" collapsed="1"/>
    <col min="15601" max="15601" width="5.28515625" style="658" customWidth="1" collapsed="1"/>
    <col min="15602" max="15602" width="28" style="658" customWidth="1" collapsed="1"/>
    <col min="15603" max="15603" width="21.42578125" style="658" customWidth="1" collapsed="1"/>
    <col min="15604" max="15604" width="3.28515625" style="658" bestFit="1" customWidth="1" collapsed="1"/>
    <col min="15605" max="15605" width="5.140625" style="658" bestFit="1" customWidth="1" collapsed="1"/>
    <col min="15606" max="15606" width="10.42578125" style="658" customWidth="1" collapsed="1"/>
    <col min="15607" max="15607" width="12" style="658" bestFit="1" customWidth="1" collapsed="1"/>
    <col min="15608" max="15856" width="68" style="658" collapsed="1"/>
    <col min="15857" max="15857" width="5.28515625" style="658" customWidth="1" collapsed="1"/>
    <col min="15858" max="15858" width="28" style="658" customWidth="1" collapsed="1"/>
    <col min="15859" max="15859" width="21.42578125" style="658" customWidth="1" collapsed="1"/>
    <col min="15860" max="15860" width="3.28515625" style="658" bestFit="1" customWidth="1" collapsed="1"/>
    <col min="15861" max="15861" width="5.140625" style="658" bestFit="1" customWidth="1" collapsed="1"/>
    <col min="15862" max="15862" width="10.42578125" style="658" customWidth="1" collapsed="1"/>
    <col min="15863" max="15863" width="12" style="658" bestFit="1" customWidth="1" collapsed="1"/>
    <col min="15864" max="16112" width="68" style="658" collapsed="1"/>
    <col min="16113" max="16113" width="5.28515625" style="658" customWidth="1" collapsed="1"/>
    <col min="16114" max="16114" width="28" style="658" customWidth="1" collapsed="1"/>
    <col min="16115" max="16115" width="21.42578125" style="658" customWidth="1" collapsed="1"/>
    <col min="16116" max="16116" width="3.28515625" style="658" bestFit="1" customWidth="1" collapsed="1"/>
    <col min="16117" max="16117" width="5.140625" style="658" bestFit="1" customWidth="1" collapsed="1"/>
    <col min="16118" max="16118" width="10.42578125" style="658" customWidth="1" collapsed="1"/>
    <col min="16119" max="16119" width="12" style="658" bestFit="1" customWidth="1" collapsed="1"/>
    <col min="16120" max="16384" width="68" style="658" collapsed="1"/>
  </cols>
  <sheetData>
    <row r="2" spans="1:7" ht="20.100000000000001" customHeight="1" x14ac:dyDescent="0.2">
      <c r="A2" s="744"/>
      <c r="B2" s="743" t="s">
        <v>830</v>
      </c>
      <c r="C2" s="743"/>
      <c r="D2" s="743"/>
      <c r="E2" s="743"/>
      <c r="F2" s="726" t="s">
        <v>836</v>
      </c>
      <c r="G2" s="658"/>
    </row>
    <row r="3" spans="1:7" ht="20.100000000000001" customHeight="1" x14ac:dyDescent="0.2">
      <c r="A3" s="744"/>
      <c r="B3" s="743"/>
      <c r="C3" s="743"/>
      <c r="D3" s="743"/>
      <c r="E3" s="743"/>
      <c r="F3" s="726" t="s">
        <v>824</v>
      </c>
      <c r="G3" s="658"/>
    </row>
    <row r="4" spans="1:7" ht="20.100000000000001" customHeight="1" x14ac:dyDescent="0.2">
      <c r="A4" s="744"/>
      <c r="B4" s="743"/>
      <c r="C4" s="743"/>
      <c r="D4" s="743"/>
      <c r="E4" s="743"/>
      <c r="F4" s="726" t="s">
        <v>825</v>
      </c>
      <c r="G4" s="658"/>
    </row>
    <row r="5" spans="1:7" ht="44.25" customHeight="1" x14ac:dyDescent="0.2">
      <c r="A5" s="727" t="s">
        <v>70</v>
      </c>
      <c r="B5" s="747" t="s">
        <v>851</v>
      </c>
      <c r="C5" s="747"/>
      <c r="D5" s="747"/>
      <c r="E5" s="747"/>
      <c r="F5" s="747"/>
      <c r="G5" s="658"/>
    </row>
    <row r="6" spans="1:7" ht="6" customHeight="1" x14ac:dyDescent="0.2">
      <c r="A6" s="748"/>
      <c r="B6" s="749"/>
      <c r="C6" s="749"/>
      <c r="D6" s="749"/>
      <c r="E6" s="749"/>
      <c r="F6" s="750"/>
      <c r="G6" s="658"/>
    </row>
    <row r="7" spans="1:7" ht="34.5" customHeight="1" x14ac:dyDescent="0.2">
      <c r="A7" s="691" t="s">
        <v>826</v>
      </c>
      <c r="B7" s="691" t="s">
        <v>789</v>
      </c>
      <c r="C7" s="691" t="s">
        <v>790</v>
      </c>
      <c r="D7" s="691" t="s">
        <v>791</v>
      </c>
      <c r="E7" s="691" t="s">
        <v>792</v>
      </c>
      <c r="F7" s="691" t="s">
        <v>793</v>
      </c>
      <c r="G7" s="658"/>
    </row>
    <row r="8" spans="1:7" ht="30.75" customHeight="1" x14ac:dyDescent="0.2">
      <c r="A8" s="704">
        <v>1</v>
      </c>
      <c r="B8" s="705" t="s">
        <v>837</v>
      </c>
      <c r="C8" s="706"/>
      <c r="D8" s="707"/>
      <c r="E8" s="708"/>
      <c r="F8" s="709">
        <f>SUM(F9:F11)</f>
        <v>29816171</v>
      </c>
      <c r="G8" s="658"/>
    </row>
    <row r="9" spans="1:7" ht="172.5" customHeight="1" x14ac:dyDescent="0.2">
      <c r="A9" s="685" t="s">
        <v>5</v>
      </c>
      <c r="B9" s="684" t="s">
        <v>844</v>
      </c>
      <c r="C9" s="723" t="s">
        <v>842</v>
      </c>
      <c r="D9" s="681">
        <v>1</v>
      </c>
      <c r="E9" s="682">
        <v>7667773</v>
      </c>
      <c r="F9" s="682">
        <f t="shared" ref="F9:F11" si="0">+D9*E9</f>
        <v>7667773</v>
      </c>
      <c r="G9" s="658"/>
    </row>
    <row r="10" spans="1:7" ht="137.25" customHeight="1" x14ac:dyDescent="0.2">
      <c r="A10" s="685" t="s">
        <v>627</v>
      </c>
      <c r="B10" s="684" t="s">
        <v>845</v>
      </c>
      <c r="C10" s="723" t="s">
        <v>842</v>
      </c>
      <c r="D10" s="681">
        <v>1</v>
      </c>
      <c r="E10" s="682">
        <v>7086227</v>
      </c>
      <c r="F10" s="682">
        <f t="shared" si="0"/>
        <v>7086227</v>
      </c>
      <c r="G10" s="658"/>
    </row>
    <row r="11" spans="1:7" ht="150.75" customHeight="1" x14ac:dyDescent="0.2">
      <c r="A11" s="685" t="s">
        <v>629</v>
      </c>
      <c r="B11" s="684" t="s">
        <v>849</v>
      </c>
      <c r="C11" s="723" t="s">
        <v>842</v>
      </c>
      <c r="D11" s="681">
        <v>1</v>
      </c>
      <c r="E11" s="682">
        <v>15062171</v>
      </c>
      <c r="F11" s="682">
        <f t="shared" si="0"/>
        <v>15062171</v>
      </c>
      <c r="G11" s="658"/>
    </row>
    <row r="12" spans="1:7" ht="40.5" customHeight="1" x14ac:dyDescent="0.2">
      <c r="A12" s="704">
        <v>2</v>
      </c>
      <c r="B12" s="705" t="s">
        <v>838</v>
      </c>
      <c r="C12" s="706"/>
      <c r="D12" s="707"/>
      <c r="E12" s="708"/>
      <c r="F12" s="709">
        <f>SUM(F13:F13)</f>
        <v>96000000</v>
      </c>
      <c r="G12" s="658"/>
    </row>
    <row r="13" spans="1:7" ht="94.5" customHeight="1" x14ac:dyDescent="0.2">
      <c r="A13" s="685" t="s">
        <v>801</v>
      </c>
      <c r="B13" s="684" t="s">
        <v>846</v>
      </c>
      <c r="C13" s="723" t="s">
        <v>750</v>
      </c>
      <c r="D13" s="681">
        <v>1</v>
      </c>
      <c r="E13" s="682">
        <v>96000000</v>
      </c>
      <c r="F13" s="682">
        <f>E13</f>
        <v>96000000</v>
      </c>
      <c r="G13" s="658"/>
    </row>
    <row r="14" spans="1:7" ht="15.75" customHeight="1" x14ac:dyDescent="0.2">
      <c r="A14" s="671" t="s">
        <v>714</v>
      </c>
      <c r="B14" s="668"/>
      <c r="C14" s="669"/>
      <c r="D14" s="670"/>
      <c r="E14" s="669"/>
      <c r="F14" s="672">
        <f>F12+F8</f>
        <v>125816171</v>
      </c>
      <c r="G14" s="658"/>
    </row>
    <row r="15" spans="1:7" ht="15.75" customHeight="1" x14ac:dyDescent="0.2">
      <c r="A15" s="673" t="s">
        <v>843</v>
      </c>
      <c r="B15" s="674"/>
      <c r="C15" s="675"/>
      <c r="D15" s="676"/>
      <c r="E15" s="677"/>
      <c r="F15" s="683">
        <v>0.19</v>
      </c>
    </row>
    <row r="16" spans="1:7" ht="15.75" customHeight="1" x14ac:dyDescent="0.2">
      <c r="A16" s="673" t="s">
        <v>850</v>
      </c>
      <c r="B16" s="674"/>
      <c r="C16" s="675"/>
      <c r="D16" s="676"/>
      <c r="E16" s="677"/>
      <c r="F16" s="678">
        <f>F14*F15</f>
        <v>23905072.490000002</v>
      </c>
    </row>
    <row r="17" spans="1:8" ht="15.75" hidden="1" customHeight="1" x14ac:dyDescent="0.2">
      <c r="A17" s="673" t="s">
        <v>69</v>
      </c>
      <c r="B17" s="674"/>
      <c r="C17" s="675"/>
      <c r="D17" s="676"/>
      <c r="E17" s="677"/>
      <c r="F17" s="678">
        <f>'1 RIESGOS'!C16</f>
        <v>0</v>
      </c>
    </row>
    <row r="18" spans="1:8" ht="15.75" customHeight="1" x14ac:dyDescent="0.2">
      <c r="A18" s="673" t="s">
        <v>22</v>
      </c>
      <c r="B18" s="674"/>
      <c r="C18" s="675"/>
      <c r="D18" s="676"/>
      <c r="E18" s="677"/>
      <c r="F18" s="678">
        <f>F14+F16</f>
        <v>149721243.49000001</v>
      </c>
      <c r="H18" s="688"/>
    </row>
    <row r="19" spans="1:8" ht="15.75" customHeight="1" x14ac:dyDescent="0.2">
      <c r="A19" s="662"/>
      <c r="B19" s="663"/>
      <c r="C19" s="664"/>
      <c r="D19" s="665"/>
      <c r="E19" s="666"/>
      <c r="F19" s="667"/>
    </row>
    <row r="20" spans="1:8" ht="14.25" x14ac:dyDescent="0.2">
      <c r="A20" s="692" t="s">
        <v>4</v>
      </c>
      <c r="B20" s="693"/>
      <c r="C20" s="694"/>
      <c r="D20" s="267"/>
      <c r="E20" s="267"/>
      <c r="F20" s="267"/>
    </row>
    <row r="21" spans="1:8" ht="15" x14ac:dyDescent="0.2">
      <c r="A21" s="695" t="s">
        <v>847</v>
      </c>
      <c r="B21" s="266"/>
      <c r="C21" s="696"/>
      <c r="D21" s="267"/>
      <c r="E21" s="267"/>
      <c r="F21" s="267"/>
    </row>
    <row r="22" spans="1:8" ht="14.25" x14ac:dyDescent="0.2">
      <c r="A22" s="697" t="s">
        <v>839</v>
      </c>
      <c r="B22" s="698"/>
      <c r="C22" s="699"/>
      <c r="D22" s="267"/>
      <c r="E22" s="267"/>
      <c r="F22" s="267"/>
    </row>
    <row r="23" spans="1:8" ht="14.25" x14ac:dyDescent="0.2">
      <c r="A23" s="732" t="s">
        <v>848</v>
      </c>
      <c r="B23" s="745"/>
      <c r="C23" s="746"/>
      <c r="D23" s="267"/>
      <c r="E23" s="267"/>
      <c r="F23" s="267"/>
    </row>
    <row r="24" spans="1:8" ht="14.25" x14ac:dyDescent="0.2">
      <c r="A24" s="266"/>
      <c r="B24" s="698"/>
      <c r="C24" s="698"/>
      <c r="D24" s="267"/>
      <c r="E24" s="267"/>
      <c r="F24" s="267"/>
    </row>
    <row r="25" spans="1:8" ht="14.25" x14ac:dyDescent="0.2">
      <c r="A25" s="728" t="s">
        <v>797</v>
      </c>
      <c r="B25" s="729"/>
      <c r="C25" s="730"/>
    </row>
    <row r="26" spans="1:8" ht="15" x14ac:dyDescent="0.25">
      <c r="A26" s="731" t="s">
        <v>840</v>
      </c>
      <c r="B26" s="700"/>
      <c r="C26" s="701"/>
    </row>
    <row r="27" spans="1:8" ht="14.25" x14ac:dyDescent="0.2">
      <c r="A27" s="703" t="s">
        <v>799</v>
      </c>
      <c r="B27" s="698"/>
      <c r="C27" s="699"/>
    </row>
    <row r="28" spans="1:8" ht="14.25" x14ac:dyDescent="0.2">
      <c r="A28" s="702" t="s">
        <v>848</v>
      </c>
      <c r="B28" s="745"/>
      <c r="C28" s="746"/>
    </row>
    <row r="29" spans="1:8" ht="14.25" x14ac:dyDescent="0.2">
      <c r="A29" s="698"/>
      <c r="B29" s="698"/>
      <c r="C29" s="698"/>
    </row>
    <row r="30" spans="1:8" ht="14.25" x14ac:dyDescent="0.2">
      <c r="A30" s="692" t="s">
        <v>798</v>
      </c>
      <c r="B30" s="693"/>
      <c r="C30" s="694"/>
    </row>
    <row r="31" spans="1:8" ht="15" x14ac:dyDescent="0.25">
      <c r="A31" s="731" t="s">
        <v>841</v>
      </c>
      <c r="B31" s="700"/>
      <c r="C31" s="701"/>
    </row>
    <row r="32" spans="1:8" ht="14.25" x14ac:dyDescent="0.2">
      <c r="A32" s="740" t="s">
        <v>800</v>
      </c>
      <c r="B32" s="741"/>
      <c r="C32" s="742"/>
    </row>
    <row r="33" spans="1:3" ht="14.25" x14ac:dyDescent="0.2">
      <c r="A33" s="702" t="s">
        <v>848</v>
      </c>
      <c r="B33" s="745"/>
      <c r="C33" s="746"/>
    </row>
  </sheetData>
  <mergeCells count="7">
    <mergeCell ref="B2:E4"/>
    <mergeCell ref="A2:A4"/>
    <mergeCell ref="B28:C28"/>
    <mergeCell ref="B33:C33"/>
    <mergeCell ref="B5:F5"/>
    <mergeCell ref="A6:F6"/>
    <mergeCell ref="B23:C23"/>
  </mergeCells>
  <printOptions horizontalCentered="1"/>
  <pageMargins left="0.51181102362204722" right="0.51181102362204722" top="0.55118110236220474" bottom="0.55118110236220474" header="0" footer="0"/>
  <pageSetup scale="6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view="pageBreakPreview" zoomScale="112" zoomScaleNormal="100" zoomScaleSheetLayoutView="112" workbookViewId="0">
      <selection activeCell="D32" sqref="D32"/>
    </sheetView>
  </sheetViews>
  <sheetFormatPr baseColWidth="10" defaultColWidth="11.42578125" defaultRowHeight="15" x14ac:dyDescent="0.25"/>
  <cols>
    <col min="1" max="1" width="10.5703125" bestFit="1" customWidth="1" collapsed="1"/>
    <col min="2" max="2" width="46.85546875" customWidth="1" collapsed="1"/>
    <col min="3" max="3" width="20.7109375" customWidth="1" collapsed="1"/>
    <col min="4" max="16384" width="11.42578125" collapsed="1"/>
  </cols>
  <sheetData>
    <row r="1" spans="1:4" ht="64.5" customHeight="1" x14ac:dyDescent="0.25">
      <c r="A1" s="2"/>
      <c r="B1" s="758" t="s">
        <v>63</v>
      </c>
      <c r="C1" s="759"/>
    </row>
    <row r="2" spans="1:4" ht="35.25" customHeight="1" x14ac:dyDescent="0.25">
      <c r="A2" s="760" t="e">
        <f>+#REF!</f>
        <v>#REF!</v>
      </c>
      <c r="B2" s="760"/>
      <c r="C2" s="760"/>
    </row>
    <row r="3" spans="1:4" ht="6" customHeight="1" x14ac:dyDescent="0.25">
      <c r="A3" s="755"/>
      <c r="B3" s="756"/>
      <c r="C3" s="757"/>
    </row>
    <row r="4" spans="1:4" x14ac:dyDescent="0.25">
      <c r="A4" s="3" t="s">
        <v>761</v>
      </c>
      <c r="B4" s="3" t="s">
        <v>772</v>
      </c>
      <c r="C4" s="4" t="s">
        <v>13</v>
      </c>
    </row>
    <row r="5" spans="1:4" x14ac:dyDescent="0.25">
      <c r="A5" s="380">
        <v>1</v>
      </c>
      <c r="B5" s="378"/>
      <c r="C5" s="379"/>
      <c r="D5" s="633" t="e">
        <f t="shared" ref="D5:D22" si="0">(C5/$C$23)*100%</f>
        <v>#DIV/0!</v>
      </c>
    </row>
    <row r="6" spans="1:4" x14ac:dyDescent="0.25">
      <c r="A6" s="380">
        <v>2</v>
      </c>
      <c r="B6" s="378"/>
      <c r="C6" s="379"/>
      <c r="D6" s="633" t="e">
        <f t="shared" si="0"/>
        <v>#DIV/0!</v>
      </c>
    </row>
    <row r="7" spans="1:4" x14ac:dyDescent="0.25">
      <c r="A7" s="380">
        <v>3</v>
      </c>
      <c r="B7" s="378"/>
      <c r="C7" s="379"/>
      <c r="D7" s="633" t="e">
        <f t="shared" si="0"/>
        <v>#DIV/0!</v>
      </c>
    </row>
    <row r="8" spans="1:4" x14ac:dyDescent="0.25">
      <c r="A8" s="380">
        <v>4</v>
      </c>
      <c r="B8" s="378"/>
      <c r="C8" s="379"/>
      <c r="D8" s="633" t="e">
        <f t="shared" si="0"/>
        <v>#DIV/0!</v>
      </c>
    </row>
    <row r="9" spans="1:4" x14ac:dyDescent="0.25">
      <c r="A9" s="380">
        <v>5</v>
      </c>
      <c r="B9" s="378"/>
      <c r="C9" s="379"/>
      <c r="D9" s="633" t="e">
        <f t="shared" si="0"/>
        <v>#DIV/0!</v>
      </c>
    </row>
    <row r="10" spans="1:4" x14ac:dyDescent="0.25">
      <c r="A10" s="380">
        <v>6</v>
      </c>
      <c r="B10" s="378"/>
      <c r="C10" s="379"/>
      <c r="D10" s="633" t="e">
        <f t="shared" si="0"/>
        <v>#DIV/0!</v>
      </c>
    </row>
    <row r="11" spans="1:4" x14ac:dyDescent="0.25">
      <c r="A11" s="380">
        <v>7</v>
      </c>
      <c r="B11" s="378"/>
      <c r="C11" s="379"/>
      <c r="D11" s="633" t="e">
        <f t="shared" si="0"/>
        <v>#DIV/0!</v>
      </c>
    </row>
    <row r="12" spans="1:4" x14ac:dyDescent="0.25">
      <c r="A12" s="380">
        <v>8</v>
      </c>
      <c r="B12" s="378"/>
      <c r="C12" s="379"/>
      <c r="D12" s="633" t="e">
        <f t="shared" si="0"/>
        <v>#DIV/0!</v>
      </c>
    </row>
    <row r="13" spans="1:4" x14ac:dyDescent="0.25">
      <c r="A13" s="380">
        <v>9</v>
      </c>
      <c r="B13" s="378"/>
      <c r="C13" s="379"/>
      <c r="D13" s="633" t="e">
        <f t="shared" si="0"/>
        <v>#DIV/0!</v>
      </c>
    </row>
    <row r="14" spans="1:4" x14ac:dyDescent="0.25">
      <c r="A14" s="380">
        <v>10</v>
      </c>
      <c r="B14" s="378"/>
      <c r="C14" s="379"/>
      <c r="D14" s="633" t="e">
        <f t="shared" si="0"/>
        <v>#DIV/0!</v>
      </c>
    </row>
    <row r="15" spans="1:4" x14ac:dyDescent="0.25">
      <c r="A15" s="380">
        <v>11</v>
      </c>
      <c r="B15" s="378"/>
      <c r="C15" s="379"/>
      <c r="D15" s="633" t="e">
        <f t="shared" si="0"/>
        <v>#DIV/0!</v>
      </c>
    </row>
    <row r="16" spans="1:4" x14ac:dyDescent="0.25">
      <c r="A16" s="380">
        <v>12</v>
      </c>
      <c r="B16" s="378"/>
      <c r="C16" s="379"/>
      <c r="D16" s="633" t="e">
        <f t="shared" si="0"/>
        <v>#DIV/0!</v>
      </c>
    </row>
    <row r="17" spans="1:4" x14ac:dyDescent="0.25">
      <c r="A17" s="380">
        <v>13</v>
      </c>
      <c r="B17" s="378"/>
      <c r="C17" s="379"/>
      <c r="D17" s="633" t="e">
        <f t="shared" si="0"/>
        <v>#DIV/0!</v>
      </c>
    </row>
    <row r="18" spans="1:4" x14ac:dyDescent="0.25">
      <c r="A18" s="380">
        <v>14</v>
      </c>
      <c r="B18" s="378"/>
      <c r="C18" s="379"/>
      <c r="D18" s="633" t="e">
        <f t="shared" si="0"/>
        <v>#DIV/0!</v>
      </c>
    </row>
    <row r="19" spans="1:4" x14ac:dyDescent="0.25">
      <c r="A19" s="380">
        <v>15</v>
      </c>
      <c r="B19" s="378"/>
      <c r="C19" s="379"/>
      <c r="D19" s="633" t="e">
        <f t="shared" si="0"/>
        <v>#DIV/0!</v>
      </c>
    </row>
    <row r="20" spans="1:4" x14ac:dyDescent="0.25">
      <c r="A20" s="380">
        <v>16</v>
      </c>
      <c r="B20" s="378"/>
      <c r="C20" s="379"/>
      <c r="D20" s="633" t="e">
        <f t="shared" si="0"/>
        <v>#DIV/0!</v>
      </c>
    </row>
    <row r="21" spans="1:4" x14ac:dyDescent="0.25">
      <c r="A21" s="380">
        <v>17</v>
      </c>
      <c r="B21" s="378"/>
      <c r="C21" s="379"/>
      <c r="D21" s="633" t="e">
        <f t="shared" si="0"/>
        <v>#DIV/0!</v>
      </c>
    </row>
    <row r="22" spans="1:4" x14ac:dyDescent="0.25">
      <c r="A22" s="380">
        <v>18</v>
      </c>
      <c r="B22" s="378"/>
      <c r="C22" s="379"/>
      <c r="D22" s="633" t="e">
        <f t="shared" si="0"/>
        <v>#DIV/0!</v>
      </c>
    </row>
    <row r="23" spans="1:4" x14ac:dyDescent="0.25">
      <c r="A23" s="761" t="s">
        <v>714</v>
      </c>
      <c r="B23" s="762"/>
      <c r="C23" s="270">
        <f>SUM(C5:C22)</f>
        <v>0</v>
      </c>
    </row>
    <row r="24" spans="1:4" x14ac:dyDescent="0.25">
      <c r="A24" s="751" t="s">
        <v>60</v>
      </c>
      <c r="B24" s="752"/>
      <c r="C24" s="269" t="e">
        <f>+#REF!</f>
        <v>#REF!</v>
      </c>
    </row>
    <row r="25" spans="1:4" x14ac:dyDescent="0.25">
      <c r="A25" s="751" t="s">
        <v>771</v>
      </c>
      <c r="B25" s="752"/>
      <c r="C25" s="270" t="e">
        <f>+C23*C24</f>
        <v>#REF!</v>
      </c>
    </row>
    <row r="26" spans="1:4" x14ac:dyDescent="0.25">
      <c r="A26" s="751" t="s">
        <v>69</v>
      </c>
      <c r="B26" s="752"/>
      <c r="C26" s="270" t="e">
        <f>#REF!</f>
        <v>#REF!</v>
      </c>
    </row>
    <row r="27" spans="1:4" x14ac:dyDescent="0.25">
      <c r="A27" s="751" t="s">
        <v>395</v>
      </c>
      <c r="B27" s="752"/>
      <c r="C27" s="270" t="e">
        <f>+C23+C25+C26</f>
        <v>#REF!</v>
      </c>
    </row>
    <row r="28" spans="1:4" hidden="1" x14ac:dyDescent="0.25">
      <c r="A28" s="753" t="s">
        <v>350</v>
      </c>
      <c r="B28" s="754"/>
      <c r="C28" s="49">
        <f>+C23*0.1</f>
        <v>0</v>
      </c>
    </row>
    <row r="29" spans="1:4" hidden="1" x14ac:dyDescent="0.25">
      <c r="A29" s="753" t="s">
        <v>62</v>
      </c>
      <c r="B29" s="754"/>
      <c r="C29" s="49" t="e">
        <f>+C27+C28</f>
        <v>#REF!</v>
      </c>
    </row>
    <row r="30" spans="1:4" ht="6" customHeight="1" x14ac:dyDescent="0.25"/>
  </sheetData>
  <mergeCells count="10">
    <mergeCell ref="B1:C1"/>
    <mergeCell ref="A2:C2"/>
    <mergeCell ref="A23:B23"/>
    <mergeCell ref="A24:B24"/>
    <mergeCell ref="A25:B25"/>
    <mergeCell ref="A27:B27"/>
    <mergeCell ref="A28:B28"/>
    <mergeCell ref="A29:B29"/>
    <mergeCell ref="A26:B26"/>
    <mergeCell ref="A3:C3"/>
  </mergeCells>
  <pageMargins left="0.7" right="0.7" top="0.75" bottom="0.75" header="0.3" footer="0.3"/>
  <pageSetup scale="9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68"/>
  <sheetViews>
    <sheetView view="pageBreakPreview" topLeftCell="A46" zoomScaleSheetLayoutView="100" workbookViewId="0">
      <selection activeCell="B40" sqref="B40"/>
    </sheetView>
  </sheetViews>
  <sheetFormatPr baseColWidth="10" defaultColWidth="10.85546875" defaultRowHeight="14.25" x14ac:dyDescent="0.2"/>
  <cols>
    <col min="1" max="1" width="37.5703125" style="271" customWidth="1" collapsed="1"/>
    <col min="2" max="3" width="10.85546875" style="271" collapsed="1"/>
    <col min="4" max="4" width="14.140625" style="271" customWidth="1" collapsed="1"/>
    <col min="5" max="5" width="19" style="271" customWidth="1" collapsed="1"/>
    <col min="6" max="6" width="20.140625" style="271" customWidth="1" collapsed="1"/>
    <col min="7" max="7" width="10.85546875" style="271" collapsed="1"/>
    <col min="8" max="8" width="12" style="271" bestFit="1" customWidth="1" collapsed="1"/>
    <col min="9" max="16384" width="10.85546875" style="271" collapsed="1"/>
  </cols>
  <sheetData>
    <row r="1" spans="1:7" ht="18" x14ac:dyDescent="0.2">
      <c r="A1" s="782" t="s">
        <v>6</v>
      </c>
      <c r="B1" s="783"/>
      <c r="C1" s="783"/>
      <c r="D1" s="783"/>
      <c r="E1" s="783"/>
      <c r="F1" s="783"/>
      <c r="G1" s="784"/>
    </row>
    <row r="2" spans="1:7" ht="18" x14ac:dyDescent="0.2">
      <c r="A2" s="785" t="s">
        <v>827</v>
      </c>
      <c r="B2" s="786"/>
      <c r="C2" s="786"/>
      <c r="D2" s="786"/>
      <c r="E2" s="786"/>
      <c r="F2" s="786"/>
      <c r="G2" s="787"/>
    </row>
    <row r="3" spans="1:7" ht="18.75" thickBot="1" x14ac:dyDescent="0.25">
      <c r="A3" s="788" t="s">
        <v>356</v>
      </c>
      <c r="B3" s="789"/>
      <c r="C3" s="789"/>
      <c r="D3" s="789"/>
      <c r="E3" s="789"/>
      <c r="F3" s="789"/>
      <c r="G3" s="790"/>
    </row>
    <row r="4" spans="1:7" ht="15" thickBot="1" x14ac:dyDescent="0.25">
      <c r="A4" s="81"/>
      <c r="B4" s="82"/>
      <c r="C4" s="82"/>
      <c r="D4" s="82"/>
      <c r="E4" s="82"/>
      <c r="F4" s="82"/>
      <c r="G4" s="83"/>
    </row>
    <row r="5" spans="1:7" ht="43.5" customHeight="1" thickBot="1" x14ac:dyDescent="0.25">
      <c r="A5" s="273" t="s">
        <v>357</v>
      </c>
      <c r="B5" s="791" t="str">
        <f>PRESUPUESTO!B5</f>
        <v>MANTENIMIENTO PREVENTIVO Y CORRECTIVO DE LOS TANQUES DE AGUA PARA LA INFRAESTRUCTURA INSTITUCIONAL SEGÚN REQUERIMIENTO DEL MUNICIPIO DE ENVIGADO</v>
      </c>
      <c r="C5" s="792"/>
      <c r="D5" s="792"/>
      <c r="E5" s="792"/>
      <c r="F5" s="792"/>
      <c r="G5" s="793"/>
    </row>
    <row r="6" spans="1:7" ht="15.75" thickBot="1" x14ac:dyDescent="0.25">
      <c r="A6" s="274"/>
      <c r="B6" s="275"/>
      <c r="C6" s="275"/>
      <c r="D6" s="275"/>
      <c r="E6" s="275"/>
      <c r="F6" s="275"/>
      <c r="G6" s="276"/>
    </row>
    <row r="7" spans="1:7" ht="15.75" thickBot="1" x14ac:dyDescent="0.25">
      <c r="A7" s="794" t="s">
        <v>358</v>
      </c>
      <c r="B7" s="795"/>
      <c r="C7" s="795"/>
      <c r="D7" s="795"/>
      <c r="E7" s="795"/>
      <c r="F7" s="795"/>
      <c r="G7" s="796"/>
    </row>
    <row r="8" spans="1:7" ht="15.75" thickBot="1" x14ac:dyDescent="0.25">
      <c r="A8" s="274"/>
      <c r="B8" s="275"/>
      <c r="C8" s="275"/>
      <c r="D8" s="275"/>
      <c r="E8" s="275"/>
      <c r="F8" s="275"/>
      <c r="G8" s="276"/>
    </row>
    <row r="9" spans="1:7" ht="15.75" thickBot="1" x14ac:dyDescent="0.25">
      <c r="A9" s="799" t="s">
        <v>359</v>
      </c>
      <c r="B9" s="800"/>
      <c r="C9" s="801"/>
      <c r="D9" s="277">
        <f>PRESUPUESTO!F14</f>
        <v>125816171</v>
      </c>
      <c r="E9" s="278"/>
      <c r="F9" s="278"/>
      <c r="G9" s="276"/>
    </row>
    <row r="10" spans="1:7" ht="15.75" thickBot="1" x14ac:dyDescent="0.25">
      <c r="A10" s="274"/>
      <c r="B10" s="275"/>
      <c r="C10" s="275"/>
      <c r="D10" s="275"/>
      <c r="E10" s="275"/>
      <c r="F10" s="275"/>
      <c r="G10" s="276"/>
    </row>
    <row r="11" spans="1:7" ht="15.75" thickBot="1" x14ac:dyDescent="0.25">
      <c r="A11" s="799" t="s">
        <v>360</v>
      </c>
      <c r="B11" s="800"/>
      <c r="C11" s="801"/>
      <c r="D11" s="279">
        <v>1</v>
      </c>
      <c r="E11" s="278"/>
      <c r="F11" s="278"/>
      <c r="G11" s="276"/>
    </row>
    <row r="12" spans="1:7" ht="15.75" thickBot="1" x14ac:dyDescent="0.25">
      <c r="A12" s="274"/>
      <c r="B12" s="275"/>
      <c r="C12" s="275"/>
      <c r="D12" s="275"/>
      <c r="E12" s="275"/>
      <c r="F12" s="275"/>
      <c r="G12" s="276"/>
    </row>
    <row r="13" spans="1:7" ht="33" customHeight="1" thickBot="1" x14ac:dyDescent="0.25">
      <c r="A13" s="280" t="s">
        <v>361</v>
      </c>
      <c r="B13" s="281" t="s">
        <v>362</v>
      </c>
      <c r="C13" s="281" t="s">
        <v>363</v>
      </c>
      <c r="D13" s="281" t="s">
        <v>8</v>
      </c>
      <c r="E13" s="281" t="s">
        <v>9</v>
      </c>
      <c r="F13" s="281" t="s">
        <v>364</v>
      </c>
      <c r="G13" s="282" t="s">
        <v>365</v>
      </c>
    </row>
    <row r="14" spans="1:7" ht="27" customHeight="1" x14ac:dyDescent="0.2">
      <c r="A14" s="283" t="s">
        <v>366</v>
      </c>
      <c r="B14" s="649">
        <v>1</v>
      </c>
      <c r="C14" s="284">
        <f t="shared" ref="C14" si="0">+$D$11</f>
        <v>1</v>
      </c>
      <c r="D14" s="318">
        <f>'CALCULO PRESTACIONES Y SALARIOS'!D77</f>
        <v>12028025</v>
      </c>
      <c r="E14" s="285">
        <v>0.58284599999999998</v>
      </c>
      <c r="F14" s="318">
        <f t="shared" ref="F14:F21" si="1">D14*(1+E14)*C14*B14</f>
        <v>19038511.259149998</v>
      </c>
      <c r="G14" s="286">
        <f t="shared" ref="G14:G21" si="2">+F14/$D$9</f>
        <v>0.15132006567860024</v>
      </c>
    </row>
    <row r="15" spans="1:7" ht="30.75" customHeight="1" x14ac:dyDescent="0.2">
      <c r="A15" s="287" t="s">
        <v>689</v>
      </c>
      <c r="B15" s="650">
        <v>1</v>
      </c>
      <c r="C15" s="288">
        <f t="shared" ref="C15:C21" si="3">$C$14</f>
        <v>1</v>
      </c>
      <c r="D15" s="321">
        <f>'CALCULO PRESTACIONES Y SALARIOS'!G77</f>
        <v>7796595</v>
      </c>
      <c r="E15" s="289">
        <v>0.58284599999999998</v>
      </c>
      <c r="F15" s="319">
        <f t="shared" si="1"/>
        <v>12340809.20937</v>
      </c>
      <c r="G15" s="290">
        <f t="shared" si="2"/>
        <v>9.8086033864200173E-2</v>
      </c>
    </row>
    <row r="16" spans="1:7" ht="24" customHeight="1" x14ac:dyDescent="0.2">
      <c r="A16" s="287" t="s">
        <v>690</v>
      </c>
      <c r="B16" s="650">
        <v>1</v>
      </c>
      <c r="C16" s="288">
        <f t="shared" si="3"/>
        <v>1</v>
      </c>
      <c r="D16" s="321">
        <f>D15</f>
        <v>7796595</v>
      </c>
      <c r="E16" s="289">
        <v>0.58284599999999998</v>
      </c>
      <c r="F16" s="319">
        <f t="shared" ref="F16" si="4">D16*(1+E16)*C16*B16</f>
        <v>12340809.20937</v>
      </c>
      <c r="G16" s="290">
        <f t="shared" ref="G16" si="5">+F16/$D$9</f>
        <v>9.8086033864200173E-2</v>
      </c>
    </row>
    <row r="17" spans="1:7" ht="29.25" customHeight="1" x14ac:dyDescent="0.2">
      <c r="A17" s="287" t="s">
        <v>768</v>
      </c>
      <c r="B17" s="650">
        <v>1</v>
      </c>
      <c r="C17" s="288">
        <f t="shared" si="3"/>
        <v>1</v>
      </c>
      <c r="D17" s="321">
        <f>'CALCULO PRESTACIONES Y SALARIOS'!H77</f>
        <v>6953837</v>
      </c>
      <c r="E17" s="289">
        <v>0.58284599999999998</v>
      </c>
      <c r="F17" s="319">
        <f>D17*(1+E17)*C17*B17</f>
        <v>11006853.080102</v>
      </c>
      <c r="G17" s="290">
        <f>+F17/$D$9</f>
        <v>8.7483611944461415E-2</v>
      </c>
    </row>
    <row r="18" spans="1:7" ht="22.5" customHeight="1" x14ac:dyDescent="0.2">
      <c r="A18" s="287" t="s">
        <v>367</v>
      </c>
      <c r="B18" s="650">
        <v>1</v>
      </c>
      <c r="C18" s="288">
        <f t="shared" si="3"/>
        <v>1</v>
      </c>
      <c r="D18" s="321">
        <f>'CALCULO PRESTACIONES Y SALARIOS'!I77</f>
        <v>5259509</v>
      </c>
      <c r="E18" s="289">
        <v>0.58284599999999998</v>
      </c>
      <c r="F18" s="319">
        <f t="shared" si="1"/>
        <v>8324992.7826140001</v>
      </c>
      <c r="G18" s="290">
        <f t="shared" si="2"/>
        <v>6.6167907642126544E-2</v>
      </c>
    </row>
    <row r="19" spans="1:7" ht="19.5" customHeight="1" x14ac:dyDescent="0.2">
      <c r="A19" s="287" t="s">
        <v>691</v>
      </c>
      <c r="B19" s="650">
        <v>1</v>
      </c>
      <c r="C19" s="288">
        <f t="shared" si="3"/>
        <v>1</v>
      </c>
      <c r="D19" s="321">
        <f>'CALCULO PRESTACIONES Y SALARIOS'!I77</f>
        <v>5259509</v>
      </c>
      <c r="E19" s="289">
        <v>0.58284599999999998</v>
      </c>
      <c r="F19" s="319">
        <f t="shared" ref="F19" si="6">D19*(1+E19)*C19*B19</f>
        <v>8324992.7826140001</v>
      </c>
      <c r="G19" s="290">
        <f t="shared" ref="G19" si="7">+F19/$D$9</f>
        <v>6.6167907642126544E-2</v>
      </c>
    </row>
    <row r="20" spans="1:7" ht="30.75" customHeight="1" x14ac:dyDescent="0.2">
      <c r="A20" s="287" t="s">
        <v>692</v>
      </c>
      <c r="B20" s="650">
        <v>1</v>
      </c>
      <c r="C20" s="288">
        <f t="shared" si="3"/>
        <v>1</v>
      </c>
      <c r="D20" s="321">
        <f>'CALCULO PRESTACIONES Y SALARIOS'!J77</f>
        <v>4959460</v>
      </c>
      <c r="E20" s="289">
        <v>0.58284599999999998</v>
      </c>
      <c r="F20" s="319">
        <f t="shared" si="1"/>
        <v>7850061.4231599998</v>
      </c>
      <c r="G20" s="290">
        <f t="shared" si="2"/>
        <v>6.2393103849583846E-2</v>
      </c>
    </row>
    <row r="21" spans="1:7" ht="30.75" customHeight="1" thickBot="1" x14ac:dyDescent="0.25">
      <c r="A21" s="291" t="s">
        <v>368</v>
      </c>
      <c r="B21" s="651">
        <v>1</v>
      </c>
      <c r="C21" s="288">
        <f t="shared" si="3"/>
        <v>1</v>
      </c>
      <c r="D21" s="322">
        <f>'CALCULO PRESTACIONES Y SALARIOS'!P77</f>
        <v>1804648</v>
      </c>
      <c r="E21" s="289">
        <v>0.58284599999999998</v>
      </c>
      <c r="F21" s="319">
        <f t="shared" si="1"/>
        <v>2856479.868208</v>
      </c>
      <c r="G21" s="290">
        <f t="shared" si="2"/>
        <v>2.2703598794212233E-2</v>
      </c>
    </row>
    <row r="22" spans="1:7" ht="15.75" thickBot="1" x14ac:dyDescent="0.25">
      <c r="A22" s="779" t="s">
        <v>369</v>
      </c>
      <c r="B22" s="777"/>
      <c r="C22" s="777"/>
      <c r="D22" s="777"/>
      <c r="E22" s="778"/>
      <c r="F22" s="320">
        <f>SUM(F14:F21)</f>
        <v>82083509.614588007</v>
      </c>
      <c r="G22" s="292">
        <f>SUM(G14:G21)</f>
        <v>0.65240826327951118</v>
      </c>
    </row>
    <row r="23" spans="1:7" ht="15" thickBot="1" x14ac:dyDescent="0.25">
      <c r="A23" s="293"/>
      <c r="B23" s="294"/>
      <c r="C23" s="294"/>
      <c r="D23" s="294"/>
      <c r="E23" s="294"/>
      <c r="F23" s="294"/>
      <c r="G23" s="295"/>
    </row>
    <row r="24" spans="1:7" ht="30.75" thickBot="1" x14ac:dyDescent="0.25">
      <c r="A24" s="296" t="s">
        <v>370</v>
      </c>
      <c r="B24" s="281" t="s">
        <v>365</v>
      </c>
      <c r="C24" s="297" t="s">
        <v>363</v>
      </c>
      <c r="D24" s="297" t="s">
        <v>8</v>
      </c>
      <c r="E24" s="281" t="s">
        <v>9</v>
      </c>
      <c r="F24" s="297" t="s">
        <v>364</v>
      </c>
      <c r="G24" s="298" t="s">
        <v>365</v>
      </c>
    </row>
    <row r="25" spans="1:7" x14ac:dyDescent="0.2">
      <c r="A25" s="299" t="s">
        <v>371</v>
      </c>
      <c r="B25" s="689">
        <v>0.1</v>
      </c>
      <c r="C25" s="300">
        <v>2</v>
      </c>
      <c r="D25" s="324">
        <v>10148359</v>
      </c>
      <c r="E25" s="690">
        <f>$E$17</f>
        <v>0.58284599999999998</v>
      </c>
      <c r="F25" s="325">
        <f t="shared" ref="F25:F30" si="8">D25*(1+E25)*C25*B25</f>
        <v>3212657.8899428002</v>
      </c>
      <c r="G25" s="302">
        <f t="shared" ref="G25:G30" si="9">+F25/$D$9</f>
        <v>2.5534538719532325E-2</v>
      </c>
    </row>
    <row r="26" spans="1:7" x14ac:dyDescent="0.2">
      <c r="A26" s="287" t="s">
        <v>12</v>
      </c>
      <c r="B26" s="689">
        <v>0.1</v>
      </c>
      <c r="C26" s="304">
        <v>2</v>
      </c>
      <c r="D26" s="321">
        <v>1522257</v>
      </c>
      <c r="E26" s="289">
        <f t="shared" ref="E26:E28" si="10">$E$17</f>
        <v>0.58284599999999998</v>
      </c>
      <c r="F26" s="319">
        <f t="shared" si="8"/>
        <v>481899.68068440002</v>
      </c>
      <c r="G26" s="290">
        <f t="shared" si="9"/>
        <v>3.830188733723267E-3</v>
      </c>
    </row>
    <row r="27" spans="1:7" x14ac:dyDescent="0.2">
      <c r="A27" s="287" t="s">
        <v>372</v>
      </c>
      <c r="B27" s="689">
        <v>0.1</v>
      </c>
      <c r="C27" s="304">
        <v>2</v>
      </c>
      <c r="D27" s="321">
        <v>2540250</v>
      </c>
      <c r="E27" s="289">
        <f t="shared" si="10"/>
        <v>0.58284599999999998</v>
      </c>
      <c r="F27" s="319">
        <f t="shared" si="8"/>
        <v>804164.91030000011</v>
      </c>
      <c r="G27" s="290">
        <f t="shared" si="9"/>
        <v>6.3915862635813333E-3</v>
      </c>
    </row>
    <row r="28" spans="1:7" x14ac:dyDescent="0.2">
      <c r="A28" s="287" t="s">
        <v>373</v>
      </c>
      <c r="B28" s="689">
        <v>0.1</v>
      </c>
      <c r="C28" s="304">
        <v>2</v>
      </c>
      <c r="D28" s="321">
        <v>1360415</v>
      </c>
      <c r="E28" s="289">
        <f t="shared" si="10"/>
        <v>0.58284599999999998</v>
      </c>
      <c r="F28" s="319">
        <f t="shared" si="8"/>
        <v>430665.48821799998</v>
      </c>
      <c r="G28" s="290">
        <f t="shared" si="9"/>
        <v>3.4229740485267192E-3</v>
      </c>
    </row>
    <row r="29" spans="1:7" x14ac:dyDescent="0.2">
      <c r="A29" s="287" t="s">
        <v>374</v>
      </c>
      <c r="B29" s="689">
        <v>0.1</v>
      </c>
      <c r="C29" s="304">
        <v>2</v>
      </c>
      <c r="D29" s="321">
        <v>3000000</v>
      </c>
      <c r="E29" s="289">
        <v>0</v>
      </c>
      <c r="F29" s="319">
        <f t="shared" si="8"/>
        <v>600000</v>
      </c>
      <c r="G29" s="290">
        <f t="shared" si="9"/>
        <v>4.7688623428223708E-3</v>
      </c>
    </row>
    <row r="30" spans="1:7" ht="15" thickBot="1" x14ac:dyDescent="0.25">
      <c r="A30" s="734" t="s">
        <v>375</v>
      </c>
      <c r="B30" s="735">
        <v>0.1</v>
      </c>
      <c r="C30" s="736">
        <v>2</v>
      </c>
      <c r="D30" s="737">
        <v>500000</v>
      </c>
      <c r="E30" s="738">
        <v>0</v>
      </c>
      <c r="F30" s="326">
        <f t="shared" si="8"/>
        <v>100000</v>
      </c>
      <c r="G30" s="307">
        <f t="shared" si="9"/>
        <v>7.9481039047039513E-4</v>
      </c>
    </row>
    <row r="31" spans="1:7" ht="15.75" thickBot="1" x14ac:dyDescent="0.25">
      <c r="A31" s="779" t="s">
        <v>376</v>
      </c>
      <c r="B31" s="777"/>
      <c r="C31" s="777"/>
      <c r="D31" s="777"/>
      <c r="E31" s="802"/>
      <c r="F31" s="733">
        <f>SUM(F25:F30)</f>
        <v>5629387.9691452011</v>
      </c>
      <c r="G31" s="292">
        <f>SUM(G25:G30)</f>
        <v>4.4742960498656413E-2</v>
      </c>
    </row>
    <row r="32" spans="1:7" ht="15" thickBot="1" x14ac:dyDescent="0.25">
      <c r="A32" s="293"/>
      <c r="B32" s="294"/>
      <c r="C32" s="294"/>
      <c r="D32" s="294"/>
      <c r="E32" s="294"/>
      <c r="F32" s="294"/>
      <c r="G32" s="295"/>
    </row>
    <row r="33" spans="1:8" ht="15.75" thickBot="1" x14ac:dyDescent="0.25">
      <c r="A33" s="280" t="s">
        <v>377</v>
      </c>
      <c r="B33" s="281" t="s">
        <v>362</v>
      </c>
      <c r="C33" s="281" t="s">
        <v>363</v>
      </c>
      <c r="D33" s="803" t="s">
        <v>13</v>
      </c>
      <c r="E33" s="804"/>
      <c r="F33" s="281" t="s">
        <v>364</v>
      </c>
      <c r="G33" s="282" t="s">
        <v>365</v>
      </c>
    </row>
    <row r="34" spans="1:8" x14ac:dyDescent="0.2">
      <c r="A34" s="308" t="s">
        <v>832</v>
      </c>
      <c r="B34" s="327">
        <v>0</v>
      </c>
      <c r="C34" s="309">
        <v>0</v>
      </c>
      <c r="D34" s="797">
        <v>4890000</v>
      </c>
      <c r="E34" s="798"/>
      <c r="F34" s="330">
        <f>D34*C34*B34</f>
        <v>0</v>
      </c>
      <c r="G34" s="310">
        <f t="shared" ref="G34:G45" si="11">+F34/$D$9</f>
        <v>0</v>
      </c>
      <c r="H34" s="272"/>
    </row>
    <row r="35" spans="1:8" x14ac:dyDescent="0.2">
      <c r="A35" s="311" t="s">
        <v>378</v>
      </c>
      <c r="B35" s="328">
        <v>0</v>
      </c>
      <c r="C35" s="312">
        <v>0</v>
      </c>
      <c r="D35" s="772">
        <v>400000</v>
      </c>
      <c r="E35" s="772"/>
      <c r="F35" s="318">
        <f t="shared" ref="F35:F45" si="12">D35*C35*B35</f>
        <v>0</v>
      </c>
      <c r="G35" s="313">
        <f t="shared" si="11"/>
        <v>0</v>
      </c>
    </row>
    <row r="36" spans="1:8" x14ac:dyDescent="0.2">
      <c r="A36" s="311" t="s">
        <v>379</v>
      </c>
      <c r="B36" s="328">
        <v>1</v>
      </c>
      <c r="C36" s="312">
        <f>D11</f>
        <v>1</v>
      </c>
      <c r="D36" s="772">
        <v>100000</v>
      </c>
      <c r="E36" s="772"/>
      <c r="F36" s="318">
        <f t="shared" si="12"/>
        <v>100000</v>
      </c>
      <c r="G36" s="313">
        <f t="shared" si="11"/>
        <v>7.9481039047039513E-4</v>
      </c>
    </row>
    <row r="37" spans="1:8" x14ac:dyDescent="0.2">
      <c r="A37" s="311" t="s">
        <v>380</v>
      </c>
      <c r="B37" s="328">
        <v>0</v>
      </c>
      <c r="C37" s="312">
        <v>0</v>
      </c>
      <c r="D37" s="772">
        <v>1150000</v>
      </c>
      <c r="E37" s="772"/>
      <c r="F37" s="318">
        <f t="shared" si="12"/>
        <v>0</v>
      </c>
      <c r="G37" s="313">
        <f t="shared" si="11"/>
        <v>0</v>
      </c>
    </row>
    <row r="38" spans="1:8" x14ac:dyDescent="0.2">
      <c r="A38" s="311" t="s">
        <v>381</v>
      </c>
      <c r="B38" s="328">
        <v>0</v>
      </c>
      <c r="C38" s="312">
        <v>0</v>
      </c>
      <c r="D38" s="772">
        <v>80000</v>
      </c>
      <c r="E38" s="772"/>
      <c r="F38" s="318">
        <f t="shared" si="12"/>
        <v>0</v>
      </c>
      <c r="G38" s="313">
        <f t="shared" si="11"/>
        <v>0</v>
      </c>
    </row>
    <row r="39" spans="1:8" x14ac:dyDescent="0.2">
      <c r="A39" s="314" t="s">
        <v>693</v>
      </c>
      <c r="B39" s="329">
        <v>0</v>
      </c>
      <c r="C39" s="315">
        <v>0</v>
      </c>
      <c r="D39" s="772">
        <v>100000</v>
      </c>
      <c r="E39" s="772"/>
      <c r="F39" s="318">
        <f t="shared" si="12"/>
        <v>0</v>
      </c>
      <c r="G39" s="316">
        <f t="shared" si="11"/>
        <v>0</v>
      </c>
    </row>
    <row r="40" spans="1:8" ht="28.5" x14ac:dyDescent="0.2">
      <c r="A40" s="317" t="s">
        <v>833</v>
      </c>
      <c r="B40" s="329">
        <v>0</v>
      </c>
      <c r="C40" s="315">
        <v>0</v>
      </c>
      <c r="D40" s="772">
        <v>11600000</v>
      </c>
      <c r="E40" s="772"/>
      <c r="F40" s="318">
        <f t="shared" ref="F40:F42" si="13">D40*C40*B40</f>
        <v>0</v>
      </c>
      <c r="G40" s="316">
        <f t="shared" ref="G40:G42" si="14">+F40/$D$9</f>
        <v>0</v>
      </c>
    </row>
    <row r="41" spans="1:8" ht="28.5" x14ac:dyDescent="0.2">
      <c r="A41" s="317" t="s">
        <v>834</v>
      </c>
      <c r="B41" s="329">
        <v>0</v>
      </c>
      <c r="C41" s="315">
        <v>0</v>
      </c>
      <c r="D41" s="772">
        <v>3556275</v>
      </c>
      <c r="E41" s="772"/>
      <c r="F41" s="318">
        <f t="shared" si="13"/>
        <v>0</v>
      </c>
      <c r="G41" s="316">
        <f t="shared" si="14"/>
        <v>0</v>
      </c>
    </row>
    <row r="42" spans="1:8" ht="28.5" x14ac:dyDescent="0.2">
      <c r="A42" s="317" t="s">
        <v>835</v>
      </c>
      <c r="B42" s="329">
        <v>0</v>
      </c>
      <c r="C42" s="315">
        <v>0</v>
      </c>
      <c r="D42" s="772">
        <v>4564350</v>
      </c>
      <c r="E42" s="772"/>
      <c r="F42" s="318">
        <f t="shared" si="13"/>
        <v>0</v>
      </c>
      <c r="G42" s="316">
        <f t="shared" si="14"/>
        <v>0</v>
      </c>
    </row>
    <row r="43" spans="1:8" x14ac:dyDescent="0.2">
      <c r="A43" s="311" t="s">
        <v>382</v>
      </c>
      <c r="B43" s="328">
        <v>0</v>
      </c>
      <c r="C43" s="312">
        <v>0</v>
      </c>
      <c r="D43" s="772">
        <v>450000</v>
      </c>
      <c r="E43" s="772"/>
      <c r="F43" s="318">
        <f t="shared" si="12"/>
        <v>0</v>
      </c>
      <c r="G43" s="313">
        <f t="shared" si="11"/>
        <v>0</v>
      </c>
    </row>
    <row r="44" spans="1:8" x14ac:dyDescent="0.2">
      <c r="A44" s="311" t="s">
        <v>383</v>
      </c>
      <c r="B44" s="328">
        <v>0</v>
      </c>
      <c r="C44" s="312">
        <v>0</v>
      </c>
      <c r="D44" s="772">
        <v>330000</v>
      </c>
      <c r="E44" s="772"/>
      <c r="F44" s="318">
        <f t="shared" si="12"/>
        <v>0</v>
      </c>
      <c r="G44" s="313">
        <f t="shared" si="11"/>
        <v>0</v>
      </c>
    </row>
    <row r="45" spans="1:8" ht="31.5" customHeight="1" thickBot="1" x14ac:dyDescent="0.25">
      <c r="A45" s="311" t="s">
        <v>384</v>
      </c>
      <c r="B45" s="328">
        <v>0</v>
      </c>
      <c r="C45" s="312">
        <v>0</v>
      </c>
      <c r="D45" s="772">
        <v>2500000</v>
      </c>
      <c r="E45" s="772"/>
      <c r="F45" s="318">
        <f t="shared" si="12"/>
        <v>0</v>
      </c>
      <c r="G45" s="313">
        <f t="shared" si="11"/>
        <v>0</v>
      </c>
    </row>
    <row r="46" spans="1:8" ht="15.75" thickBot="1" x14ac:dyDescent="0.25">
      <c r="A46" s="779" t="s">
        <v>385</v>
      </c>
      <c r="B46" s="777"/>
      <c r="C46" s="777"/>
      <c r="D46" s="777"/>
      <c r="E46" s="778"/>
      <c r="F46" s="320">
        <f>SUM(F34:F45)</f>
        <v>100000</v>
      </c>
      <c r="G46" s="292">
        <f>SUM(G34:G45)</f>
        <v>7.9481039047039513E-4</v>
      </c>
    </row>
    <row r="47" spans="1:8" ht="15" thickBot="1" x14ac:dyDescent="0.25">
      <c r="A47" s="293"/>
      <c r="B47" s="294"/>
      <c r="C47" s="294"/>
      <c r="D47" s="294"/>
      <c r="E47" s="294"/>
      <c r="F47" s="294"/>
      <c r="G47" s="295"/>
    </row>
    <row r="48" spans="1:8" ht="15" x14ac:dyDescent="0.2">
      <c r="A48" s="296" t="s">
        <v>386</v>
      </c>
      <c r="B48" s="297" t="s">
        <v>365</v>
      </c>
      <c r="C48" s="297" t="s">
        <v>362</v>
      </c>
      <c r="D48" s="780" t="s">
        <v>387</v>
      </c>
      <c r="E48" s="781"/>
      <c r="F48" s="297" t="s">
        <v>364</v>
      </c>
      <c r="G48" s="298" t="s">
        <v>365</v>
      </c>
    </row>
    <row r="49" spans="1:7" ht="14.25" customHeight="1" x14ac:dyDescent="0.2">
      <c r="A49" s="679" t="s">
        <v>783</v>
      </c>
      <c r="B49" s="680">
        <v>0.05</v>
      </c>
      <c r="C49" s="652">
        <v>1</v>
      </c>
      <c r="D49" s="767">
        <f t="shared" ref="D49:D55" si="15">+ROUND($E$67*B49*C49,0)</f>
        <v>4161313</v>
      </c>
      <c r="E49" s="767"/>
      <c r="F49" s="319">
        <f>+C49*D49</f>
        <v>4161313</v>
      </c>
      <c r="G49" s="323">
        <f>F49/$D$9</f>
        <v>3.3074548103995315E-2</v>
      </c>
    </row>
    <row r="50" spans="1:7" ht="28.5" x14ac:dyDescent="0.2">
      <c r="A50" s="679" t="s">
        <v>784</v>
      </c>
      <c r="B50" s="680">
        <v>4.0000000000000001E-3</v>
      </c>
      <c r="C50" s="652">
        <v>1</v>
      </c>
      <c r="D50" s="763">
        <f t="shared" si="15"/>
        <v>332905</v>
      </c>
      <c r="E50" s="764"/>
      <c r="F50" s="319">
        <f t="shared" ref="F50:F55" si="16">+C50*D50</f>
        <v>332905</v>
      </c>
      <c r="G50" s="323">
        <f t="shared" ref="G50:G55" si="17">F50/$D$9</f>
        <v>2.6459635303954687E-3</v>
      </c>
    </row>
    <row r="51" spans="1:7" x14ac:dyDescent="0.2">
      <c r="A51" s="679" t="s">
        <v>796</v>
      </c>
      <c r="B51" s="680">
        <v>7.0000000000000001E-3</v>
      </c>
      <c r="C51" s="652">
        <v>1</v>
      </c>
      <c r="D51" s="763">
        <f t="shared" si="15"/>
        <v>582584</v>
      </c>
      <c r="E51" s="764"/>
      <c r="F51" s="319">
        <f t="shared" ref="F51" si="18">+C51*D51</f>
        <v>582584</v>
      </c>
      <c r="G51" s="323">
        <f t="shared" ref="G51" si="19">F51/$D$9</f>
        <v>4.6304381652180465E-3</v>
      </c>
    </row>
    <row r="52" spans="1:7" x14ac:dyDescent="0.2">
      <c r="A52" s="679" t="s">
        <v>786</v>
      </c>
      <c r="B52" s="680">
        <v>5.0000000000000001E-3</v>
      </c>
      <c r="C52" s="652">
        <v>1</v>
      </c>
      <c r="D52" s="763">
        <f t="shared" si="15"/>
        <v>416131</v>
      </c>
      <c r="E52" s="764"/>
      <c r="F52" s="319">
        <f t="shared" si="16"/>
        <v>416131</v>
      </c>
      <c r="G52" s="323">
        <f t="shared" si="17"/>
        <v>3.3074524259683598E-3</v>
      </c>
    </row>
    <row r="53" spans="1:7" x14ac:dyDescent="0.2">
      <c r="A53" s="679" t="s">
        <v>785</v>
      </c>
      <c r="B53" s="680">
        <v>0.02</v>
      </c>
      <c r="C53" s="652">
        <v>1</v>
      </c>
      <c r="D53" s="763">
        <f t="shared" si="15"/>
        <v>1664525</v>
      </c>
      <c r="E53" s="764"/>
      <c r="F53" s="319">
        <f t="shared" si="16"/>
        <v>1664525</v>
      </c>
      <c r="G53" s="323">
        <f t="shared" si="17"/>
        <v>1.3229817651977343E-2</v>
      </c>
    </row>
    <row r="54" spans="1:7" x14ac:dyDescent="0.2">
      <c r="A54" s="679" t="s">
        <v>795</v>
      </c>
      <c r="B54" s="680">
        <v>3.0000000000000001E-3</v>
      </c>
      <c r="C54" s="652">
        <v>1</v>
      </c>
      <c r="D54" s="763">
        <f t="shared" si="15"/>
        <v>249679</v>
      </c>
      <c r="E54" s="764"/>
      <c r="F54" s="319">
        <f t="shared" si="16"/>
        <v>249679</v>
      </c>
      <c r="G54" s="323">
        <f t="shared" si="17"/>
        <v>1.9844746348225777E-3</v>
      </c>
    </row>
    <row r="55" spans="1:7" ht="15" thickBot="1" x14ac:dyDescent="0.25">
      <c r="A55" s="679" t="s">
        <v>794</v>
      </c>
      <c r="B55" s="680">
        <v>7.0000000000000001E-3</v>
      </c>
      <c r="C55" s="652">
        <v>1</v>
      </c>
      <c r="D55" s="765">
        <f t="shared" si="15"/>
        <v>582584</v>
      </c>
      <c r="E55" s="766"/>
      <c r="F55" s="319">
        <f t="shared" si="16"/>
        <v>582584</v>
      </c>
      <c r="G55" s="323">
        <f t="shared" si="17"/>
        <v>4.6304381652180465E-3</v>
      </c>
    </row>
    <row r="56" spans="1:7" ht="15.75" thickBot="1" x14ac:dyDescent="0.25">
      <c r="A56" s="775" t="s">
        <v>388</v>
      </c>
      <c r="B56" s="776"/>
      <c r="C56" s="777"/>
      <c r="D56" s="777"/>
      <c r="E56" s="778"/>
      <c r="F56" s="320">
        <f>SUM(F49:F55)</f>
        <v>7989721</v>
      </c>
      <c r="G56" s="634">
        <f>SUM(G49:G55)</f>
        <v>6.3503132677595164E-2</v>
      </c>
    </row>
    <row r="57" spans="1:7" ht="15" thickBot="1" x14ac:dyDescent="0.25">
      <c r="A57" s="739" t="s">
        <v>831</v>
      </c>
      <c r="B57" s="294"/>
      <c r="C57" s="294"/>
      <c r="D57" s="294"/>
      <c r="E57" s="294"/>
      <c r="F57" s="294"/>
      <c r="G57" s="657"/>
    </row>
    <row r="58" spans="1:7" ht="28.5" customHeight="1" x14ac:dyDescent="0.2">
      <c r="A58" s="331" t="s">
        <v>389</v>
      </c>
      <c r="B58" s="302">
        <f>+G56+G46+G31+G22</f>
        <v>0.76144916684623309</v>
      </c>
      <c r="C58" s="274"/>
      <c r="D58" s="274"/>
      <c r="E58" s="274"/>
      <c r="F58" s="274"/>
    </row>
    <row r="59" spans="1:7" ht="15" customHeight="1" x14ac:dyDescent="0.2">
      <c r="A59" s="332" t="s">
        <v>390</v>
      </c>
      <c r="B59" s="333">
        <f>'1 RIESGOS'!C19</f>
        <v>0.36721102946894807</v>
      </c>
      <c r="C59" s="274"/>
      <c r="D59" s="274"/>
      <c r="E59" s="274"/>
      <c r="F59" s="274"/>
    </row>
    <row r="60" spans="1:7" ht="15" x14ac:dyDescent="0.2">
      <c r="A60" s="332" t="s">
        <v>391</v>
      </c>
      <c r="B60" s="290">
        <v>0.05</v>
      </c>
      <c r="C60" s="274"/>
      <c r="D60" s="274"/>
      <c r="E60" s="274"/>
      <c r="F60" s="274"/>
    </row>
    <row r="61" spans="1:7" ht="15" x14ac:dyDescent="0.2">
      <c r="A61" s="332" t="s">
        <v>392</v>
      </c>
      <c r="B61" s="290">
        <f>B58+B59+B60</f>
        <v>1.1786601963151813</v>
      </c>
      <c r="C61" s="274"/>
      <c r="D61" s="274"/>
      <c r="E61" s="274"/>
      <c r="F61" s="274"/>
    </row>
    <row r="62" spans="1:7" ht="15.75" thickBot="1" x14ac:dyDescent="0.25">
      <c r="A62" s="334" t="s">
        <v>392</v>
      </c>
      <c r="B62" s="307">
        <f>ROUNDUP(B61,2)</f>
        <v>1.18</v>
      </c>
      <c r="C62" s="274"/>
      <c r="D62" s="274"/>
      <c r="E62" s="274"/>
      <c r="F62" s="274"/>
    </row>
    <row r="63" spans="1:7" ht="15" thickBot="1" x14ac:dyDescent="0.25">
      <c r="A63" s="293"/>
      <c r="B63" s="294"/>
      <c r="C63" s="294"/>
      <c r="D63" s="294"/>
      <c r="E63" s="294"/>
      <c r="F63" s="294"/>
      <c r="G63" s="295"/>
    </row>
    <row r="64" spans="1:7" ht="15" x14ac:dyDescent="0.2">
      <c r="A64" s="773" t="s">
        <v>359</v>
      </c>
      <c r="B64" s="774"/>
      <c r="C64" s="774"/>
      <c r="D64" s="335">
        <f>+D9</f>
        <v>125816171</v>
      </c>
      <c r="E64" s="278"/>
      <c r="F64" s="278"/>
      <c r="G64" s="276"/>
    </row>
    <row r="65" spans="1:7" ht="15" x14ac:dyDescent="0.2">
      <c r="A65" s="768" t="s">
        <v>393</v>
      </c>
      <c r="B65" s="769"/>
      <c r="C65" s="769"/>
      <c r="D65" s="336">
        <f>+D64*B62</f>
        <v>148463081.78</v>
      </c>
      <c r="E65" s="278"/>
      <c r="F65" s="278"/>
      <c r="G65" s="276"/>
    </row>
    <row r="66" spans="1:7" ht="15" x14ac:dyDescent="0.2">
      <c r="A66" s="768" t="s">
        <v>394</v>
      </c>
      <c r="B66" s="769"/>
      <c r="C66" s="769"/>
      <c r="D66" s="336">
        <f>+'1 RIESGOS'!C16</f>
        <v>0</v>
      </c>
      <c r="E66" s="278"/>
      <c r="F66" s="278"/>
      <c r="G66" s="276"/>
    </row>
    <row r="67" spans="1:7" ht="15.75" thickBot="1" x14ac:dyDescent="0.25">
      <c r="A67" s="770" t="s">
        <v>395</v>
      </c>
      <c r="B67" s="771"/>
      <c r="C67" s="771"/>
      <c r="D67" s="337">
        <f>+D64+D65+D66</f>
        <v>274279252.77999997</v>
      </c>
      <c r="E67" s="687">
        <v>83226267.778500006</v>
      </c>
      <c r="F67" s="687"/>
      <c r="G67" s="295"/>
    </row>
    <row r="68" spans="1:7" ht="6" customHeight="1" x14ac:dyDescent="0.2">
      <c r="A68" s="86"/>
      <c r="B68" s="86"/>
      <c r="C68" s="86"/>
      <c r="D68" s="338"/>
      <c r="E68" s="84"/>
      <c r="F68" s="84"/>
      <c r="G68" s="85"/>
    </row>
  </sheetData>
  <mergeCells count="36">
    <mergeCell ref="A46:E46"/>
    <mergeCell ref="D48:E48"/>
    <mergeCell ref="D35:E35"/>
    <mergeCell ref="A1:G1"/>
    <mergeCell ref="A2:G2"/>
    <mergeCell ref="A3:G3"/>
    <mergeCell ref="B5:G5"/>
    <mergeCell ref="A7:G7"/>
    <mergeCell ref="D34:E34"/>
    <mergeCell ref="A9:C9"/>
    <mergeCell ref="A11:C11"/>
    <mergeCell ref="A22:E22"/>
    <mergeCell ref="A31:E31"/>
    <mergeCell ref="D33:E33"/>
    <mergeCell ref="D49:E49"/>
    <mergeCell ref="A65:C65"/>
    <mergeCell ref="A66:C66"/>
    <mergeCell ref="A67:C67"/>
    <mergeCell ref="D36:E36"/>
    <mergeCell ref="D37:E37"/>
    <mergeCell ref="D38:E38"/>
    <mergeCell ref="D39:E39"/>
    <mergeCell ref="A64:C64"/>
    <mergeCell ref="D41:E41"/>
    <mergeCell ref="D42:E42"/>
    <mergeCell ref="D40:E40"/>
    <mergeCell ref="A56:E56"/>
    <mergeCell ref="D43:E43"/>
    <mergeCell ref="D44:E44"/>
    <mergeCell ref="D45:E45"/>
    <mergeCell ref="D54:E54"/>
    <mergeCell ref="D55:E55"/>
    <mergeCell ref="D50:E50"/>
    <mergeCell ref="D52:E52"/>
    <mergeCell ref="D53:E53"/>
    <mergeCell ref="D51:E51"/>
  </mergeCells>
  <pageMargins left="0.51181102362204722" right="0.51181102362204722" top="0.55118110236220474" bottom="0.55118110236220474" header="0" footer="0"/>
  <pageSetup scale="5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topLeftCell="A13" workbookViewId="0">
      <selection activeCell="B67" sqref="B67"/>
    </sheetView>
  </sheetViews>
  <sheetFormatPr baseColWidth="10" defaultColWidth="11.42578125" defaultRowHeight="14.25" x14ac:dyDescent="0.2"/>
  <cols>
    <col min="1" max="1" width="14.28515625" style="266" customWidth="1" collapsed="1"/>
    <col min="2" max="2" width="24.140625" style="266" customWidth="1" collapsed="1"/>
    <col min="3" max="3" width="15.7109375" style="266" customWidth="1" collapsed="1"/>
    <col min="4" max="4" width="17.85546875" style="266" customWidth="1" collapsed="1"/>
    <col min="5" max="17" width="15.7109375" style="266" customWidth="1" collapsed="1"/>
    <col min="18" max="16384" width="11.42578125" style="266" collapsed="1"/>
  </cols>
  <sheetData>
    <row r="1" spans="1:17" ht="15" x14ac:dyDescent="0.25">
      <c r="A1" s="805" t="s">
        <v>774</v>
      </c>
      <c r="B1" s="805"/>
      <c r="C1" s="805"/>
      <c r="D1" s="805"/>
      <c r="E1" s="805"/>
      <c r="F1" s="339"/>
      <c r="G1" s="267"/>
      <c r="H1" s="267"/>
      <c r="I1" s="267"/>
      <c r="J1" s="267"/>
      <c r="K1" s="267"/>
      <c r="L1" s="267"/>
      <c r="M1" s="267"/>
      <c r="N1" s="267"/>
      <c r="O1" s="267"/>
      <c r="P1" s="267"/>
      <c r="Q1" s="267"/>
    </row>
    <row r="2" spans="1:17" ht="6" customHeight="1" x14ac:dyDescent="0.2">
      <c r="A2" s="339"/>
      <c r="B2" s="339"/>
      <c r="C2" s="339"/>
      <c r="D2" s="339"/>
      <c r="E2" s="339"/>
      <c r="F2" s="339"/>
      <c r="G2" s="267"/>
      <c r="H2" s="267"/>
      <c r="I2" s="267"/>
      <c r="J2" s="267"/>
      <c r="K2" s="267"/>
      <c r="L2" s="267"/>
      <c r="M2" s="267"/>
      <c r="N2" s="267"/>
      <c r="O2" s="267"/>
      <c r="P2" s="267"/>
      <c r="Q2" s="267"/>
    </row>
    <row r="3" spans="1:17" ht="15" x14ac:dyDescent="0.25">
      <c r="A3" s="820" t="s">
        <v>15</v>
      </c>
      <c r="B3" s="821"/>
      <c r="C3" s="353" t="s">
        <v>16</v>
      </c>
      <c r="D3" s="353" t="s">
        <v>17</v>
      </c>
      <c r="E3" s="353" t="s">
        <v>18</v>
      </c>
      <c r="F3" s="341"/>
      <c r="G3" s="267"/>
      <c r="H3" s="267"/>
      <c r="I3" s="267"/>
      <c r="J3" s="267"/>
      <c r="K3" s="267"/>
      <c r="L3" s="267"/>
      <c r="M3" s="267"/>
      <c r="N3" s="267"/>
      <c r="O3" s="267"/>
      <c r="P3" s="267"/>
      <c r="Q3" s="267"/>
    </row>
    <row r="4" spans="1:17" x14ac:dyDescent="0.2">
      <c r="A4" s="822" t="s">
        <v>19</v>
      </c>
      <c r="B4" s="823"/>
      <c r="C4" s="354">
        <f>+D4+E4</f>
        <v>0.125</v>
      </c>
      <c r="D4" s="354">
        <v>8.5000000000000006E-2</v>
      </c>
      <c r="E4" s="355">
        <v>0.04</v>
      </c>
      <c r="F4" s="339"/>
      <c r="G4" s="267"/>
      <c r="H4" s="267"/>
      <c r="I4" s="267"/>
      <c r="J4" s="267"/>
      <c r="K4" s="267"/>
      <c r="L4" s="267"/>
      <c r="M4" s="267"/>
      <c r="N4" s="267"/>
      <c r="O4" s="267"/>
      <c r="P4" s="267"/>
      <c r="Q4" s="267"/>
    </row>
    <row r="5" spans="1:17" x14ac:dyDescent="0.2">
      <c r="A5" s="822" t="s">
        <v>20</v>
      </c>
      <c r="B5" s="823"/>
      <c r="C5" s="354">
        <f>+D5+E5</f>
        <v>0.16</v>
      </c>
      <c r="D5" s="354">
        <v>0.12</v>
      </c>
      <c r="E5" s="354">
        <v>0.04</v>
      </c>
      <c r="F5" s="339"/>
      <c r="G5" s="267"/>
      <c r="H5" s="267"/>
      <c r="I5" s="267"/>
      <c r="J5" s="267"/>
      <c r="K5" s="267"/>
      <c r="L5" s="267"/>
      <c r="M5" s="267"/>
      <c r="N5" s="267"/>
      <c r="O5" s="267"/>
      <c r="P5" s="267"/>
      <c r="Q5" s="267"/>
    </row>
    <row r="6" spans="1:17" x14ac:dyDescent="0.2">
      <c r="A6" s="822" t="s">
        <v>21</v>
      </c>
      <c r="B6" s="823"/>
      <c r="C6" s="354">
        <f>+D6+E6</f>
        <v>6.9599999999999995E-2</v>
      </c>
      <c r="D6" s="354">
        <v>6.9599999999999995E-2</v>
      </c>
      <c r="E6" s="354">
        <v>0</v>
      </c>
      <c r="F6" s="339"/>
      <c r="G6" s="267"/>
      <c r="H6" s="267"/>
      <c r="I6" s="267"/>
      <c r="J6" s="267"/>
      <c r="K6" s="267"/>
      <c r="L6" s="267"/>
      <c r="M6" s="267"/>
      <c r="N6" s="267"/>
      <c r="O6" s="267"/>
      <c r="P6" s="267"/>
      <c r="Q6" s="267"/>
    </row>
    <row r="7" spans="1:17" ht="15" x14ac:dyDescent="0.25">
      <c r="A7" s="824" t="s">
        <v>22</v>
      </c>
      <c r="B7" s="825"/>
      <c r="C7" s="356">
        <f>SUM(C4:C6)</f>
        <v>0.35460000000000003</v>
      </c>
      <c r="D7" s="356">
        <f>SUM(D4:D6)</f>
        <v>0.27460000000000001</v>
      </c>
      <c r="E7" s="356">
        <f>SUM(E4:E6)</f>
        <v>0.08</v>
      </c>
      <c r="F7" s="339"/>
      <c r="G7" s="342"/>
      <c r="H7" s="267"/>
      <c r="I7" s="267"/>
      <c r="J7" s="267"/>
      <c r="K7" s="267"/>
      <c r="L7" s="267"/>
      <c r="M7" s="267"/>
      <c r="N7" s="267"/>
      <c r="O7" s="267"/>
      <c r="P7" s="267"/>
      <c r="Q7" s="267"/>
    </row>
    <row r="8" spans="1:17" ht="6" customHeight="1" x14ac:dyDescent="0.2">
      <c r="A8" s="339"/>
      <c r="B8" s="339"/>
      <c r="C8" s="357"/>
      <c r="D8" s="357"/>
      <c r="E8" s="357"/>
      <c r="F8" s="339"/>
      <c r="G8" s="267"/>
      <c r="H8" s="267"/>
      <c r="I8" s="267"/>
      <c r="J8" s="267"/>
      <c r="K8" s="267"/>
      <c r="L8" s="267"/>
      <c r="M8" s="267"/>
      <c r="N8" s="267"/>
      <c r="O8" s="267"/>
      <c r="P8" s="267"/>
      <c r="Q8" s="267"/>
    </row>
    <row r="9" spans="1:17" ht="15" x14ac:dyDescent="0.25">
      <c r="A9" s="815" t="s">
        <v>23</v>
      </c>
      <c r="B9" s="815"/>
      <c r="C9" s="358" t="s">
        <v>16</v>
      </c>
      <c r="D9" s="358" t="s">
        <v>17</v>
      </c>
      <c r="E9" s="358" t="s">
        <v>18</v>
      </c>
      <c r="F9" s="339"/>
      <c r="G9" s="267"/>
      <c r="H9" s="267"/>
      <c r="I9" s="267"/>
      <c r="J9" s="267"/>
      <c r="K9" s="267"/>
      <c r="L9" s="267"/>
      <c r="M9" s="267"/>
      <c r="N9" s="267"/>
      <c r="O9" s="267"/>
      <c r="P9" s="267"/>
      <c r="Q9" s="267"/>
    </row>
    <row r="10" spans="1:17" x14ac:dyDescent="0.2">
      <c r="A10" s="808" t="s">
        <v>24</v>
      </c>
      <c r="B10" s="808"/>
      <c r="C10" s="355">
        <f>+D10+E10</f>
        <v>0.02</v>
      </c>
      <c r="D10" s="355">
        <v>0.02</v>
      </c>
      <c r="E10" s="354">
        <v>0</v>
      </c>
      <c r="F10" s="339"/>
      <c r="G10" s="267"/>
      <c r="H10" s="267"/>
      <c r="I10" s="267"/>
      <c r="J10" s="267"/>
      <c r="K10" s="267"/>
      <c r="L10" s="267"/>
      <c r="M10" s="267"/>
      <c r="N10" s="267"/>
      <c r="O10" s="267"/>
      <c r="P10" s="267"/>
      <c r="Q10" s="267"/>
    </row>
    <row r="11" spans="1:17" x14ac:dyDescent="0.2">
      <c r="A11" s="808" t="s">
        <v>25</v>
      </c>
      <c r="B11" s="808"/>
      <c r="C11" s="355">
        <f>+D11+E11</f>
        <v>0.03</v>
      </c>
      <c r="D11" s="355">
        <v>0.03</v>
      </c>
      <c r="E11" s="354">
        <v>0</v>
      </c>
      <c r="F11" s="339"/>
      <c r="G11" s="267"/>
      <c r="H11" s="267"/>
      <c r="I11" s="267"/>
      <c r="J11" s="267"/>
      <c r="K11" s="267"/>
      <c r="L11" s="267"/>
      <c r="M11" s="267"/>
      <c r="N11" s="267"/>
      <c r="O11" s="267"/>
      <c r="P11" s="267"/>
      <c r="Q11" s="267"/>
    </row>
    <row r="12" spans="1:17" x14ac:dyDescent="0.2">
      <c r="A12" s="816" t="s">
        <v>26</v>
      </c>
      <c r="B12" s="817"/>
      <c r="C12" s="355">
        <f>+D12+E12</f>
        <v>0.04</v>
      </c>
      <c r="D12" s="355">
        <v>0.04</v>
      </c>
      <c r="E12" s="354">
        <v>0</v>
      </c>
      <c r="F12" s="339"/>
      <c r="G12" s="267"/>
      <c r="H12" s="267"/>
      <c r="I12" s="267"/>
      <c r="J12" s="267"/>
      <c r="K12" s="267"/>
      <c r="L12" s="267"/>
      <c r="M12" s="267"/>
      <c r="N12" s="267"/>
      <c r="O12" s="267"/>
      <c r="P12" s="267"/>
      <c r="Q12" s="267"/>
    </row>
    <row r="13" spans="1:17" ht="15" x14ac:dyDescent="0.25">
      <c r="A13" s="818" t="s">
        <v>22</v>
      </c>
      <c r="B13" s="818"/>
      <c r="C13" s="356">
        <f>SUM(C10:C12)</f>
        <v>0.09</v>
      </c>
      <c r="D13" s="356">
        <f>SUM(D10:D12)</f>
        <v>0.09</v>
      </c>
      <c r="E13" s="356">
        <v>0</v>
      </c>
      <c r="F13" s="339"/>
      <c r="G13" s="267"/>
      <c r="H13" s="267"/>
      <c r="I13" s="267"/>
      <c r="J13" s="267"/>
      <c r="K13" s="267"/>
      <c r="L13" s="267"/>
      <c r="M13" s="267"/>
      <c r="N13" s="267"/>
      <c r="O13" s="267"/>
      <c r="P13" s="267"/>
      <c r="Q13" s="267"/>
    </row>
    <row r="14" spans="1:17" ht="6" customHeight="1" x14ac:dyDescent="0.2">
      <c r="A14" s="339"/>
      <c r="B14" s="339"/>
      <c r="C14" s="357"/>
      <c r="D14" s="357"/>
      <c r="E14" s="357"/>
      <c r="F14" s="339"/>
      <c r="G14" s="267"/>
      <c r="H14" s="267"/>
      <c r="I14" s="267"/>
      <c r="J14" s="267"/>
      <c r="K14" s="267"/>
      <c r="L14" s="267"/>
      <c r="M14" s="267"/>
      <c r="N14" s="267"/>
      <c r="O14" s="267"/>
      <c r="P14" s="267"/>
      <c r="Q14" s="267"/>
    </row>
    <row r="15" spans="1:17" ht="15" x14ac:dyDescent="0.25">
      <c r="A15" s="815" t="s">
        <v>27</v>
      </c>
      <c r="B15" s="815"/>
      <c r="C15" s="358" t="s">
        <v>16</v>
      </c>
      <c r="D15" s="358" t="s">
        <v>17</v>
      </c>
      <c r="E15" s="358" t="s">
        <v>18</v>
      </c>
      <c r="F15" s="339"/>
      <c r="G15" s="267"/>
      <c r="H15" s="267"/>
      <c r="I15" s="267"/>
      <c r="J15" s="267"/>
      <c r="K15" s="267"/>
      <c r="L15" s="267"/>
      <c r="M15" s="267"/>
      <c r="N15" s="267"/>
      <c r="O15" s="267"/>
      <c r="P15" s="267"/>
      <c r="Q15" s="267"/>
    </row>
    <row r="16" spans="1:17" x14ac:dyDescent="0.2">
      <c r="A16" s="808" t="s">
        <v>28</v>
      </c>
      <c r="B16" s="808"/>
      <c r="C16" s="354">
        <v>8.3299999999999999E-2</v>
      </c>
      <c r="D16" s="354">
        <v>8.3299999999999999E-2</v>
      </c>
      <c r="E16" s="354">
        <v>0</v>
      </c>
      <c r="F16" s="339"/>
      <c r="G16" s="267"/>
      <c r="H16" s="267"/>
      <c r="I16" s="267"/>
      <c r="J16" s="267"/>
      <c r="K16" s="267"/>
      <c r="L16" s="267"/>
      <c r="M16" s="267"/>
      <c r="N16" s="267"/>
      <c r="O16" s="267"/>
      <c r="P16" s="267"/>
      <c r="Q16" s="267"/>
    </row>
    <row r="17" spans="1:17" x14ac:dyDescent="0.2">
      <c r="A17" s="819" t="s">
        <v>29</v>
      </c>
      <c r="B17" s="819"/>
      <c r="C17" s="354">
        <f>+C16*0.12</f>
        <v>9.9959999999999997E-3</v>
      </c>
      <c r="D17" s="354">
        <f>+D16*0.12</f>
        <v>9.9959999999999997E-3</v>
      </c>
      <c r="E17" s="354">
        <v>0</v>
      </c>
      <c r="F17" s="339"/>
      <c r="G17" s="267"/>
      <c r="H17" s="267"/>
      <c r="I17" s="267"/>
      <c r="J17" s="267"/>
      <c r="K17" s="267"/>
      <c r="L17" s="267"/>
      <c r="M17" s="267"/>
      <c r="N17" s="267"/>
      <c r="O17" s="267"/>
      <c r="P17" s="267"/>
      <c r="Q17" s="267"/>
    </row>
    <row r="18" spans="1:17" x14ac:dyDescent="0.2">
      <c r="A18" s="808" t="s">
        <v>30</v>
      </c>
      <c r="B18" s="808"/>
      <c r="C18" s="354">
        <v>4.165E-2</v>
      </c>
      <c r="D18" s="354">
        <v>4.165E-2</v>
      </c>
      <c r="E18" s="354">
        <v>0</v>
      </c>
      <c r="F18" s="339"/>
      <c r="G18" s="267"/>
      <c r="H18" s="267"/>
      <c r="I18" s="267"/>
      <c r="J18" s="267"/>
      <c r="K18" s="267"/>
      <c r="L18" s="267"/>
      <c r="M18" s="267"/>
      <c r="N18" s="267"/>
      <c r="O18" s="267"/>
      <c r="P18" s="267"/>
      <c r="Q18" s="267"/>
    </row>
    <row r="19" spans="1:17" x14ac:dyDescent="0.2">
      <c r="A19" s="808" t="s">
        <v>31</v>
      </c>
      <c r="B19" s="808"/>
      <c r="C19" s="354">
        <v>8.3299999999999999E-2</v>
      </c>
      <c r="D19" s="354">
        <v>8.3299999999999999E-2</v>
      </c>
      <c r="E19" s="354">
        <v>0</v>
      </c>
      <c r="F19" s="339"/>
      <c r="G19" s="267"/>
      <c r="H19" s="267"/>
      <c r="I19" s="267"/>
      <c r="J19" s="267"/>
      <c r="K19" s="267"/>
      <c r="L19" s="267"/>
      <c r="M19" s="267"/>
      <c r="N19" s="267"/>
      <c r="O19" s="267"/>
      <c r="P19" s="267"/>
      <c r="Q19" s="267"/>
    </row>
    <row r="20" spans="1:17" ht="15" x14ac:dyDescent="0.25">
      <c r="A20" s="818" t="s">
        <v>22</v>
      </c>
      <c r="B20" s="818"/>
      <c r="C20" s="356">
        <f>SUM(C16:C19)</f>
        <v>0.218246</v>
      </c>
      <c r="D20" s="356">
        <f>SUM(D16:D19)</f>
        <v>0.218246</v>
      </c>
      <c r="E20" s="356">
        <v>0</v>
      </c>
      <c r="F20" s="339"/>
      <c r="G20" s="267"/>
      <c r="H20" s="267"/>
      <c r="I20" s="267"/>
      <c r="J20" s="267"/>
      <c r="K20" s="267"/>
      <c r="L20" s="267"/>
      <c r="M20" s="267"/>
      <c r="N20" s="267"/>
      <c r="O20" s="267"/>
      <c r="P20" s="267"/>
      <c r="Q20" s="267"/>
    </row>
    <row r="21" spans="1:17" ht="6" customHeight="1" x14ac:dyDescent="0.2">
      <c r="A21" s="339"/>
      <c r="B21" s="339"/>
      <c r="C21" s="357"/>
      <c r="D21" s="357"/>
      <c r="E21" s="357"/>
      <c r="F21" s="339"/>
      <c r="G21" s="267"/>
      <c r="H21" s="267"/>
      <c r="I21" s="267"/>
      <c r="J21" s="267"/>
      <c r="K21" s="267"/>
      <c r="L21" s="267"/>
      <c r="M21" s="267"/>
      <c r="N21" s="267"/>
      <c r="O21" s="267"/>
      <c r="P21" s="267"/>
      <c r="Q21" s="267"/>
    </row>
    <row r="22" spans="1:17" ht="15" x14ac:dyDescent="0.25">
      <c r="A22" s="815" t="s">
        <v>32</v>
      </c>
      <c r="B22" s="815"/>
      <c r="C22" s="356">
        <f>+C7+C13+C20</f>
        <v>0.66284600000000005</v>
      </c>
      <c r="D22" s="356">
        <f>+D7+D13+D20</f>
        <v>0.58284599999999998</v>
      </c>
      <c r="E22" s="356">
        <f>+E7+E13+E20</f>
        <v>0.08</v>
      </c>
      <c r="F22" s="339"/>
      <c r="G22" s="267"/>
      <c r="H22" s="267"/>
      <c r="I22" s="267"/>
      <c r="J22" s="267"/>
      <c r="K22" s="267"/>
      <c r="L22" s="267"/>
      <c r="M22" s="267"/>
      <c r="N22" s="267"/>
      <c r="O22" s="267"/>
      <c r="P22" s="267"/>
      <c r="Q22" s="267"/>
    </row>
    <row r="23" spans="1:17" ht="6" customHeight="1" x14ac:dyDescent="0.2">
      <c r="A23" s="341"/>
      <c r="B23" s="339"/>
      <c r="C23" s="339"/>
      <c r="D23" s="339"/>
      <c r="E23" s="339"/>
      <c r="F23" s="339"/>
      <c r="G23" s="267"/>
      <c r="H23" s="267"/>
      <c r="I23" s="267"/>
      <c r="J23" s="267"/>
      <c r="K23" s="267"/>
      <c r="L23" s="267"/>
      <c r="M23" s="267"/>
      <c r="N23" s="267"/>
      <c r="O23" s="267"/>
      <c r="P23" s="267"/>
      <c r="Q23" s="267"/>
    </row>
    <row r="24" spans="1:17" ht="15" x14ac:dyDescent="0.25">
      <c r="A24" s="815" t="s">
        <v>27</v>
      </c>
      <c r="B24" s="815"/>
      <c r="C24" s="815"/>
      <c r="D24" s="815"/>
      <c r="E24" s="815"/>
      <c r="F24" s="339"/>
      <c r="G24" s="267"/>
      <c r="H24" s="267"/>
      <c r="I24" s="267"/>
      <c r="J24" s="267"/>
      <c r="K24" s="267"/>
      <c r="L24" s="267"/>
      <c r="M24" s="267"/>
      <c r="N24" s="267"/>
      <c r="O24" s="267"/>
      <c r="P24" s="267"/>
      <c r="Q24" s="267"/>
    </row>
    <row r="25" spans="1:17" x14ac:dyDescent="0.2">
      <c r="A25" s="808" t="s">
        <v>28</v>
      </c>
      <c r="B25" s="343" t="s">
        <v>33</v>
      </c>
      <c r="C25" s="809" t="s">
        <v>34</v>
      </c>
      <c r="D25" s="809"/>
      <c r="E25" s="809"/>
      <c r="F25" s="339"/>
      <c r="G25" s="267"/>
      <c r="H25" s="267"/>
      <c r="I25" s="267"/>
      <c r="J25" s="267"/>
      <c r="K25" s="267"/>
      <c r="L25" s="267"/>
      <c r="M25" s="267"/>
      <c r="N25" s="267"/>
      <c r="O25" s="267"/>
      <c r="P25" s="267"/>
      <c r="Q25" s="267"/>
    </row>
    <row r="26" spans="1:17" x14ac:dyDescent="0.2">
      <c r="A26" s="808"/>
      <c r="B26" s="343" t="s">
        <v>35</v>
      </c>
      <c r="C26" s="809">
        <v>360</v>
      </c>
      <c r="D26" s="809"/>
      <c r="E26" s="809"/>
      <c r="F26" s="339"/>
      <c r="G26" s="267"/>
      <c r="H26" s="267"/>
      <c r="I26" s="267"/>
      <c r="J26" s="267"/>
      <c r="K26" s="267"/>
      <c r="L26" s="267"/>
      <c r="M26" s="267"/>
      <c r="N26" s="267"/>
      <c r="O26" s="267"/>
      <c r="P26" s="267"/>
      <c r="Q26" s="267"/>
    </row>
    <row r="27" spans="1:17" ht="6" customHeight="1" x14ac:dyDescent="0.2">
      <c r="A27" s="339"/>
      <c r="B27" s="339"/>
      <c r="C27" s="339"/>
      <c r="D27" s="339"/>
      <c r="E27" s="339"/>
      <c r="F27" s="339"/>
      <c r="G27" s="267"/>
      <c r="H27" s="267"/>
      <c r="I27" s="267"/>
      <c r="J27" s="267"/>
      <c r="K27" s="267"/>
      <c r="L27" s="267"/>
      <c r="M27" s="267"/>
      <c r="N27" s="267"/>
      <c r="O27" s="267"/>
      <c r="P27" s="267"/>
      <c r="Q27" s="267"/>
    </row>
    <row r="28" spans="1:17" ht="28.5" x14ac:dyDescent="0.2">
      <c r="A28" s="340" t="s">
        <v>29</v>
      </c>
      <c r="B28" s="343"/>
      <c r="C28" s="814" t="s">
        <v>36</v>
      </c>
      <c r="D28" s="814"/>
      <c r="E28" s="814"/>
      <c r="F28" s="339"/>
      <c r="G28" s="267"/>
      <c r="H28" s="267"/>
      <c r="I28" s="267"/>
      <c r="J28" s="267"/>
      <c r="K28" s="267"/>
      <c r="L28" s="267"/>
      <c r="M28" s="267"/>
      <c r="N28" s="267"/>
      <c r="O28" s="267"/>
      <c r="P28" s="267"/>
      <c r="Q28" s="267"/>
    </row>
    <row r="29" spans="1:17" ht="6" customHeight="1" x14ac:dyDescent="0.2">
      <c r="A29" s="339"/>
      <c r="B29" s="339"/>
      <c r="C29" s="339"/>
      <c r="D29" s="339"/>
      <c r="E29" s="339"/>
      <c r="F29" s="339"/>
      <c r="G29" s="267"/>
      <c r="H29" s="267"/>
      <c r="I29" s="267"/>
      <c r="J29" s="267"/>
      <c r="K29" s="267"/>
      <c r="L29" s="267"/>
      <c r="M29" s="267"/>
      <c r="N29" s="267"/>
      <c r="O29" s="267"/>
      <c r="P29" s="267"/>
      <c r="Q29" s="267"/>
    </row>
    <row r="30" spans="1:17" x14ac:dyDescent="0.2">
      <c r="A30" s="808" t="s">
        <v>30</v>
      </c>
      <c r="B30" s="809"/>
      <c r="C30" s="809" t="s">
        <v>37</v>
      </c>
      <c r="D30" s="809"/>
      <c r="E30" s="809"/>
      <c r="F30" s="339"/>
      <c r="G30" s="267"/>
      <c r="H30" s="267"/>
      <c r="I30" s="267"/>
      <c r="J30" s="267"/>
      <c r="K30" s="267"/>
      <c r="L30" s="267"/>
      <c r="M30" s="267"/>
      <c r="N30" s="267"/>
      <c r="O30" s="267"/>
      <c r="P30" s="267"/>
      <c r="Q30" s="267"/>
    </row>
    <row r="31" spans="1:17" x14ac:dyDescent="0.2">
      <c r="A31" s="808"/>
      <c r="B31" s="809"/>
      <c r="C31" s="809">
        <v>360</v>
      </c>
      <c r="D31" s="809"/>
      <c r="E31" s="809"/>
      <c r="F31" s="339"/>
      <c r="G31" s="267"/>
      <c r="H31" s="267"/>
      <c r="I31" s="267"/>
      <c r="J31" s="267"/>
      <c r="K31" s="267"/>
      <c r="L31" s="267"/>
      <c r="M31" s="267"/>
      <c r="N31" s="267"/>
      <c r="O31" s="267"/>
      <c r="P31" s="267"/>
      <c r="Q31" s="267"/>
    </row>
    <row r="32" spans="1:17" ht="6" customHeight="1" x14ac:dyDescent="0.2">
      <c r="A32" s="339"/>
      <c r="B32" s="339"/>
      <c r="C32" s="339"/>
      <c r="D32" s="339"/>
      <c r="E32" s="339"/>
      <c r="F32" s="339"/>
      <c r="G32" s="267"/>
      <c r="H32" s="267"/>
      <c r="I32" s="267"/>
      <c r="J32" s="267"/>
      <c r="K32" s="267"/>
      <c r="L32" s="267"/>
      <c r="M32" s="267"/>
      <c r="N32" s="267"/>
      <c r="O32" s="267"/>
      <c r="P32" s="267"/>
      <c r="Q32" s="267"/>
    </row>
    <row r="33" spans="1:17" x14ac:dyDescent="0.2">
      <c r="A33" s="808" t="s">
        <v>31</v>
      </c>
      <c r="B33" s="343" t="s">
        <v>33</v>
      </c>
      <c r="C33" s="809" t="s">
        <v>38</v>
      </c>
      <c r="D33" s="809"/>
      <c r="E33" s="809"/>
      <c r="F33" s="339"/>
      <c r="G33" s="267"/>
      <c r="H33" s="267"/>
      <c r="I33" s="267"/>
      <c r="J33" s="267"/>
      <c r="K33" s="267"/>
      <c r="L33" s="267"/>
      <c r="M33" s="267"/>
      <c r="N33" s="267"/>
      <c r="O33" s="267"/>
      <c r="P33" s="267"/>
      <c r="Q33" s="267"/>
    </row>
    <row r="34" spans="1:17" x14ac:dyDescent="0.2">
      <c r="A34" s="808"/>
      <c r="B34" s="343" t="s">
        <v>35</v>
      </c>
      <c r="C34" s="809">
        <v>180</v>
      </c>
      <c r="D34" s="809"/>
      <c r="E34" s="809"/>
      <c r="F34" s="339"/>
      <c r="G34" s="267"/>
      <c r="H34" s="267"/>
      <c r="I34" s="267"/>
      <c r="J34" s="267"/>
      <c r="K34" s="267"/>
      <c r="L34" s="267"/>
      <c r="M34" s="267"/>
      <c r="N34" s="267"/>
      <c r="O34" s="267"/>
      <c r="P34" s="267"/>
      <c r="Q34" s="267"/>
    </row>
    <row r="35" spans="1:17" ht="6" customHeight="1" x14ac:dyDescent="0.2">
      <c r="A35" s="339"/>
      <c r="B35" s="339"/>
      <c r="C35" s="339"/>
      <c r="D35" s="339"/>
      <c r="E35" s="339"/>
      <c r="F35" s="339"/>
      <c r="G35" s="267"/>
      <c r="H35" s="267"/>
      <c r="I35" s="267"/>
      <c r="J35" s="267"/>
      <c r="K35" s="267"/>
      <c r="L35" s="267"/>
      <c r="M35" s="267"/>
      <c r="N35" s="267"/>
      <c r="O35" s="267"/>
      <c r="P35" s="267"/>
      <c r="Q35" s="267"/>
    </row>
    <row r="36" spans="1:17" x14ac:dyDescent="0.2">
      <c r="A36" s="809" t="s">
        <v>773</v>
      </c>
      <c r="B36" s="809"/>
      <c r="C36" s="339"/>
      <c r="D36" s="339"/>
      <c r="E36" s="339"/>
      <c r="F36" s="339"/>
      <c r="G36" s="267"/>
      <c r="H36" s="267"/>
      <c r="I36" s="267"/>
      <c r="J36" s="267"/>
      <c r="K36" s="267"/>
      <c r="L36" s="267"/>
      <c r="M36" s="267"/>
      <c r="N36" s="267"/>
      <c r="O36" s="267"/>
      <c r="P36" s="267"/>
      <c r="Q36" s="267"/>
    </row>
    <row r="37" spans="1:17" x14ac:dyDescent="0.2">
      <c r="A37" s="808" t="s">
        <v>39</v>
      </c>
      <c r="B37" s="808"/>
      <c r="C37" s="344">
        <v>877803</v>
      </c>
      <c r="D37" s="339"/>
      <c r="E37" s="339"/>
      <c r="F37" s="339"/>
      <c r="G37" s="267"/>
      <c r="H37" s="267"/>
      <c r="I37" s="267"/>
      <c r="J37" s="267"/>
      <c r="K37" s="267"/>
      <c r="L37" s="267"/>
      <c r="M37" s="267"/>
      <c r="N37" s="267"/>
      <c r="O37" s="267"/>
      <c r="P37" s="267"/>
      <c r="Q37" s="267"/>
    </row>
    <row r="38" spans="1:17" ht="15" x14ac:dyDescent="0.25">
      <c r="A38" s="808" t="s">
        <v>40</v>
      </c>
      <c r="B38" s="808"/>
      <c r="C38" s="344">
        <v>102854</v>
      </c>
      <c r="D38" s="345"/>
      <c r="E38" s="339"/>
      <c r="F38" s="339"/>
      <c r="G38" s="267"/>
      <c r="H38" s="267"/>
      <c r="I38" s="267"/>
      <c r="J38" s="267"/>
      <c r="K38" s="267"/>
      <c r="L38" s="267"/>
      <c r="M38" s="267"/>
      <c r="N38" s="267"/>
      <c r="O38" s="267"/>
      <c r="P38" s="267"/>
      <c r="Q38" s="267"/>
    </row>
    <row r="39" spans="1:17" ht="6" customHeight="1" x14ac:dyDescent="0.2">
      <c r="A39" s="339"/>
      <c r="B39" s="339"/>
      <c r="C39" s="339"/>
      <c r="D39" s="339"/>
      <c r="E39" s="339"/>
      <c r="F39" s="339"/>
      <c r="G39" s="267"/>
      <c r="H39" s="267"/>
      <c r="I39" s="267"/>
      <c r="J39" s="267"/>
      <c r="K39" s="267"/>
      <c r="L39" s="267"/>
      <c r="M39" s="267"/>
      <c r="N39" s="267"/>
      <c r="O39" s="267"/>
      <c r="P39" s="267"/>
      <c r="Q39" s="267"/>
    </row>
    <row r="40" spans="1:17" ht="15" x14ac:dyDescent="0.25">
      <c r="A40" s="805" t="s">
        <v>41</v>
      </c>
      <c r="B40" s="805"/>
      <c r="C40" s="805"/>
      <c r="D40" s="805"/>
      <c r="E40" s="805"/>
      <c r="F40" s="805"/>
      <c r="G40" s="805"/>
      <c r="H40" s="805"/>
      <c r="I40" s="805"/>
      <c r="J40" s="805"/>
      <c r="K40" s="805"/>
      <c r="L40" s="805"/>
      <c r="M40" s="805"/>
      <c r="N40" s="805"/>
      <c r="O40" s="805"/>
      <c r="P40" s="805"/>
      <c r="Q40" s="805"/>
    </row>
    <row r="41" spans="1:17" ht="15" x14ac:dyDescent="0.2">
      <c r="A41" s="810" t="s">
        <v>42</v>
      </c>
      <c r="B41" s="812" t="s">
        <v>43</v>
      </c>
      <c r="C41" s="813" t="s">
        <v>8</v>
      </c>
      <c r="D41" s="813"/>
      <c r="E41" s="813"/>
      <c r="F41" s="813"/>
      <c r="G41" s="813"/>
      <c r="H41" s="813"/>
      <c r="I41" s="813"/>
      <c r="J41" s="813"/>
      <c r="K41" s="813"/>
      <c r="L41" s="813"/>
      <c r="M41" s="813"/>
      <c r="N41" s="813"/>
      <c r="O41" s="813"/>
      <c r="P41" s="813"/>
      <c r="Q41" s="813"/>
    </row>
    <row r="42" spans="1:17" ht="45" x14ac:dyDescent="0.2">
      <c r="A42" s="811"/>
      <c r="B42" s="813"/>
      <c r="C42" s="346" t="s">
        <v>44</v>
      </c>
      <c r="D42" s="346" t="s">
        <v>45</v>
      </c>
      <c r="E42" s="346" t="s">
        <v>46</v>
      </c>
      <c r="F42" s="346" t="s">
        <v>47</v>
      </c>
      <c r="G42" s="346" t="s">
        <v>48</v>
      </c>
      <c r="H42" s="346" t="s">
        <v>49</v>
      </c>
      <c r="I42" s="346" t="s">
        <v>50</v>
      </c>
      <c r="J42" s="346" t="s">
        <v>51</v>
      </c>
      <c r="K42" s="346" t="s">
        <v>52</v>
      </c>
      <c r="L42" s="346" t="s">
        <v>53</v>
      </c>
      <c r="M42" s="346" t="s">
        <v>10</v>
      </c>
      <c r="N42" s="346" t="s">
        <v>11</v>
      </c>
      <c r="O42" s="346" t="s">
        <v>12</v>
      </c>
      <c r="P42" s="346" t="s">
        <v>368</v>
      </c>
      <c r="Q42" s="346" t="s">
        <v>55</v>
      </c>
    </row>
    <row r="43" spans="1:17" ht="15" x14ac:dyDescent="0.2">
      <c r="A43" s="806" t="s">
        <v>56</v>
      </c>
      <c r="B43" s="807"/>
      <c r="C43" s="347">
        <v>12</v>
      </c>
      <c r="D43" s="347">
        <v>10</v>
      </c>
      <c r="E43" s="347">
        <v>8</v>
      </c>
      <c r="F43" s="347">
        <v>6</v>
      </c>
      <c r="G43" s="347">
        <v>4</v>
      </c>
      <c r="H43" s="347">
        <v>3</v>
      </c>
      <c r="I43" s="347">
        <v>2</v>
      </c>
      <c r="J43" s="347" t="s">
        <v>57</v>
      </c>
      <c r="K43" s="347"/>
      <c r="L43" s="347"/>
      <c r="M43" s="347"/>
      <c r="N43" s="347"/>
      <c r="O43" s="347"/>
      <c r="P43" s="347"/>
      <c r="Q43" s="347"/>
    </row>
    <row r="44" spans="1:17" ht="15" x14ac:dyDescent="0.2">
      <c r="A44" s="806" t="s">
        <v>58</v>
      </c>
      <c r="B44" s="807"/>
      <c r="C44" s="347">
        <v>10</v>
      </c>
      <c r="D44" s="347">
        <v>7</v>
      </c>
      <c r="E44" s="347">
        <v>5</v>
      </c>
      <c r="F44" s="347">
        <v>4</v>
      </c>
      <c r="G44" s="347">
        <v>3</v>
      </c>
      <c r="H44" s="347">
        <v>1</v>
      </c>
      <c r="I44" s="347">
        <v>0</v>
      </c>
      <c r="J44" s="347">
        <v>0</v>
      </c>
      <c r="K44" s="347"/>
      <c r="L44" s="347"/>
      <c r="M44" s="347"/>
      <c r="N44" s="347"/>
      <c r="O44" s="347"/>
      <c r="P44" s="347"/>
      <c r="Q44" s="347"/>
    </row>
    <row r="45" spans="1:17" x14ac:dyDescent="0.2">
      <c r="A45" s="343">
        <v>1998</v>
      </c>
      <c r="B45" s="348">
        <v>0.16700000000000001</v>
      </c>
      <c r="C45" s="349">
        <v>3577000</v>
      </c>
      <c r="D45" s="349">
        <v>2726000</v>
      </c>
      <c r="E45" s="349">
        <v>2300000</v>
      </c>
      <c r="F45" s="349">
        <v>1959000</v>
      </c>
      <c r="G45" s="349">
        <v>1767000</v>
      </c>
      <c r="H45" s="349">
        <v>1576000</v>
      </c>
      <c r="I45" s="349">
        <v>1192000</v>
      </c>
      <c r="J45" s="349">
        <v>1124000</v>
      </c>
      <c r="K45" s="349">
        <v>738000</v>
      </c>
      <c r="L45" s="349">
        <v>648000</v>
      </c>
      <c r="M45" s="349">
        <f>(1020000+630000+477000+415000)</f>
        <v>2542000</v>
      </c>
      <c r="N45" s="349">
        <v>505000</v>
      </c>
      <c r="O45" s="349">
        <v>345000</v>
      </c>
      <c r="P45" s="349">
        <v>409000</v>
      </c>
      <c r="Q45" s="349">
        <f>1800000</f>
        <v>1800000</v>
      </c>
    </row>
    <row r="46" spans="1:17" x14ac:dyDescent="0.2">
      <c r="A46" s="343">
        <v>1999</v>
      </c>
      <c r="B46" s="348">
        <v>9.2299999999999993E-2</v>
      </c>
      <c r="C46" s="349">
        <f t="shared" ref="C46:Q61" si="0">ROUND(C45*(1+$B45),0)</f>
        <v>4174359</v>
      </c>
      <c r="D46" s="349">
        <f t="shared" si="0"/>
        <v>3181242</v>
      </c>
      <c r="E46" s="349">
        <f t="shared" si="0"/>
        <v>2684100</v>
      </c>
      <c r="F46" s="349">
        <f t="shared" si="0"/>
        <v>2286153</v>
      </c>
      <c r="G46" s="349">
        <f t="shared" si="0"/>
        <v>2062089</v>
      </c>
      <c r="H46" s="349">
        <f t="shared" si="0"/>
        <v>1839192</v>
      </c>
      <c r="I46" s="349">
        <f t="shared" si="0"/>
        <v>1391064</v>
      </c>
      <c r="J46" s="349">
        <f t="shared" si="0"/>
        <v>1311708</v>
      </c>
      <c r="K46" s="349">
        <f t="shared" si="0"/>
        <v>861246</v>
      </c>
      <c r="L46" s="349">
        <f t="shared" si="0"/>
        <v>756216</v>
      </c>
      <c r="M46" s="349">
        <f t="shared" si="0"/>
        <v>2966514</v>
      </c>
      <c r="N46" s="349">
        <f t="shared" si="0"/>
        <v>589335</v>
      </c>
      <c r="O46" s="349">
        <f t="shared" si="0"/>
        <v>402615</v>
      </c>
      <c r="P46" s="349">
        <f t="shared" si="0"/>
        <v>477303</v>
      </c>
      <c r="Q46" s="349">
        <f t="shared" si="0"/>
        <v>2100600</v>
      </c>
    </row>
    <row r="47" spans="1:17" x14ac:dyDescent="0.2">
      <c r="A47" s="343">
        <v>2000</v>
      </c>
      <c r="B47" s="348">
        <v>8.7499999999999994E-2</v>
      </c>
      <c r="C47" s="349">
        <f t="shared" ref="C47:C65" si="1">ROUND(C46*(1+B46),0)</f>
        <v>4559652</v>
      </c>
      <c r="D47" s="349">
        <f t="shared" si="0"/>
        <v>3474871</v>
      </c>
      <c r="E47" s="349">
        <f t="shared" si="0"/>
        <v>2931842</v>
      </c>
      <c r="F47" s="349">
        <f t="shared" si="0"/>
        <v>2497165</v>
      </c>
      <c r="G47" s="349">
        <f t="shared" si="0"/>
        <v>2252420</v>
      </c>
      <c r="H47" s="349">
        <f t="shared" si="0"/>
        <v>2008949</v>
      </c>
      <c r="I47" s="349">
        <f t="shared" si="0"/>
        <v>1519459</v>
      </c>
      <c r="J47" s="349">
        <f t="shared" si="0"/>
        <v>1432779</v>
      </c>
      <c r="K47" s="349">
        <f t="shared" si="0"/>
        <v>940739</v>
      </c>
      <c r="L47" s="349">
        <f t="shared" si="0"/>
        <v>826015</v>
      </c>
      <c r="M47" s="349">
        <f t="shared" si="0"/>
        <v>3240323</v>
      </c>
      <c r="N47" s="349">
        <f t="shared" si="0"/>
        <v>643731</v>
      </c>
      <c r="O47" s="349">
        <f t="shared" si="0"/>
        <v>439776</v>
      </c>
      <c r="P47" s="349">
        <f t="shared" si="0"/>
        <v>521358</v>
      </c>
      <c r="Q47" s="349">
        <f t="shared" si="0"/>
        <v>2294485</v>
      </c>
    </row>
    <row r="48" spans="1:17" x14ac:dyDescent="0.2">
      <c r="A48" s="343">
        <v>2001</v>
      </c>
      <c r="B48" s="348">
        <v>7.6499999999999999E-2</v>
      </c>
      <c r="C48" s="349">
        <f t="shared" si="1"/>
        <v>4958622</v>
      </c>
      <c r="D48" s="349">
        <f t="shared" si="0"/>
        <v>3778922</v>
      </c>
      <c r="E48" s="349">
        <f t="shared" si="0"/>
        <v>3188378</v>
      </c>
      <c r="F48" s="349">
        <f t="shared" si="0"/>
        <v>2715667</v>
      </c>
      <c r="G48" s="349">
        <f t="shared" si="0"/>
        <v>2449507</v>
      </c>
      <c r="H48" s="349">
        <f t="shared" si="0"/>
        <v>2184732</v>
      </c>
      <c r="I48" s="349">
        <f t="shared" si="0"/>
        <v>1652412</v>
      </c>
      <c r="J48" s="349">
        <f t="shared" si="0"/>
        <v>1558147</v>
      </c>
      <c r="K48" s="349">
        <f t="shared" si="0"/>
        <v>1023054</v>
      </c>
      <c r="L48" s="349">
        <f t="shared" si="0"/>
        <v>898291</v>
      </c>
      <c r="M48" s="349">
        <f t="shared" si="0"/>
        <v>3523851</v>
      </c>
      <c r="N48" s="349">
        <f t="shared" si="0"/>
        <v>700057</v>
      </c>
      <c r="O48" s="349">
        <f t="shared" si="0"/>
        <v>478256</v>
      </c>
      <c r="P48" s="349">
        <f t="shared" si="0"/>
        <v>566977</v>
      </c>
      <c r="Q48" s="349">
        <f t="shared" si="0"/>
        <v>2495252</v>
      </c>
    </row>
    <row r="49" spans="1:17" x14ac:dyDescent="0.2">
      <c r="A49" s="343">
        <v>2002</v>
      </c>
      <c r="B49" s="348">
        <v>6.9900000000000004E-2</v>
      </c>
      <c r="C49" s="349">
        <f t="shared" si="1"/>
        <v>5337957</v>
      </c>
      <c r="D49" s="349">
        <f t="shared" si="0"/>
        <v>4068010</v>
      </c>
      <c r="E49" s="349">
        <f t="shared" si="0"/>
        <v>3432289</v>
      </c>
      <c r="F49" s="349">
        <f t="shared" si="0"/>
        <v>2923416</v>
      </c>
      <c r="G49" s="349">
        <f t="shared" si="0"/>
        <v>2636894</v>
      </c>
      <c r="H49" s="349">
        <f t="shared" si="0"/>
        <v>2351864</v>
      </c>
      <c r="I49" s="349">
        <f t="shared" si="0"/>
        <v>1778822</v>
      </c>
      <c r="J49" s="349">
        <f t="shared" si="0"/>
        <v>1677345</v>
      </c>
      <c r="K49" s="349">
        <f t="shared" si="0"/>
        <v>1101318</v>
      </c>
      <c r="L49" s="349">
        <f t="shared" si="0"/>
        <v>967010</v>
      </c>
      <c r="M49" s="349">
        <f t="shared" si="0"/>
        <v>3793426</v>
      </c>
      <c r="N49" s="349">
        <f t="shared" si="0"/>
        <v>753611</v>
      </c>
      <c r="O49" s="349">
        <f t="shared" si="0"/>
        <v>514843</v>
      </c>
      <c r="P49" s="349">
        <f t="shared" si="0"/>
        <v>610351</v>
      </c>
      <c r="Q49" s="349">
        <f t="shared" si="0"/>
        <v>2686139</v>
      </c>
    </row>
    <row r="50" spans="1:17" x14ac:dyDescent="0.2">
      <c r="A50" s="343">
        <v>2003</v>
      </c>
      <c r="B50" s="348">
        <v>6.4899999999999999E-2</v>
      </c>
      <c r="C50" s="349">
        <f t="shared" si="1"/>
        <v>5711080</v>
      </c>
      <c r="D50" s="349">
        <f t="shared" si="0"/>
        <v>4352364</v>
      </c>
      <c r="E50" s="349">
        <f t="shared" si="0"/>
        <v>3672206</v>
      </c>
      <c r="F50" s="349">
        <f t="shared" si="0"/>
        <v>3127763</v>
      </c>
      <c r="G50" s="349">
        <f t="shared" si="0"/>
        <v>2821213</v>
      </c>
      <c r="H50" s="349">
        <f t="shared" si="0"/>
        <v>2516259</v>
      </c>
      <c r="I50" s="349">
        <f t="shared" si="0"/>
        <v>1903162</v>
      </c>
      <c r="J50" s="349">
        <f t="shared" si="0"/>
        <v>1794591</v>
      </c>
      <c r="K50" s="349">
        <f t="shared" si="0"/>
        <v>1178300</v>
      </c>
      <c r="L50" s="349">
        <f t="shared" si="0"/>
        <v>1034604</v>
      </c>
      <c r="M50" s="349">
        <f t="shared" si="0"/>
        <v>4058586</v>
      </c>
      <c r="N50" s="349">
        <f t="shared" si="0"/>
        <v>806288</v>
      </c>
      <c r="O50" s="349">
        <f t="shared" si="0"/>
        <v>550831</v>
      </c>
      <c r="P50" s="349">
        <f t="shared" si="0"/>
        <v>653015</v>
      </c>
      <c r="Q50" s="349">
        <f t="shared" si="0"/>
        <v>2873900</v>
      </c>
    </row>
    <row r="51" spans="1:17" x14ac:dyDescent="0.2">
      <c r="A51" s="343">
        <v>2004</v>
      </c>
      <c r="B51" s="348">
        <v>5.5E-2</v>
      </c>
      <c r="C51" s="349">
        <f t="shared" si="1"/>
        <v>6081729</v>
      </c>
      <c r="D51" s="349">
        <f t="shared" si="0"/>
        <v>4634832</v>
      </c>
      <c r="E51" s="349">
        <f t="shared" si="0"/>
        <v>3910532</v>
      </c>
      <c r="F51" s="349">
        <f t="shared" si="0"/>
        <v>3330755</v>
      </c>
      <c r="G51" s="349">
        <f t="shared" si="0"/>
        <v>3004310</v>
      </c>
      <c r="H51" s="349">
        <f t="shared" si="0"/>
        <v>2679564</v>
      </c>
      <c r="I51" s="349">
        <f t="shared" si="0"/>
        <v>2026677</v>
      </c>
      <c r="J51" s="349">
        <f t="shared" si="0"/>
        <v>1911060</v>
      </c>
      <c r="K51" s="349">
        <f t="shared" si="0"/>
        <v>1254772</v>
      </c>
      <c r="L51" s="349">
        <f t="shared" si="0"/>
        <v>1101750</v>
      </c>
      <c r="M51" s="349">
        <f t="shared" si="0"/>
        <v>4321988</v>
      </c>
      <c r="N51" s="349">
        <f t="shared" si="0"/>
        <v>858616</v>
      </c>
      <c r="O51" s="349">
        <f t="shared" si="0"/>
        <v>586580</v>
      </c>
      <c r="P51" s="349">
        <f t="shared" si="0"/>
        <v>695396</v>
      </c>
      <c r="Q51" s="349">
        <f t="shared" si="0"/>
        <v>3060416</v>
      </c>
    </row>
    <row r="52" spans="1:17" x14ac:dyDescent="0.2">
      <c r="A52" s="343">
        <v>2005</v>
      </c>
      <c r="B52" s="348">
        <v>4.8500000000000001E-2</v>
      </c>
      <c r="C52" s="349">
        <f t="shared" si="1"/>
        <v>6416224</v>
      </c>
      <c r="D52" s="349">
        <f t="shared" si="0"/>
        <v>4889748</v>
      </c>
      <c r="E52" s="349">
        <f t="shared" si="0"/>
        <v>4125611</v>
      </c>
      <c r="F52" s="349">
        <f t="shared" si="0"/>
        <v>3513947</v>
      </c>
      <c r="G52" s="349">
        <f t="shared" si="0"/>
        <v>3169547</v>
      </c>
      <c r="H52" s="349">
        <f t="shared" si="0"/>
        <v>2826940</v>
      </c>
      <c r="I52" s="349">
        <f t="shared" si="0"/>
        <v>2138144</v>
      </c>
      <c r="J52" s="349">
        <f t="shared" si="0"/>
        <v>2016168</v>
      </c>
      <c r="K52" s="349">
        <f t="shared" si="0"/>
        <v>1323784</v>
      </c>
      <c r="L52" s="349">
        <f t="shared" si="0"/>
        <v>1162346</v>
      </c>
      <c r="M52" s="349">
        <f t="shared" si="0"/>
        <v>4559697</v>
      </c>
      <c r="N52" s="349">
        <f t="shared" si="0"/>
        <v>905840</v>
      </c>
      <c r="O52" s="349">
        <f t="shared" si="0"/>
        <v>618842</v>
      </c>
      <c r="P52" s="349">
        <f t="shared" si="0"/>
        <v>733643</v>
      </c>
      <c r="Q52" s="349">
        <f t="shared" si="0"/>
        <v>3228739</v>
      </c>
    </row>
    <row r="53" spans="1:17" x14ac:dyDescent="0.2">
      <c r="A53" s="343">
        <v>2006</v>
      </c>
      <c r="B53" s="348">
        <v>4.48E-2</v>
      </c>
      <c r="C53" s="349">
        <f t="shared" si="1"/>
        <v>6727411</v>
      </c>
      <c r="D53" s="349">
        <f t="shared" si="0"/>
        <v>5126901</v>
      </c>
      <c r="E53" s="349">
        <f t="shared" si="0"/>
        <v>4325703</v>
      </c>
      <c r="F53" s="349">
        <f t="shared" si="0"/>
        <v>3684373</v>
      </c>
      <c r="G53" s="349">
        <f t="shared" si="0"/>
        <v>3323270</v>
      </c>
      <c r="H53" s="349">
        <f t="shared" si="0"/>
        <v>2964047</v>
      </c>
      <c r="I53" s="349">
        <f t="shared" si="0"/>
        <v>2241844</v>
      </c>
      <c r="J53" s="349">
        <f t="shared" si="0"/>
        <v>2113952</v>
      </c>
      <c r="K53" s="349">
        <f t="shared" si="0"/>
        <v>1387988</v>
      </c>
      <c r="L53" s="349">
        <f t="shared" si="0"/>
        <v>1218720</v>
      </c>
      <c r="M53" s="349">
        <f t="shared" si="0"/>
        <v>4780842</v>
      </c>
      <c r="N53" s="349">
        <f t="shared" si="0"/>
        <v>949773</v>
      </c>
      <c r="O53" s="349">
        <f t="shared" si="0"/>
        <v>648856</v>
      </c>
      <c r="P53" s="349">
        <f t="shared" si="0"/>
        <v>769225</v>
      </c>
      <c r="Q53" s="349">
        <f t="shared" si="0"/>
        <v>3385333</v>
      </c>
    </row>
    <row r="54" spans="1:17" x14ac:dyDescent="0.2">
      <c r="A54" s="343">
        <v>2007</v>
      </c>
      <c r="B54" s="348">
        <v>5.6899999999999999E-2</v>
      </c>
      <c r="C54" s="349">
        <f t="shared" si="1"/>
        <v>7028799</v>
      </c>
      <c r="D54" s="349">
        <f t="shared" si="0"/>
        <v>5356586</v>
      </c>
      <c r="E54" s="349">
        <f t="shared" si="0"/>
        <v>4519494</v>
      </c>
      <c r="F54" s="349">
        <f t="shared" si="0"/>
        <v>3849433</v>
      </c>
      <c r="G54" s="349">
        <f t="shared" si="0"/>
        <v>3472152</v>
      </c>
      <c r="H54" s="349">
        <f t="shared" si="0"/>
        <v>3096836</v>
      </c>
      <c r="I54" s="349">
        <f t="shared" si="0"/>
        <v>2342279</v>
      </c>
      <c r="J54" s="349">
        <f t="shared" si="0"/>
        <v>2208657</v>
      </c>
      <c r="K54" s="349">
        <f t="shared" si="0"/>
        <v>1450170</v>
      </c>
      <c r="L54" s="349">
        <f t="shared" si="0"/>
        <v>1273319</v>
      </c>
      <c r="M54" s="349">
        <f t="shared" si="0"/>
        <v>4995024</v>
      </c>
      <c r="N54" s="349">
        <f t="shared" si="0"/>
        <v>992323</v>
      </c>
      <c r="O54" s="349">
        <f t="shared" si="0"/>
        <v>677925</v>
      </c>
      <c r="P54" s="349">
        <f t="shared" si="0"/>
        <v>803686</v>
      </c>
      <c r="Q54" s="349">
        <f t="shared" si="0"/>
        <v>3536996</v>
      </c>
    </row>
    <row r="55" spans="1:17" x14ac:dyDescent="0.2">
      <c r="A55" s="343">
        <v>2008</v>
      </c>
      <c r="B55" s="350">
        <v>7.6700000000000004E-2</v>
      </c>
      <c r="C55" s="349">
        <f t="shared" si="1"/>
        <v>7428738</v>
      </c>
      <c r="D55" s="349">
        <f t="shared" si="0"/>
        <v>5661376</v>
      </c>
      <c r="E55" s="349">
        <f t="shared" si="0"/>
        <v>4776653</v>
      </c>
      <c r="F55" s="349">
        <f t="shared" si="0"/>
        <v>4068466</v>
      </c>
      <c r="G55" s="349">
        <f t="shared" si="0"/>
        <v>3669717</v>
      </c>
      <c r="H55" s="349">
        <f t="shared" si="0"/>
        <v>3273046</v>
      </c>
      <c r="I55" s="349">
        <f t="shared" si="0"/>
        <v>2475555</v>
      </c>
      <c r="J55" s="349">
        <f t="shared" si="0"/>
        <v>2334330</v>
      </c>
      <c r="K55" s="349">
        <f t="shared" si="0"/>
        <v>1532685</v>
      </c>
      <c r="L55" s="349">
        <f t="shared" si="0"/>
        <v>1345771</v>
      </c>
      <c r="M55" s="349">
        <f t="shared" si="0"/>
        <v>5279241</v>
      </c>
      <c r="N55" s="349">
        <f t="shared" si="0"/>
        <v>1048786</v>
      </c>
      <c r="O55" s="349">
        <f t="shared" si="0"/>
        <v>716499</v>
      </c>
      <c r="P55" s="349">
        <f t="shared" si="0"/>
        <v>849416</v>
      </c>
      <c r="Q55" s="349">
        <f t="shared" si="0"/>
        <v>3738251</v>
      </c>
    </row>
    <row r="56" spans="1:17" x14ac:dyDescent="0.2">
      <c r="A56" s="343">
        <v>2009</v>
      </c>
      <c r="B56" s="351">
        <v>0.02</v>
      </c>
      <c r="C56" s="349">
        <f t="shared" si="1"/>
        <v>7998522</v>
      </c>
      <c r="D56" s="349">
        <f t="shared" si="0"/>
        <v>6095604</v>
      </c>
      <c r="E56" s="349">
        <f t="shared" si="0"/>
        <v>5143022</v>
      </c>
      <c r="F56" s="349">
        <f t="shared" si="0"/>
        <v>4380517</v>
      </c>
      <c r="G56" s="349">
        <f t="shared" si="0"/>
        <v>3951184</v>
      </c>
      <c r="H56" s="349">
        <f t="shared" si="0"/>
        <v>3524089</v>
      </c>
      <c r="I56" s="349">
        <f t="shared" si="0"/>
        <v>2665430</v>
      </c>
      <c r="J56" s="349">
        <f t="shared" si="0"/>
        <v>2513373</v>
      </c>
      <c r="K56" s="349">
        <f t="shared" si="0"/>
        <v>1650242</v>
      </c>
      <c r="L56" s="349">
        <f t="shared" si="0"/>
        <v>1448992</v>
      </c>
      <c r="M56" s="349">
        <f t="shared" si="0"/>
        <v>5684159</v>
      </c>
      <c r="N56" s="349">
        <f t="shared" si="0"/>
        <v>1129228</v>
      </c>
      <c r="O56" s="349">
        <f t="shared" si="0"/>
        <v>771454</v>
      </c>
      <c r="P56" s="349">
        <f t="shared" si="0"/>
        <v>914566</v>
      </c>
      <c r="Q56" s="349">
        <f t="shared" si="0"/>
        <v>4024975</v>
      </c>
    </row>
    <row r="57" spans="1:17" x14ac:dyDescent="0.2">
      <c r="A57" s="343">
        <v>2010</v>
      </c>
      <c r="B57" s="350">
        <v>3.1699999999999999E-2</v>
      </c>
      <c r="C57" s="349">
        <f t="shared" si="1"/>
        <v>8158492</v>
      </c>
      <c r="D57" s="349">
        <f t="shared" si="0"/>
        <v>6217516</v>
      </c>
      <c r="E57" s="349">
        <f t="shared" si="0"/>
        <v>5245882</v>
      </c>
      <c r="F57" s="349">
        <f t="shared" si="0"/>
        <v>4468127</v>
      </c>
      <c r="G57" s="349">
        <f t="shared" si="0"/>
        <v>4030208</v>
      </c>
      <c r="H57" s="349">
        <f t="shared" si="0"/>
        <v>3594571</v>
      </c>
      <c r="I57" s="349">
        <f t="shared" si="0"/>
        <v>2718739</v>
      </c>
      <c r="J57" s="349">
        <f t="shared" si="0"/>
        <v>2563640</v>
      </c>
      <c r="K57" s="349">
        <f t="shared" si="0"/>
        <v>1683247</v>
      </c>
      <c r="L57" s="349">
        <f t="shared" si="0"/>
        <v>1477972</v>
      </c>
      <c r="M57" s="349">
        <f t="shared" si="0"/>
        <v>5797842</v>
      </c>
      <c r="N57" s="349">
        <f t="shared" si="0"/>
        <v>1151813</v>
      </c>
      <c r="O57" s="349">
        <f t="shared" si="0"/>
        <v>786883</v>
      </c>
      <c r="P57" s="349">
        <f t="shared" si="0"/>
        <v>932857</v>
      </c>
      <c r="Q57" s="349">
        <f t="shared" si="0"/>
        <v>4105475</v>
      </c>
    </row>
    <row r="58" spans="1:17" x14ac:dyDescent="0.2">
      <c r="A58" s="343">
        <v>2011</v>
      </c>
      <c r="B58" s="350">
        <v>3.73E-2</v>
      </c>
      <c r="C58" s="349">
        <f t="shared" si="1"/>
        <v>8417116</v>
      </c>
      <c r="D58" s="349">
        <f t="shared" si="0"/>
        <v>6414611</v>
      </c>
      <c r="E58" s="349">
        <f t="shared" si="0"/>
        <v>5412176</v>
      </c>
      <c r="F58" s="349">
        <f t="shared" si="0"/>
        <v>4609767</v>
      </c>
      <c r="G58" s="349">
        <f t="shared" si="0"/>
        <v>4157966</v>
      </c>
      <c r="H58" s="349">
        <f t="shared" si="0"/>
        <v>3708519</v>
      </c>
      <c r="I58" s="349">
        <f t="shared" si="0"/>
        <v>2804923</v>
      </c>
      <c r="J58" s="349">
        <f t="shared" si="0"/>
        <v>2644907</v>
      </c>
      <c r="K58" s="349">
        <f t="shared" si="0"/>
        <v>1736606</v>
      </c>
      <c r="L58" s="349">
        <f t="shared" si="0"/>
        <v>1524824</v>
      </c>
      <c r="M58" s="349">
        <f t="shared" si="0"/>
        <v>5981634</v>
      </c>
      <c r="N58" s="349">
        <f t="shared" si="0"/>
        <v>1188325</v>
      </c>
      <c r="O58" s="349">
        <f t="shared" si="0"/>
        <v>811827</v>
      </c>
      <c r="P58" s="349">
        <f t="shared" si="0"/>
        <v>962429</v>
      </c>
      <c r="Q58" s="349">
        <f t="shared" si="0"/>
        <v>4235619</v>
      </c>
    </row>
    <row r="59" spans="1:17" x14ac:dyDescent="0.2">
      <c r="A59" s="343">
        <v>2012</v>
      </c>
      <c r="B59" s="350">
        <v>2.4400000000000002E-2</v>
      </c>
      <c r="C59" s="349">
        <f t="shared" si="1"/>
        <v>8731074</v>
      </c>
      <c r="D59" s="349">
        <f t="shared" si="0"/>
        <v>6653876</v>
      </c>
      <c r="E59" s="349">
        <f t="shared" si="0"/>
        <v>5614050</v>
      </c>
      <c r="F59" s="349">
        <f t="shared" si="0"/>
        <v>4781711</v>
      </c>
      <c r="G59" s="349">
        <f t="shared" si="0"/>
        <v>4313058</v>
      </c>
      <c r="H59" s="349">
        <f t="shared" si="0"/>
        <v>3846847</v>
      </c>
      <c r="I59" s="349">
        <f t="shared" si="0"/>
        <v>2909547</v>
      </c>
      <c r="J59" s="349">
        <f t="shared" si="0"/>
        <v>2743562</v>
      </c>
      <c r="K59" s="349">
        <f t="shared" si="0"/>
        <v>1801381</v>
      </c>
      <c r="L59" s="349">
        <f t="shared" si="0"/>
        <v>1581700</v>
      </c>
      <c r="M59" s="349">
        <f t="shared" si="0"/>
        <v>6204749</v>
      </c>
      <c r="N59" s="349">
        <f t="shared" si="0"/>
        <v>1232650</v>
      </c>
      <c r="O59" s="349">
        <f t="shared" si="0"/>
        <v>842108</v>
      </c>
      <c r="P59" s="349">
        <f t="shared" si="0"/>
        <v>998328</v>
      </c>
      <c r="Q59" s="349">
        <f t="shared" si="0"/>
        <v>4393608</v>
      </c>
    </row>
    <row r="60" spans="1:17" x14ac:dyDescent="0.2">
      <c r="A60" s="343">
        <v>2013</v>
      </c>
      <c r="B60" s="350">
        <v>1.9400000000000001E-2</v>
      </c>
      <c r="C60" s="349">
        <f t="shared" si="1"/>
        <v>8944112</v>
      </c>
      <c r="D60" s="349">
        <f t="shared" si="0"/>
        <v>6816231</v>
      </c>
      <c r="E60" s="349">
        <f t="shared" si="0"/>
        <v>5751033</v>
      </c>
      <c r="F60" s="349">
        <f t="shared" si="0"/>
        <v>4898385</v>
      </c>
      <c r="G60" s="349">
        <f t="shared" si="0"/>
        <v>4418297</v>
      </c>
      <c r="H60" s="349">
        <f t="shared" si="0"/>
        <v>3940710</v>
      </c>
      <c r="I60" s="349">
        <f t="shared" si="0"/>
        <v>2980540</v>
      </c>
      <c r="J60" s="349">
        <f t="shared" si="0"/>
        <v>2810505</v>
      </c>
      <c r="K60" s="349">
        <f t="shared" si="0"/>
        <v>1845335</v>
      </c>
      <c r="L60" s="349">
        <f t="shared" si="0"/>
        <v>1620293</v>
      </c>
      <c r="M60" s="349">
        <f t="shared" si="0"/>
        <v>6356145</v>
      </c>
      <c r="N60" s="349">
        <f t="shared" si="0"/>
        <v>1262727</v>
      </c>
      <c r="O60" s="349">
        <f t="shared" si="0"/>
        <v>862655</v>
      </c>
      <c r="P60" s="349">
        <f t="shared" si="0"/>
        <v>1022687</v>
      </c>
      <c r="Q60" s="349">
        <f t="shared" si="0"/>
        <v>4500812</v>
      </c>
    </row>
    <row r="61" spans="1:17" x14ac:dyDescent="0.2">
      <c r="A61" s="343">
        <v>2014</v>
      </c>
      <c r="B61" s="350">
        <v>3.6600000000000001E-2</v>
      </c>
      <c r="C61" s="349">
        <f t="shared" si="1"/>
        <v>9117628</v>
      </c>
      <c r="D61" s="349">
        <f t="shared" si="0"/>
        <v>6948466</v>
      </c>
      <c r="E61" s="349">
        <f t="shared" si="0"/>
        <v>5862603</v>
      </c>
      <c r="F61" s="349">
        <f t="shared" si="0"/>
        <v>4993414</v>
      </c>
      <c r="G61" s="349">
        <f t="shared" si="0"/>
        <v>4504012</v>
      </c>
      <c r="H61" s="349">
        <f t="shared" si="0"/>
        <v>4017160</v>
      </c>
      <c r="I61" s="349">
        <f t="shared" si="0"/>
        <v>3038362</v>
      </c>
      <c r="J61" s="349">
        <f t="shared" si="0"/>
        <v>2865029</v>
      </c>
      <c r="K61" s="349">
        <f t="shared" si="0"/>
        <v>1881134</v>
      </c>
      <c r="L61" s="349">
        <f t="shared" si="0"/>
        <v>1651727</v>
      </c>
      <c r="M61" s="349">
        <f t="shared" si="0"/>
        <v>6479454</v>
      </c>
      <c r="N61" s="349">
        <f t="shared" si="0"/>
        <v>1287224</v>
      </c>
      <c r="O61" s="349">
        <f t="shared" si="0"/>
        <v>879391</v>
      </c>
      <c r="P61" s="349">
        <f t="shared" si="0"/>
        <v>1042527</v>
      </c>
      <c r="Q61" s="349">
        <f t="shared" si="0"/>
        <v>4588128</v>
      </c>
    </row>
    <row r="62" spans="1:17" x14ac:dyDescent="0.2">
      <c r="A62" s="343">
        <v>2015</v>
      </c>
      <c r="B62" s="350">
        <v>6.7699999999999996E-2</v>
      </c>
      <c r="C62" s="349">
        <f t="shared" si="1"/>
        <v>9451333</v>
      </c>
      <c r="D62" s="349">
        <f t="shared" ref="D62:Q68" si="2">ROUND(D61*(1+$B61),0)</f>
        <v>7202780</v>
      </c>
      <c r="E62" s="349">
        <f t="shared" si="2"/>
        <v>6077174</v>
      </c>
      <c r="F62" s="349">
        <f t="shared" si="2"/>
        <v>5176173</v>
      </c>
      <c r="G62" s="349">
        <f t="shared" si="2"/>
        <v>4668859</v>
      </c>
      <c r="H62" s="349">
        <f t="shared" si="2"/>
        <v>4164188</v>
      </c>
      <c r="I62" s="349">
        <f t="shared" si="2"/>
        <v>3149566</v>
      </c>
      <c r="J62" s="349">
        <f t="shared" si="2"/>
        <v>2969889</v>
      </c>
      <c r="K62" s="349">
        <f t="shared" si="2"/>
        <v>1949984</v>
      </c>
      <c r="L62" s="349">
        <f t="shared" si="2"/>
        <v>1712180</v>
      </c>
      <c r="M62" s="349">
        <f t="shared" si="2"/>
        <v>6716602</v>
      </c>
      <c r="N62" s="349">
        <f t="shared" si="2"/>
        <v>1334336</v>
      </c>
      <c r="O62" s="349">
        <f t="shared" si="2"/>
        <v>911577</v>
      </c>
      <c r="P62" s="349">
        <f t="shared" si="2"/>
        <v>1080683</v>
      </c>
      <c r="Q62" s="349">
        <f t="shared" si="2"/>
        <v>4756053</v>
      </c>
    </row>
    <row r="63" spans="1:17" x14ac:dyDescent="0.2">
      <c r="A63" s="343">
        <v>2016</v>
      </c>
      <c r="B63" s="350">
        <v>5.7500000000000002E-2</v>
      </c>
      <c r="C63" s="349">
        <f t="shared" si="1"/>
        <v>10091188</v>
      </c>
      <c r="D63" s="349">
        <f t="shared" si="2"/>
        <v>7690408</v>
      </c>
      <c r="E63" s="349">
        <f t="shared" si="2"/>
        <v>6488599</v>
      </c>
      <c r="F63" s="349">
        <f t="shared" si="2"/>
        <v>5526600</v>
      </c>
      <c r="G63" s="349">
        <f t="shared" si="2"/>
        <v>4984941</v>
      </c>
      <c r="H63" s="349">
        <f t="shared" si="2"/>
        <v>4446104</v>
      </c>
      <c r="I63" s="349">
        <f t="shared" si="2"/>
        <v>3362792</v>
      </c>
      <c r="J63" s="349">
        <f t="shared" si="2"/>
        <v>3170950</v>
      </c>
      <c r="K63" s="349">
        <f t="shared" si="2"/>
        <v>2081998</v>
      </c>
      <c r="L63" s="349">
        <f t="shared" si="2"/>
        <v>1828095</v>
      </c>
      <c r="M63" s="349">
        <f t="shared" si="2"/>
        <v>7171316</v>
      </c>
      <c r="N63" s="349">
        <f t="shared" si="2"/>
        <v>1424671</v>
      </c>
      <c r="O63" s="349">
        <f t="shared" si="2"/>
        <v>973291</v>
      </c>
      <c r="P63" s="349">
        <f t="shared" si="2"/>
        <v>1153845</v>
      </c>
      <c r="Q63" s="349">
        <f t="shared" si="2"/>
        <v>5078038</v>
      </c>
    </row>
    <row r="64" spans="1:17" x14ac:dyDescent="0.2">
      <c r="A64" s="352">
        <v>2017</v>
      </c>
      <c r="B64" s="350">
        <v>4.1000000000000002E-2</v>
      </c>
      <c r="C64" s="349">
        <f t="shared" si="1"/>
        <v>10671431</v>
      </c>
      <c r="D64" s="349">
        <f t="shared" si="2"/>
        <v>8132606</v>
      </c>
      <c r="E64" s="349">
        <f t="shared" si="2"/>
        <v>6861693</v>
      </c>
      <c r="F64" s="349">
        <f t="shared" si="2"/>
        <v>5844380</v>
      </c>
      <c r="G64" s="349">
        <f t="shared" si="2"/>
        <v>5271575</v>
      </c>
      <c r="H64" s="349">
        <f t="shared" si="2"/>
        <v>4701755</v>
      </c>
      <c r="I64" s="349">
        <f t="shared" si="2"/>
        <v>3556153</v>
      </c>
      <c r="J64" s="349">
        <f t="shared" si="2"/>
        <v>3353280</v>
      </c>
      <c r="K64" s="349">
        <f t="shared" si="2"/>
        <v>2201713</v>
      </c>
      <c r="L64" s="349">
        <f t="shared" si="2"/>
        <v>1933210</v>
      </c>
      <c r="M64" s="349">
        <f t="shared" si="2"/>
        <v>7583667</v>
      </c>
      <c r="N64" s="349">
        <f t="shared" si="2"/>
        <v>1506590</v>
      </c>
      <c r="O64" s="349">
        <f t="shared" si="2"/>
        <v>1029255</v>
      </c>
      <c r="P64" s="349">
        <f t="shared" si="2"/>
        <v>1220191</v>
      </c>
      <c r="Q64" s="349">
        <f t="shared" si="2"/>
        <v>5370025</v>
      </c>
    </row>
    <row r="65" spans="1:17" x14ac:dyDescent="0.2">
      <c r="A65" s="352">
        <v>2018</v>
      </c>
      <c r="B65" s="350">
        <v>3.1800000000000002E-2</v>
      </c>
      <c r="C65" s="349">
        <f t="shared" si="1"/>
        <v>11108960</v>
      </c>
      <c r="D65" s="349">
        <f t="shared" si="2"/>
        <v>8466043</v>
      </c>
      <c r="E65" s="349">
        <f t="shared" si="2"/>
        <v>7143022</v>
      </c>
      <c r="F65" s="349">
        <f t="shared" si="2"/>
        <v>6084000</v>
      </c>
      <c r="G65" s="349">
        <f t="shared" si="2"/>
        <v>5487710</v>
      </c>
      <c r="H65" s="349">
        <f t="shared" si="2"/>
        <v>4894527</v>
      </c>
      <c r="I65" s="349">
        <f t="shared" si="2"/>
        <v>3701955</v>
      </c>
      <c r="J65" s="349">
        <f t="shared" si="2"/>
        <v>3490764</v>
      </c>
      <c r="K65" s="349">
        <f t="shared" si="2"/>
        <v>2291983</v>
      </c>
      <c r="L65" s="349">
        <f t="shared" si="2"/>
        <v>2012472</v>
      </c>
      <c r="M65" s="349">
        <f t="shared" si="2"/>
        <v>7894597</v>
      </c>
      <c r="N65" s="349">
        <f t="shared" si="2"/>
        <v>1568360</v>
      </c>
      <c r="O65" s="349">
        <f t="shared" si="2"/>
        <v>1071454</v>
      </c>
      <c r="P65" s="349">
        <f t="shared" si="2"/>
        <v>1270219</v>
      </c>
      <c r="Q65" s="349">
        <f t="shared" si="2"/>
        <v>5590196</v>
      </c>
    </row>
    <row r="66" spans="1:17" x14ac:dyDescent="0.2">
      <c r="A66" s="352">
        <v>2019</v>
      </c>
      <c r="B66" s="350">
        <v>3.7999999999999999E-2</v>
      </c>
      <c r="C66" s="349">
        <f>ROUND(C65*(1+B65),0)</f>
        <v>11462225</v>
      </c>
      <c r="D66" s="349">
        <f t="shared" si="2"/>
        <v>8735263</v>
      </c>
      <c r="E66" s="349">
        <f t="shared" si="2"/>
        <v>7370170</v>
      </c>
      <c r="F66" s="349">
        <f>ROUND(F65*(1+$B65),0)</f>
        <v>6277471</v>
      </c>
      <c r="G66" s="349">
        <f t="shared" si="2"/>
        <v>5662219</v>
      </c>
      <c r="H66" s="349">
        <f t="shared" si="2"/>
        <v>5050173</v>
      </c>
      <c r="I66" s="349">
        <f t="shared" si="2"/>
        <v>3819677</v>
      </c>
      <c r="J66" s="349">
        <f t="shared" si="2"/>
        <v>3601770</v>
      </c>
      <c r="K66" s="349">
        <f t="shared" si="2"/>
        <v>2364868</v>
      </c>
      <c r="L66" s="349">
        <f t="shared" si="2"/>
        <v>2076469</v>
      </c>
      <c r="M66" s="349">
        <f t="shared" si="2"/>
        <v>8145645</v>
      </c>
      <c r="N66" s="349">
        <f t="shared" si="2"/>
        <v>1618234</v>
      </c>
      <c r="O66" s="349">
        <f t="shared" si="2"/>
        <v>1105526</v>
      </c>
      <c r="P66" s="349">
        <f t="shared" si="2"/>
        <v>1310612</v>
      </c>
      <c r="Q66" s="349">
        <f t="shared" si="2"/>
        <v>5767964</v>
      </c>
    </row>
    <row r="67" spans="1:17" x14ac:dyDescent="0.2">
      <c r="A67" s="352">
        <v>2020</v>
      </c>
      <c r="B67" s="656">
        <v>3.5000000000000003E-2</v>
      </c>
      <c r="C67" s="349">
        <f>ROUND(C66*(1+B66),0)</f>
        <v>11897790</v>
      </c>
      <c r="D67" s="349">
        <f t="shared" si="2"/>
        <v>9067203</v>
      </c>
      <c r="E67" s="349">
        <f t="shared" si="2"/>
        <v>7650236</v>
      </c>
      <c r="F67" s="349">
        <f>ROUND(F66*(1+$B66),0)</f>
        <v>6516015</v>
      </c>
      <c r="G67" s="349">
        <f t="shared" si="2"/>
        <v>5877383</v>
      </c>
      <c r="H67" s="349">
        <f t="shared" si="2"/>
        <v>5242080</v>
      </c>
      <c r="I67" s="349">
        <f t="shared" si="2"/>
        <v>3964825</v>
      </c>
      <c r="J67" s="349">
        <f t="shared" si="2"/>
        <v>3738637</v>
      </c>
      <c r="K67" s="349">
        <f t="shared" si="2"/>
        <v>2454733</v>
      </c>
      <c r="L67" s="349">
        <f t="shared" si="2"/>
        <v>2155375</v>
      </c>
      <c r="M67" s="349">
        <f t="shared" si="2"/>
        <v>8455180</v>
      </c>
      <c r="N67" s="349">
        <f t="shared" si="2"/>
        <v>1679727</v>
      </c>
      <c r="O67" s="349">
        <f t="shared" si="2"/>
        <v>1147536</v>
      </c>
      <c r="P67" s="349">
        <f t="shared" si="2"/>
        <v>1360415</v>
      </c>
      <c r="Q67" s="349">
        <f t="shared" si="2"/>
        <v>5987147</v>
      </c>
    </row>
    <row r="68" spans="1:17" x14ac:dyDescent="0.2">
      <c r="A68" s="352">
        <v>2021</v>
      </c>
      <c r="B68" s="352"/>
      <c r="C68" s="349">
        <f>ROUND(C67*(1+B67),0)</f>
        <v>12314213</v>
      </c>
      <c r="D68" s="349">
        <f t="shared" si="2"/>
        <v>9384555</v>
      </c>
      <c r="E68" s="349">
        <f t="shared" si="2"/>
        <v>7917994</v>
      </c>
      <c r="F68" s="349">
        <f>ROUND(F67*(1+$B67),0)</f>
        <v>6744076</v>
      </c>
      <c r="G68" s="349">
        <f t="shared" si="2"/>
        <v>6083091</v>
      </c>
      <c r="H68" s="349">
        <f t="shared" si="2"/>
        <v>5425553</v>
      </c>
      <c r="I68" s="349">
        <f t="shared" si="2"/>
        <v>4103594</v>
      </c>
      <c r="J68" s="349">
        <f t="shared" si="2"/>
        <v>3869489</v>
      </c>
      <c r="K68" s="349">
        <f t="shared" si="2"/>
        <v>2540649</v>
      </c>
      <c r="L68" s="349">
        <f t="shared" si="2"/>
        <v>2230813</v>
      </c>
      <c r="M68" s="349">
        <f t="shared" si="2"/>
        <v>8751111</v>
      </c>
      <c r="N68" s="349">
        <f t="shared" si="2"/>
        <v>1738517</v>
      </c>
      <c r="O68" s="349">
        <f t="shared" si="2"/>
        <v>1187700</v>
      </c>
      <c r="P68" s="349">
        <f t="shared" si="2"/>
        <v>1408030</v>
      </c>
      <c r="Q68" s="349">
        <f t="shared" si="2"/>
        <v>6196697</v>
      </c>
    </row>
  </sheetData>
  <mergeCells count="39">
    <mergeCell ref="A9:B9"/>
    <mergeCell ref="A3:B3"/>
    <mergeCell ref="A4:B4"/>
    <mergeCell ref="A5:B5"/>
    <mergeCell ref="A6:B6"/>
    <mergeCell ref="A7:B7"/>
    <mergeCell ref="A24:E24"/>
    <mergeCell ref="A10:B10"/>
    <mergeCell ref="A11:B11"/>
    <mergeCell ref="A12:B12"/>
    <mergeCell ref="A13:B13"/>
    <mergeCell ref="A15:B15"/>
    <mergeCell ref="A16:B16"/>
    <mergeCell ref="A17:B17"/>
    <mergeCell ref="A18:B18"/>
    <mergeCell ref="A19:B19"/>
    <mergeCell ref="A20:B20"/>
    <mergeCell ref="A22:B22"/>
    <mergeCell ref="C28:E28"/>
    <mergeCell ref="A30:A31"/>
    <mergeCell ref="B30:B31"/>
    <mergeCell ref="C30:E30"/>
    <mergeCell ref="C31:E31"/>
    <mergeCell ref="A1:E1"/>
    <mergeCell ref="A43:B43"/>
    <mergeCell ref="A44:B44"/>
    <mergeCell ref="A33:A34"/>
    <mergeCell ref="C33:E33"/>
    <mergeCell ref="C34:E34"/>
    <mergeCell ref="A40:Q40"/>
    <mergeCell ref="A41:A42"/>
    <mergeCell ref="B41:B42"/>
    <mergeCell ref="C41:Q41"/>
    <mergeCell ref="A36:B36"/>
    <mergeCell ref="A37:B37"/>
    <mergeCell ref="A38:B38"/>
    <mergeCell ref="A25:A26"/>
    <mergeCell ref="C25:E25"/>
    <mergeCell ref="C26:E2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
  <sheetViews>
    <sheetView view="pageBreakPreview" topLeftCell="B1" zoomScaleNormal="100" zoomScaleSheetLayoutView="100" workbookViewId="0">
      <selection activeCell="E26" sqref="E26"/>
    </sheetView>
  </sheetViews>
  <sheetFormatPr baseColWidth="10" defaultRowHeight="12.75" x14ac:dyDescent="0.2"/>
  <cols>
    <col min="1" max="1" width="11.5703125" style="15" bestFit="1" customWidth="1" collapsed="1"/>
    <col min="2" max="2" width="42.5703125" style="15" customWidth="1" collapsed="1"/>
    <col min="3" max="3" width="11.42578125" style="15" collapsed="1"/>
    <col min="4" max="4" width="16" style="15" bestFit="1" customWidth="1" collapsed="1"/>
    <col min="5" max="5" width="26.42578125" style="15" customWidth="1" collapsed="1"/>
    <col min="6" max="6" width="19.7109375" style="15" customWidth="1" collapsed="1"/>
    <col min="7" max="7" width="26.7109375" style="15" customWidth="1" collapsed="1"/>
    <col min="8" max="8" width="35.5703125" style="15" bestFit="1" customWidth="1" collapsed="1"/>
    <col min="9" max="9" width="11.5703125" style="15" bestFit="1" customWidth="1" collapsed="1"/>
    <col min="10" max="10" width="11.42578125" style="15" collapsed="1"/>
    <col min="11" max="11" width="14" style="15" bestFit="1" customWidth="1" collapsed="1"/>
    <col min="12" max="16384" width="11.42578125" style="15" collapsed="1"/>
  </cols>
  <sheetData>
    <row r="1" spans="1:11" ht="16.5" customHeight="1" x14ac:dyDescent="0.2">
      <c r="A1" s="838"/>
      <c r="B1" s="838"/>
      <c r="C1" s="839" t="s">
        <v>351</v>
      </c>
      <c r="D1" s="839"/>
      <c r="E1" s="839"/>
      <c r="F1" s="839"/>
      <c r="G1" s="839"/>
      <c r="H1" s="387" t="s">
        <v>352</v>
      </c>
      <c r="I1" s="173"/>
      <c r="J1" s="173"/>
      <c r="K1" s="173"/>
    </row>
    <row r="2" spans="1:11" ht="40.5" customHeight="1" x14ac:dyDescent="0.2">
      <c r="A2" s="838"/>
      <c r="B2" s="838"/>
      <c r="C2" s="840" t="str">
        <f>PRESUPUESTO!B5</f>
        <v>MANTENIMIENTO PREVENTIVO Y CORRECTIVO DE LOS TANQUES DE AGUA PARA LA INFRAESTRUCTURA INSTITUCIONAL SEGÚN REQUERIMIENTO DEL MUNICIPIO DE ENVIGADO</v>
      </c>
      <c r="D2" s="841"/>
      <c r="E2" s="841"/>
      <c r="F2" s="841"/>
      <c r="G2" s="842"/>
      <c r="H2" s="388" t="e">
        <f>'[11]ARU DEFINITIVO'!G77</f>
        <v>#DIV/0!</v>
      </c>
      <c r="I2" s="173"/>
      <c r="J2" s="173"/>
      <c r="K2" s="173"/>
    </row>
    <row r="3" spans="1:11" s="360" customFormat="1" ht="15.75" customHeight="1" x14ac:dyDescent="0.2">
      <c r="A3" s="843" t="s">
        <v>72</v>
      </c>
      <c r="B3" s="843" t="s">
        <v>64</v>
      </c>
      <c r="C3" s="843"/>
      <c r="D3" s="844" t="s">
        <v>399</v>
      </c>
      <c r="E3" s="844" t="s">
        <v>400</v>
      </c>
      <c r="F3" s="846" t="s">
        <v>767</v>
      </c>
      <c r="G3" s="847" t="s">
        <v>714</v>
      </c>
      <c r="H3" s="833"/>
      <c r="I3" s="359"/>
      <c r="J3" s="359"/>
      <c r="K3" s="359"/>
    </row>
    <row r="4" spans="1:11" s="360" customFormat="1" ht="15.75" x14ac:dyDescent="0.2">
      <c r="A4" s="843"/>
      <c r="B4" s="843"/>
      <c r="C4" s="843"/>
      <c r="D4" s="845"/>
      <c r="E4" s="845"/>
      <c r="F4" s="843"/>
      <c r="G4" s="847"/>
      <c r="H4" s="833"/>
      <c r="I4" s="359"/>
      <c r="J4" s="359"/>
      <c r="K4" s="359"/>
    </row>
    <row r="5" spans="1:11" s="360" customFormat="1" ht="6" customHeight="1" x14ac:dyDescent="0.2">
      <c r="A5" s="826"/>
      <c r="B5" s="827"/>
      <c r="C5" s="361"/>
      <c r="D5" s="362"/>
      <c r="E5" s="362"/>
      <c r="F5" s="363"/>
      <c r="G5" s="362"/>
      <c r="H5" s="364"/>
      <c r="I5" s="364"/>
      <c r="J5" s="364"/>
      <c r="K5" s="364"/>
    </row>
    <row r="6" spans="1:11" s="360" customFormat="1" ht="34.5" customHeight="1" x14ac:dyDescent="0.2">
      <c r="A6" s="834">
        <v>1</v>
      </c>
      <c r="B6" s="835" t="str">
        <f>PRESUPUESTO!B5:F5</f>
        <v>MANTENIMIENTO PREVENTIVO Y CORRECTIVO DE LOS TANQUES DE AGUA PARA LA INFRAESTRUCTURA INSTITUCIONAL SEGÚN REQUERIMIENTO DEL MUNICIPIO DE ENVIGADO</v>
      </c>
      <c r="C6" s="836" t="s">
        <v>353</v>
      </c>
      <c r="D6" s="653">
        <f>100%/$I$6</f>
        <v>1</v>
      </c>
      <c r="E6" s="653">
        <f>100%/$I$6</f>
        <v>1</v>
      </c>
      <c r="F6" s="655">
        <f>SUM(D6:E6)</f>
        <v>2</v>
      </c>
      <c r="G6" s="381">
        <f>PRESUPUESTO!F14</f>
        <v>125816171</v>
      </c>
      <c r="H6" s="365" t="s">
        <v>775</v>
      </c>
      <c r="I6" s="366">
        <f>'ARU DEFINITIVO'!D11</f>
        <v>1</v>
      </c>
      <c r="J6" s="369"/>
      <c r="K6" s="367"/>
    </row>
    <row r="7" spans="1:11" s="360" customFormat="1" ht="34.5" customHeight="1" x14ac:dyDescent="0.2">
      <c r="A7" s="834"/>
      <c r="B7" s="835"/>
      <c r="C7" s="837"/>
      <c r="D7" s="370">
        <f>D6*$G$6</f>
        <v>125816171</v>
      </c>
      <c r="E7" s="370">
        <f>E6*$G$6</f>
        <v>125816171</v>
      </c>
      <c r="F7" s="655">
        <f>SUM(D7:E7)/G6</f>
        <v>2</v>
      </c>
      <c r="G7" s="368">
        <f>SUM(D7:E7)</f>
        <v>251632342</v>
      </c>
      <c r="H7" s="371"/>
      <c r="I7" s="367"/>
      <c r="J7" s="369"/>
      <c r="K7" s="367"/>
    </row>
    <row r="8" spans="1:11" s="360" customFormat="1" ht="6" customHeight="1" x14ac:dyDescent="0.2">
      <c r="A8" s="826"/>
      <c r="B8" s="827"/>
      <c r="C8" s="361"/>
      <c r="D8" s="362"/>
      <c r="E8" s="362"/>
      <c r="F8" s="363"/>
      <c r="G8" s="362"/>
      <c r="H8" s="364"/>
      <c r="I8" s="364"/>
      <c r="J8" s="364"/>
      <c r="K8" s="364"/>
    </row>
    <row r="9" spans="1:11" s="360" customFormat="1" ht="15.75" customHeight="1" x14ac:dyDescent="0.25">
      <c r="A9" s="829" t="s">
        <v>354</v>
      </c>
      <c r="B9" s="829"/>
      <c r="C9" s="830" t="s">
        <v>353</v>
      </c>
      <c r="D9" s="653">
        <f t="shared" ref="D9:E9" si="0">D6</f>
        <v>1</v>
      </c>
      <c r="E9" s="653">
        <f t="shared" si="0"/>
        <v>1</v>
      </c>
      <c r="F9" s="832">
        <f>SUM(D9:E9)</f>
        <v>2</v>
      </c>
      <c r="G9" s="828">
        <f>SUM(D10:E10)</f>
        <v>251632342</v>
      </c>
      <c r="H9" s="372"/>
      <c r="I9" s="373"/>
      <c r="J9" s="374"/>
      <c r="K9" s="375"/>
    </row>
    <row r="10" spans="1:11" s="360" customFormat="1" ht="15" x14ac:dyDescent="0.2">
      <c r="A10" s="829"/>
      <c r="B10" s="829"/>
      <c r="C10" s="831"/>
      <c r="D10" s="376">
        <f>D7</f>
        <v>125816171</v>
      </c>
      <c r="E10" s="376">
        <f>E7</f>
        <v>125816171</v>
      </c>
      <c r="F10" s="832"/>
      <c r="G10" s="828"/>
    </row>
    <row r="11" spans="1:11" s="386" customFormat="1" ht="6" customHeight="1" x14ac:dyDescent="0.2">
      <c r="A11" s="382"/>
      <c r="B11" s="383"/>
      <c r="C11" s="383"/>
      <c r="D11" s="384"/>
      <c r="E11" s="384"/>
      <c r="F11" s="384"/>
      <c r="G11" s="385"/>
    </row>
    <row r="12" spans="1:11" s="360" customFormat="1" ht="15.75" customHeight="1" x14ac:dyDescent="0.2">
      <c r="A12" s="829" t="s">
        <v>355</v>
      </c>
      <c r="B12" s="829"/>
      <c r="C12" s="830" t="s">
        <v>353</v>
      </c>
      <c r="D12" s="654">
        <f>+D9</f>
        <v>1</v>
      </c>
      <c r="E12" s="654">
        <f>D12+E9</f>
        <v>2</v>
      </c>
      <c r="F12" s="832">
        <f>E12</f>
        <v>2</v>
      </c>
      <c r="G12" s="828">
        <f>E13</f>
        <v>251632342</v>
      </c>
    </row>
    <row r="13" spans="1:11" s="360" customFormat="1" ht="15" x14ac:dyDescent="0.2">
      <c r="A13" s="829"/>
      <c r="B13" s="829"/>
      <c r="C13" s="831"/>
      <c r="D13" s="376">
        <f>+D10</f>
        <v>125816171</v>
      </c>
      <c r="E13" s="376">
        <f>+D13+E10</f>
        <v>251632342</v>
      </c>
      <c r="F13" s="832"/>
      <c r="G13" s="828"/>
    </row>
    <row r="14" spans="1:11" s="360" customFormat="1" ht="15" x14ac:dyDescent="0.2">
      <c r="A14" s="377"/>
      <c r="B14" s="377"/>
      <c r="C14" s="377"/>
      <c r="D14" s="377"/>
      <c r="E14" s="377"/>
      <c r="F14" s="377"/>
      <c r="G14" s="377"/>
    </row>
  </sheetData>
  <mergeCells count="23">
    <mergeCell ref="A1:B2"/>
    <mergeCell ref="C1:G1"/>
    <mergeCell ref="C2:G2"/>
    <mergeCell ref="A3:A4"/>
    <mergeCell ref="B3:C4"/>
    <mergeCell ref="D3:D4"/>
    <mergeCell ref="E3:E4"/>
    <mergeCell ref="F3:F4"/>
    <mergeCell ref="G3:G4"/>
    <mergeCell ref="H3:H4"/>
    <mergeCell ref="A5:B5"/>
    <mergeCell ref="A6:A7"/>
    <mergeCell ref="B6:B7"/>
    <mergeCell ref="C6:C7"/>
    <mergeCell ref="A8:B8"/>
    <mergeCell ref="G9:G10"/>
    <mergeCell ref="A12:B13"/>
    <mergeCell ref="C12:C13"/>
    <mergeCell ref="F12:F13"/>
    <mergeCell ref="G12:G13"/>
    <mergeCell ref="A9:B10"/>
    <mergeCell ref="C9:C10"/>
    <mergeCell ref="F9:F10"/>
  </mergeCells>
  <conditionalFormatting sqref="D6:E7">
    <cfRule type="cellIs" dxfId="33" priority="2" operator="equal">
      <formula>0</formula>
    </cfRule>
  </conditionalFormatting>
  <conditionalFormatting sqref="D9:E9">
    <cfRule type="cellIs" dxfId="32" priority="1" operator="equal">
      <formula>0</formula>
    </cfRule>
  </conditionalFormatting>
  <pageMargins left="0.70866141732283472" right="0.70866141732283472" top="0.74803149606299213" bottom="0.74803149606299213" header="0.31496062992125984" footer="0.31496062992125984"/>
  <pageSetup scale="7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view="pageBreakPreview" zoomScaleNormal="100" zoomScaleSheetLayoutView="100" workbookViewId="0">
      <selection activeCell="D39" sqref="D39"/>
    </sheetView>
  </sheetViews>
  <sheetFormatPr baseColWidth="10" defaultColWidth="11.42578125" defaultRowHeight="14.25" x14ac:dyDescent="0.2"/>
  <cols>
    <col min="1" max="1" width="31" style="266" customWidth="1" collapsed="1"/>
    <col min="2" max="2" width="24.5703125" style="266" customWidth="1" collapsed="1"/>
    <col min="3" max="3" width="2.42578125" style="266" bestFit="1" customWidth="1" collapsed="1"/>
    <col min="4" max="6" width="16.85546875" style="266" bestFit="1" customWidth="1" collapsed="1"/>
    <col min="7" max="7" width="16.5703125" style="266" customWidth="1" collapsed="1"/>
    <col min="8" max="8" width="15.85546875" style="266" bestFit="1" customWidth="1" collapsed="1"/>
    <col min="9" max="9" width="11.42578125" style="266" collapsed="1"/>
    <col min="10" max="10" width="12.28515625" style="266" bestFit="1" customWidth="1" collapsed="1"/>
    <col min="11" max="16384" width="11.42578125" style="266" collapsed="1"/>
  </cols>
  <sheetData>
    <row r="1" spans="1:10" ht="15" x14ac:dyDescent="0.2">
      <c r="A1" s="880"/>
      <c r="B1" s="880"/>
      <c r="C1" s="880" t="s">
        <v>397</v>
      </c>
      <c r="D1" s="880"/>
      <c r="E1" s="880"/>
      <c r="F1" s="880"/>
      <c r="G1" s="880"/>
      <c r="H1" s="880"/>
      <c r="I1" s="267"/>
      <c r="J1" s="267"/>
    </row>
    <row r="2" spans="1:10" ht="39.75" customHeight="1" x14ac:dyDescent="0.2">
      <c r="A2" s="880"/>
      <c r="B2" s="880"/>
      <c r="C2" s="881" t="str">
        <f>PRESUPUESTO!B5</f>
        <v>MANTENIMIENTO PREVENTIVO Y CORRECTIVO DE LOS TANQUES DE AGUA PARA LA INFRAESTRUCTURA INSTITUCIONAL SEGÚN REQUERIMIENTO DEL MUNICIPIO DE ENVIGADO</v>
      </c>
      <c r="D2" s="881"/>
      <c r="E2" s="881"/>
      <c r="F2" s="881"/>
      <c r="G2" s="881"/>
      <c r="H2" s="881"/>
      <c r="I2" s="267"/>
      <c r="J2" s="267"/>
    </row>
    <row r="3" spans="1:10" ht="15" x14ac:dyDescent="0.2">
      <c r="A3" s="882" t="s">
        <v>398</v>
      </c>
      <c r="B3" s="883"/>
      <c r="C3" s="884"/>
      <c r="D3" s="890" t="s">
        <v>399</v>
      </c>
      <c r="E3" s="890" t="s">
        <v>400</v>
      </c>
      <c r="F3" s="890" t="s">
        <v>401</v>
      </c>
      <c r="G3" s="888" t="s">
        <v>767</v>
      </c>
      <c r="H3" s="889" t="s">
        <v>624</v>
      </c>
      <c r="I3" s="389"/>
      <c r="J3" s="389"/>
    </row>
    <row r="4" spans="1:10" ht="15" x14ac:dyDescent="0.2">
      <c r="A4" s="885"/>
      <c r="B4" s="886"/>
      <c r="C4" s="887"/>
      <c r="D4" s="891"/>
      <c r="E4" s="891" t="s">
        <v>400</v>
      </c>
      <c r="F4" s="891" t="s">
        <v>401</v>
      </c>
      <c r="G4" s="889"/>
      <c r="H4" s="889"/>
      <c r="I4" s="389"/>
      <c r="J4" s="389"/>
    </row>
    <row r="5" spans="1:10" ht="6" customHeight="1" x14ac:dyDescent="0.2">
      <c r="A5" s="390" t="s">
        <v>3</v>
      </c>
      <c r="B5" s="391"/>
      <c r="C5" s="391"/>
      <c r="D5" s="391"/>
      <c r="E5" s="391"/>
      <c r="F5" s="391"/>
      <c r="G5" s="391"/>
      <c r="H5" s="392"/>
      <c r="I5" s="393"/>
      <c r="J5" s="393"/>
    </row>
    <row r="6" spans="1:10" ht="15" x14ac:dyDescent="0.25">
      <c r="A6" s="878" t="s">
        <v>354</v>
      </c>
      <c r="B6" s="878"/>
      <c r="C6" s="865" t="s">
        <v>353</v>
      </c>
      <c r="D6" s="394">
        <f>CRONOGRAMA!D6</f>
        <v>1</v>
      </c>
      <c r="E6" s="394">
        <f>CRONOGRAMA!E6</f>
        <v>1</v>
      </c>
      <c r="F6" s="394"/>
      <c r="G6" s="875">
        <f>SUM(D6:F6)</f>
        <v>2</v>
      </c>
      <c r="H6" s="876">
        <f>PRESUPUESTO!F14</f>
        <v>125816171</v>
      </c>
      <c r="I6" s="395"/>
      <c r="J6" s="396"/>
    </row>
    <row r="7" spans="1:10" ht="15" x14ac:dyDescent="0.25">
      <c r="A7" s="878"/>
      <c r="B7" s="878"/>
      <c r="C7" s="865"/>
      <c r="D7" s="425">
        <f>+$H$6*D6</f>
        <v>125816171</v>
      </c>
      <c r="E7" s="425">
        <f>+$H$6*E6</f>
        <v>125816171</v>
      </c>
      <c r="F7" s="425"/>
      <c r="G7" s="875"/>
      <c r="H7" s="876"/>
      <c r="I7" s="395"/>
      <c r="J7" s="396"/>
    </row>
    <row r="8" spans="1:10" ht="15" x14ac:dyDescent="0.25">
      <c r="A8" s="879" t="s">
        <v>355</v>
      </c>
      <c r="B8" s="879"/>
      <c r="C8" s="865" t="s">
        <v>353</v>
      </c>
      <c r="D8" s="394">
        <f>+D6</f>
        <v>1</v>
      </c>
      <c r="E8" s="394">
        <f>+E6+D8</f>
        <v>2</v>
      </c>
      <c r="F8" s="394"/>
      <c r="G8" s="875">
        <f>E8</f>
        <v>2</v>
      </c>
      <c r="H8" s="876">
        <f>E9</f>
        <v>251632342</v>
      </c>
      <c r="I8" s="395"/>
      <c r="J8" s="396"/>
    </row>
    <row r="9" spans="1:10" ht="15" x14ac:dyDescent="0.25">
      <c r="A9" s="879"/>
      <c r="B9" s="879"/>
      <c r="C9" s="865"/>
      <c r="D9" s="425">
        <f>+D7</f>
        <v>125816171</v>
      </c>
      <c r="E9" s="425">
        <f>+E7+D9</f>
        <v>251632342</v>
      </c>
      <c r="F9" s="425"/>
      <c r="G9" s="875"/>
      <c r="H9" s="876"/>
      <c r="I9" s="395"/>
      <c r="J9" s="396"/>
    </row>
    <row r="10" spans="1:10" ht="6" customHeight="1" x14ac:dyDescent="0.2">
      <c r="A10" s="390"/>
      <c r="B10" s="391"/>
      <c r="C10" s="391"/>
      <c r="D10" s="391"/>
      <c r="E10" s="391"/>
      <c r="F10" s="391"/>
      <c r="G10" s="391"/>
      <c r="H10" s="428"/>
      <c r="I10" s="393"/>
      <c r="J10" s="393"/>
    </row>
    <row r="11" spans="1:10" ht="15" x14ac:dyDescent="0.2">
      <c r="A11" s="397" t="s">
        <v>402</v>
      </c>
      <c r="B11" s="398">
        <v>0</v>
      </c>
      <c r="C11" s="399"/>
      <c r="D11" s="426">
        <f>+ROUND(D7*$B$11,0)</f>
        <v>0</v>
      </c>
      <c r="E11" s="426">
        <f t="shared" ref="E11" si="0">+ROUND(E7*$B$11,0)</f>
        <v>0</v>
      </c>
      <c r="F11" s="426"/>
      <c r="G11" s="400">
        <f>+H11/H6</f>
        <v>0</v>
      </c>
      <c r="H11" s="429">
        <f>+SUM(D11:F11)</f>
        <v>0</v>
      </c>
      <c r="I11" s="401"/>
      <c r="J11" s="401"/>
    </row>
    <row r="12" spans="1:10" ht="6" customHeight="1" x14ac:dyDescent="0.2">
      <c r="A12" s="390"/>
      <c r="B12" s="391"/>
      <c r="C12" s="391"/>
      <c r="D12" s="391"/>
      <c r="E12" s="391"/>
      <c r="F12" s="391"/>
      <c r="G12" s="391"/>
      <c r="H12" s="428"/>
      <c r="I12" s="393"/>
      <c r="J12" s="393"/>
    </row>
    <row r="13" spans="1:10" ht="15" x14ac:dyDescent="0.25">
      <c r="A13" s="874" t="s">
        <v>403</v>
      </c>
      <c r="B13" s="874"/>
      <c r="C13" s="865" t="s">
        <v>353</v>
      </c>
      <c r="D13" s="394">
        <f>+D14/$H$8</f>
        <v>0.5</v>
      </c>
      <c r="E13" s="394">
        <f>+E14/$H$8</f>
        <v>0.5</v>
      </c>
      <c r="F13" s="394"/>
      <c r="G13" s="875">
        <f>SUM(D13:F13)</f>
        <v>1</v>
      </c>
      <c r="H13" s="876">
        <f>SUM(D14:F14)</f>
        <v>251632342</v>
      </c>
      <c r="I13" s="395"/>
      <c r="J13" s="396"/>
    </row>
    <row r="14" spans="1:10" ht="15" x14ac:dyDescent="0.25">
      <c r="A14" s="874"/>
      <c r="B14" s="874"/>
      <c r="C14" s="865"/>
      <c r="D14" s="425">
        <f>+D7-D11</f>
        <v>125816171</v>
      </c>
      <c r="E14" s="425">
        <f>+E7-E11</f>
        <v>125816171</v>
      </c>
      <c r="F14" s="425"/>
      <c r="G14" s="875"/>
      <c r="H14" s="876"/>
      <c r="I14" s="395"/>
      <c r="J14" s="396"/>
    </row>
    <row r="15" spans="1:10" ht="15" x14ac:dyDescent="0.25">
      <c r="A15" s="877" t="s">
        <v>404</v>
      </c>
      <c r="B15" s="877"/>
      <c r="C15" s="865" t="s">
        <v>353</v>
      </c>
      <c r="D15" s="394">
        <f>+D13</f>
        <v>0.5</v>
      </c>
      <c r="E15" s="394">
        <f>+E13+D15</f>
        <v>1</v>
      </c>
      <c r="F15" s="394"/>
      <c r="G15" s="875">
        <f>E15</f>
        <v>1</v>
      </c>
      <c r="H15" s="876">
        <f>E16</f>
        <v>251632342</v>
      </c>
      <c r="I15" s="395"/>
      <c r="J15" s="396"/>
    </row>
    <row r="16" spans="1:10" ht="15" x14ac:dyDescent="0.25">
      <c r="A16" s="877"/>
      <c r="B16" s="877"/>
      <c r="C16" s="865"/>
      <c r="D16" s="425">
        <f>+D14</f>
        <v>125816171</v>
      </c>
      <c r="E16" s="425">
        <f>+E14+D16</f>
        <v>251632342</v>
      </c>
      <c r="F16" s="425"/>
      <c r="G16" s="875"/>
      <c r="H16" s="876"/>
      <c r="I16" s="395"/>
      <c r="J16" s="396"/>
    </row>
    <row r="17" spans="1:10" ht="6" customHeight="1" x14ac:dyDescent="0.2">
      <c r="A17" s="390"/>
      <c r="B17" s="391"/>
      <c r="C17" s="391"/>
      <c r="D17" s="391"/>
      <c r="E17" s="391"/>
      <c r="F17" s="391"/>
      <c r="G17" s="391"/>
      <c r="H17" s="428"/>
      <c r="I17" s="393"/>
      <c r="J17" s="393"/>
    </row>
    <row r="18" spans="1:10" ht="15" x14ac:dyDescent="0.2">
      <c r="A18" s="863" t="s">
        <v>405</v>
      </c>
      <c r="B18" s="864"/>
      <c r="C18" s="865" t="s">
        <v>353</v>
      </c>
      <c r="D18" s="427">
        <f>+H11</f>
        <v>0</v>
      </c>
      <c r="E18" s="427">
        <f t="shared" ref="E18:F18" si="1">+D14</f>
        <v>125816171</v>
      </c>
      <c r="F18" s="427">
        <f t="shared" si="1"/>
        <v>125816171</v>
      </c>
      <c r="G18" s="403"/>
      <c r="H18" s="427">
        <f>SUM(D18:F18)</f>
        <v>251632342</v>
      </c>
      <c r="I18" s="404"/>
      <c r="J18" s="404"/>
    </row>
    <row r="19" spans="1:10" ht="15" x14ac:dyDescent="0.2">
      <c r="A19" s="866" t="s">
        <v>406</v>
      </c>
      <c r="B19" s="867"/>
      <c r="C19" s="865"/>
      <c r="D19" s="427">
        <f>+D18</f>
        <v>0</v>
      </c>
      <c r="E19" s="427">
        <f>+E18+D19</f>
        <v>125816171</v>
      </c>
      <c r="F19" s="427">
        <f t="shared" ref="F19" si="2">+F18+E19</f>
        <v>251632342</v>
      </c>
      <c r="G19" s="403"/>
      <c r="H19" s="427">
        <f>F19</f>
        <v>251632342</v>
      </c>
      <c r="I19" s="404"/>
      <c r="J19" s="404"/>
    </row>
    <row r="20" spans="1:10" ht="6" customHeight="1" x14ac:dyDescent="0.2">
      <c r="A20" s="390"/>
      <c r="B20" s="391"/>
      <c r="C20" s="405"/>
      <c r="D20" s="391"/>
      <c r="E20" s="391"/>
      <c r="F20" s="391"/>
      <c r="G20" s="391"/>
      <c r="H20" s="406"/>
      <c r="I20" s="393"/>
      <c r="J20" s="393"/>
    </row>
    <row r="21" spans="1:10" ht="15" x14ac:dyDescent="0.2">
      <c r="A21" s="868" t="s">
        <v>407</v>
      </c>
      <c r="B21" s="869"/>
      <c r="C21" s="870" t="s">
        <v>353</v>
      </c>
      <c r="D21" s="427">
        <f>+D18-D14</f>
        <v>-125816171</v>
      </c>
      <c r="E21" s="427">
        <f>+E18-E14</f>
        <v>0</v>
      </c>
      <c r="F21" s="427">
        <f t="shared" ref="F21" si="3">+F18-F14</f>
        <v>125816171</v>
      </c>
      <c r="G21" s="403"/>
      <c r="H21" s="407"/>
      <c r="I21" s="404"/>
      <c r="J21" s="404"/>
    </row>
    <row r="22" spans="1:10" ht="15" x14ac:dyDescent="0.2">
      <c r="A22" s="872" t="s">
        <v>408</v>
      </c>
      <c r="B22" s="873"/>
      <c r="C22" s="871"/>
      <c r="D22" s="427">
        <f>+D21</f>
        <v>-125816171</v>
      </c>
      <c r="E22" s="427">
        <f>+E21+D22</f>
        <v>-125816171</v>
      </c>
      <c r="F22" s="427">
        <f t="shared" ref="F22" si="4">+F21+E22</f>
        <v>0</v>
      </c>
      <c r="G22" s="403"/>
      <c r="H22" s="407"/>
      <c r="I22" s="404"/>
      <c r="J22" s="408"/>
    </row>
    <row r="23" spans="1:10" ht="6" customHeight="1" x14ac:dyDescent="0.2">
      <c r="A23" s="390"/>
      <c r="B23" s="391"/>
      <c r="C23" s="391"/>
      <c r="D23" s="391"/>
      <c r="E23" s="391"/>
      <c r="F23" s="391"/>
      <c r="G23" s="391"/>
      <c r="H23" s="406"/>
      <c r="I23" s="393"/>
      <c r="J23" s="393"/>
    </row>
    <row r="24" spans="1:10" ht="15" x14ac:dyDescent="0.2">
      <c r="A24" s="409" t="s">
        <v>409</v>
      </c>
      <c r="B24" s="410"/>
      <c r="C24" s="411"/>
      <c r="D24" s="411"/>
      <c r="E24" s="412"/>
      <c r="F24" s="412"/>
      <c r="G24" s="411"/>
      <c r="H24" s="411"/>
      <c r="I24" s="401"/>
      <c r="J24" s="401"/>
    </row>
    <row r="25" spans="1:10" ht="6" customHeight="1" x14ac:dyDescent="0.2">
      <c r="A25" s="390"/>
      <c r="B25" s="391"/>
      <c r="C25" s="391"/>
      <c r="D25" s="391"/>
      <c r="E25" s="391"/>
      <c r="F25" s="391"/>
      <c r="G25" s="413"/>
      <c r="H25" s="414"/>
      <c r="I25" s="393"/>
      <c r="J25" s="393"/>
    </row>
    <row r="26" spans="1:10" ht="15" x14ac:dyDescent="0.2">
      <c r="A26" s="415" t="s">
        <v>410</v>
      </c>
      <c r="B26" s="848" t="s">
        <v>411</v>
      </c>
      <c r="C26" s="849"/>
      <c r="D26" s="416" t="str">
        <f>+D3</f>
        <v>MES 1</v>
      </c>
      <c r="E26" s="416" t="str">
        <f t="shared" ref="E26:F26" si="5">+E4</f>
        <v>MES 2</v>
      </c>
      <c r="F26" s="416" t="str">
        <f t="shared" si="5"/>
        <v>MES 3</v>
      </c>
      <c r="G26" s="850" t="s">
        <v>412</v>
      </c>
      <c r="H26" s="851"/>
      <c r="I26" s="401"/>
      <c r="J26" s="401"/>
    </row>
    <row r="27" spans="1:10" ht="15" x14ac:dyDescent="0.2">
      <c r="A27" s="417"/>
      <c r="B27" s="856"/>
      <c r="C27" s="857"/>
      <c r="D27" s="418">
        <f>D18</f>
        <v>0</v>
      </c>
      <c r="E27" s="418">
        <f>E18</f>
        <v>125816171</v>
      </c>
      <c r="F27" s="418">
        <f t="shared" ref="F27" si="6">F18</f>
        <v>125816171</v>
      </c>
      <c r="G27" s="852"/>
      <c r="H27" s="853"/>
      <c r="I27" s="401"/>
      <c r="J27" s="401"/>
    </row>
    <row r="28" spans="1:10" x14ac:dyDescent="0.2">
      <c r="A28" s="417"/>
      <c r="B28" s="858"/>
      <c r="C28" s="859"/>
      <c r="D28" s="418"/>
      <c r="E28" s="418"/>
      <c r="F28" s="418"/>
      <c r="G28" s="852"/>
      <c r="H28" s="853"/>
      <c r="I28" s="401"/>
      <c r="J28" s="419"/>
    </row>
    <row r="29" spans="1:10" ht="15" x14ac:dyDescent="0.2">
      <c r="A29" s="420"/>
      <c r="B29" s="858"/>
      <c r="C29" s="859"/>
      <c r="D29" s="418"/>
      <c r="E29" s="418"/>
      <c r="F29" s="418"/>
      <c r="G29" s="852"/>
      <c r="H29" s="853"/>
      <c r="I29" s="401"/>
      <c r="J29" s="401"/>
    </row>
    <row r="30" spans="1:10" ht="15" x14ac:dyDescent="0.2">
      <c r="A30" s="860" t="s">
        <v>413</v>
      </c>
      <c r="B30" s="861"/>
      <c r="C30" s="862"/>
      <c r="D30" s="402">
        <f>+SUM(D27:D29)</f>
        <v>0</v>
      </c>
      <c r="E30" s="402">
        <f t="shared" ref="E30:F30" si="7">+SUM(E27:E29)</f>
        <v>125816171</v>
      </c>
      <c r="F30" s="402">
        <f t="shared" si="7"/>
        <v>125816171</v>
      </c>
      <c r="G30" s="852"/>
      <c r="H30" s="853"/>
      <c r="I30" s="401"/>
      <c r="J30" s="401"/>
    </row>
    <row r="31" spans="1:10" ht="15" x14ac:dyDescent="0.2">
      <c r="A31" s="860" t="s">
        <v>414</v>
      </c>
      <c r="B31" s="861"/>
      <c r="C31" s="862"/>
      <c r="D31" s="421" t="str">
        <f>+IF(D30&gt;=D18,"CUMPLE","NO CUMPLE")</f>
        <v>CUMPLE</v>
      </c>
      <c r="E31" s="421" t="str">
        <f t="shared" ref="E31:F31" si="8">+IF(E30&gt;=E18,"CUMPLE","NO CUMPLE")</f>
        <v>CUMPLE</v>
      </c>
      <c r="F31" s="421" t="str">
        <f t="shared" si="8"/>
        <v>CUMPLE</v>
      </c>
      <c r="G31" s="854"/>
      <c r="H31" s="855"/>
      <c r="I31" s="401"/>
      <c r="J31" s="401"/>
    </row>
    <row r="32" spans="1:10" ht="6" customHeight="1" x14ac:dyDescent="0.2">
      <c r="A32" s="390"/>
      <c r="B32" s="391"/>
      <c r="C32" s="391"/>
      <c r="D32" s="391"/>
      <c r="E32" s="391"/>
      <c r="F32" s="391"/>
      <c r="G32" s="422"/>
      <c r="H32" s="423"/>
      <c r="I32" s="393"/>
      <c r="J32" s="393"/>
    </row>
    <row r="33" spans="1:10" x14ac:dyDescent="0.2">
      <c r="A33" s="267"/>
      <c r="B33" s="267"/>
      <c r="C33" s="267"/>
      <c r="D33" s="267"/>
      <c r="E33" s="424"/>
      <c r="F33" s="424"/>
      <c r="G33" s="267"/>
      <c r="H33" s="267"/>
      <c r="I33" s="267"/>
      <c r="J33" s="267"/>
    </row>
  </sheetData>
  <mergeCells count="38">
    <mergeCell ref="A1:B2"/>
    <mergeCell ref="C1:H1"/>
    <mergeCell ref="C2:H2"/>
    <mergeCell ref="A3:C4"/>
    <mergeCell ref="G3:G4"/>
    <mergeCell ref="H3:H4"/>
    <mergeCell ref="D3:D4"/>
    <mergeCell ref="E3:E4"/>
    <mergeCell ref="F3:F4"/>
    <mergeCell ref="A6:B7"/>
    <mergeCell ref="C6:C7"/>
    <mergeCell ref="G6:G7"/>
    <mergeCell ref="H6:H7"/>
    <mergeCell ref="A8:B9"/>
    <mergeCell ref="C8:C9"/>
    <mergeCell ref="G8:G9"/>
    <mergeCell ref="H8:H9"/>
    <mergeCell ref="A13:B14"/>
    <mergeCell ref="C13:C14"/>
    <mergeCell ref="G13:G14"/>
    <mergeCell ref="H13:H14"/>
    <mergeCell ref="A15:B16"/>
    <mergeCell ref="C15:C16"/>
    <mergeCell ref="G15:G16"/>
    <mergeCell ref="H15:H16"/>
    <mergeCell ref="A18:B18"/>
    <mergeCell ref="C18:C19"/>
    <mergeCell ref="A19:B19"/>
    <mergeCell ref="A21:B21"/>
    <mergeCell ref="C21:C22"/>
    <mergeCell ref="A22:B22"/>
    <mergeCell ref="B26:C26"/>
    <mergeCell ref="G26:H31"/>
    <mergeCell ref="B27:C27"/>
    <mergeCell ref="B28:C28"/>
    <mergeCell ref="B29:C29"/>
    <mergeCell ref="A30:C30"/>
    <mergeCell ref="A31:C31"/>
  </mergeCells>
  <conditionalFormatting sqref="B11">
    <cfRule type="expression" dxfId="31" priority="2">
      <formula>ISBLANK(#REF!)</formula>
    </cfRule>
  </conditionalFormatting>
  <conditionalFormatting sqref="D31:F31">
    <cfRule type="expression" dxfId="30" priority="1">
      <formula>IF(D31="NO CUMPLE","VERDADERO","FALSO")</formula>
    </cfRule>
  </conditionalFormatting>
  <dataValidations disablePrompts="1" count="1">
    <dataValidation type="list" allowBlank="1" showInputMessage="1" showErrorMessage="1" sqref="B27:C29">
      <formula1>$A$137:$A$143</formula1>
    </dataValidation>
  </dataValidations>
  <pageMargins left="0.7" right="0.7" top="0.75" bottom="0.75" header="0.3" footer="0.3"/>
  <pageSetup scale="2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Q643"/>
  <sheetViews>
    <sheetView workbookViewId="0">
      <selection activeCell="I32" sqref="I32"/>
    </sheetView>
  </sheetViews>
  <sheetFormatPr baseColWidth="10" defaultRowHeight="12.75" x14ac:dyDescent="0.2"/>
  <cols>
    <col min="1" max="1" width="22.140625" style="15" customWidth="1" collapsed="1"/>
    <col min="2" max="2" width="14.140625" style="15" customWidth="1" collapsed="1"/>
    <col min="3" max="3" width="16.42578125" style="15" customWidth="1" collapsed="1"/>
    <col min="4" max="4" width="14.7109375" style="15" bestFit="1" customWidth="1" collapsed="1"/>
    <col min="5" max="5" width="14.7109375" style="15" customWidth="1" collapsed="1"/>
    <col min="6" max="11" width="15.42578125" style="15" customWidth="1" collapsed="1"/>
    <col min="12" max="12" width="13.7109375" style="15" customWidth="1" collapsed="1"/>
    <col min="13" max="13" width="15.140625" style="15" customWidth="1" collapsed="1"/>
    <col min="14" max="14" width="14" style="15" customWidth="1" collapsed="1"/>
    <col min="15" max="15" width="13.7109375" style="15" customWidth="1" collapsed="1"/>
    <col min="16" max="16" width="14.42578125" style="15" customWidth="1" collapsed="1"/>
    <col min="17" max="17" width="12.140625" style="15" customWidth="1" collapsed="1"/>
    <col min="18" max="256" width="10.85546875" style="15" collapsed="1"/>
    <col min="257" max="257" width="22.140625" style="15" customWidth="1" collapsed="1"/>
    <col min="258" max="258" width="14.140625" style="15" customWidth="1" collapsed="1"/>
    <col min="259" max="259" width="16.42578125" style="15" customWidth="1" collapsed="1"/>
    <col min="260" max="260" width="14.7109375" style="15" bestFit="1" customWidth="1" collapsed="1"/>
    <col min="261" max="261" width="14.7109375" style="15" customWidth="1" collapsed="1"/>
    <col min="262" max="267" width="15.42578125" style="15" customWidth="1" collapsed="1"/>
    <col min="268" max="268" width="13.7109375" style="15" customWidth="1" collapsed="1"/>
    <col min="269" max="269" width="15.140625" style="15" customWidth="1" collapsed="1"/>
    <col min="270" max="270" width="14" style="15" customWidth="1" collapsed="1"/>
    <col min="271" max="271" width="13.7109375" style="15" customWidth="1" collapsed="1"/>
    <col min="272" max="272" width="14.42578125" style="15" customWidth="1" collapsed="1"/>
    <col min="273" max="273" width="12.140625" style="15" customWidth="1" collapsed="1"/>
    <col min="274" max="512" width="10.85546875" style="15" collapsed="1"/>
    <col min="513" max="513" width="22.140625" style="15" customWidth="1" collapsed="1"/>
    <col min="514" max="514" width="14.140625" style="15" customWidth="1" collapsed="1"/>
    <col min="515" max="515" width="16.42578125" style="15" customWidth="1" collapsed="1"/>
    <col min="516" max="516" width="14.7109375" style="15" bestFit="1" customWidth="1" collapsed="1"/>
    <col min="517" max="517" width="14.7109375" style="15" customWidth="1" collapsed="1"/>
    <col min="518" max="523" width="15.42578125" style="15" customWidth="1" collapsed="1"/>
    <col min="524" max="524" width="13.7109375" style="15" customWidth="1" collapsed="1"/>
    <col min="525" max="525" width="15.140625" style="15" customWidth="1" collapsed="1"/>
    <col min="526" max="526" width="14" style="15" customWidth="1" collapsed="1"/>
    <col min="527" max="527" width="13.7109375" style="15" customWidth="1" collapsed="1"/>
    <col min="528" max="528" width="14.42578125" style="15" customWidth="1" collapsed="1"/>
    <col min="529" max="529" width="12.140625" style="15" customWidth="1" collapsed="1"/>
    <col min="530" max="768" width="10.85546875" style="15" collapsed="1"/>
    <col min="769" max="769" width="22.140625" style="15" customWidth="1" collapsed="1"/>
    <col min="770" max="770" width="14.140625" style="15" customWidth="1" collapsed="1"/>
    <col min="771" max="771" width="16.42578125" style="15" customWidth="1" collapsed="1"/>
    <col min="772" max="772" width="14.7109375" style="15" bestFit="1" customWidth="1" collapsed="1"/>
    <col min="773" max="773" width="14.7109375" style="15" customWidth="1" collapsed="1"/>
    <col min="774" max="779" width="15.42578125" style="15" customWidth="1" collapsed="1"/>
    <col min="780" max="780" width="13.7109375" style="15" customWidth="1" collapsed="1"/>
    <col min="781" max="781" width="15.140625" style="15" customWidth="1" collapsed="1"/>
    <col min="782" max="782" width="14" style="15" customWidth="1" collapsed="1"/>
    <col min="783" max="783" width="13.7109375" style="15" customWidth="1" collapsed="1"/>
    <col min="784" max="784" width="14.42578125" style="15" customWidth="1" collapsed="1"/>
    <col min="785" max="785" width="12.140625" style="15" customWidth="1" collapsed="1"/>
    <col min="786" max="1024" width="10.85546875" style="15" collapsed="1"/>
    <col min="1025" max="1025" width="22.140625" style="15" customWidth="1" collapsed="1"/>
    <col min="1026" max="1026" width="14.140625" style="15" customWidth="1" collapsed="1"/>
    <col min="1027" max="1027" width="16.42578125" style="15" customWidth="1" collapsed="1"/>
    <col min="1028" max="1028" width="14.7109375" style="15" bestFit="1" customWidth="1" collapsed="1"/>
    <col min="1029" max="1029" width="14.7109375" style="15" customWidth="1" collapsed="1"/>
    <col min="1030" max="1035" width="15.42578125" style="15" customWidth="1" collapsed="1"/>
    <col min="1036" max="1036" width="13.7109375" style="15" customWidth="1" collapsed="1"/>
    <col min="1037" max="1037" width="15.140625" style="15" customWidth="1" collapsed="1"/>
    <col min="1038" max="1038" width="14" style="15" customWidth="1" collapsed="1"/>
    <col min="1039" max="1039" width="13.7109375" style="15" customWidth="1" collapsed="1"/>
    <col min="1040" max="1040" width="14.42578125" style="15" customWidth="1" collapsed="1"/>
    <col min="1041" max="1041" width="12.140625" style="15" customWidth="1" collapsed="1"/>
    <col min="1042" max="1280" width="10.85546875" style="15" collapsed="1"/>
    <col min="1281" max="1281" width="22.140625" style="15" customWidth="1" collapsed="1"/>
    <col min="1282" max="1282" width="14.140625" style="15" customWidth="1" collapsed="1"/>
    <col min="1283" max="1283" width="16.42578125" style="15" customWidth="1" collapsed="1"/>
    <col min="1284" max="1284" width="14.7109375" style="15" bestFit="1" customWidth="1" collapsed="1"/>
    <col min="1285" max="1285" width="14.7109375" style="15" customWidth="1" collapsed="1"/>
    <col min="1286" max="1291" width="15.42578125" style="15" customWidth="1" collapsed="1"/>
    <col min="1292" max="1292" width="13.7109375" style="15" customWidth="1" collapsed="1"/>
    <col min="1293" max="1293" width="15.140625" style="15" customWidth="1" collapsed="1"/>
    <col min="1294" max="1294" width="14" style="15" customWidth="1" collapsed="1"/>
    <col min="1295" max="1295" width="13.7109375" style="15" customWidth="1" collapsed="1"/>
    <col min="1296" max="1296" width="14.42578125" style="15" customWidth="1" collapsed="1"/>
    <col min="1297" max="1297" width="12.140625" style="15" customWidth="1" collapsed="1"/>
    <col min="1298" max="1536" width="10.85546875" style="15" collapsed="1"/>
    <col min="1537" max="1537" width="22.140625" style="15" customWidth="1" collapsed="1"/>
    <col min="1538" max="1538" width="14.140625" style="15" customWidth="1" collapsed="1"/>
    <col min="1539" max="1539" width="16.42578125" style="15" customWidth="1" collapsed="1"/>
    <col min="1540" max="1540" width="14.7109375" style="15" bestFit="1" customWidth="1" collapsed="1"/>
    <col min="1541" max="1541" width="14.7109375" style="15" customWidth="1" collapsed="1"/>
    <col min="1542" max="1547" width="15.42578125" style="15" customWidth="1" collapsed="1"/>
    <col min="1548" max="1548" width="13.7109375" style="15" customWidth="1" collapsed="1"/>
    <col min="1549" max="1549" width="15.140625" style="15" customWidth="1" collapsed="1"/>
    <col min="1550" max="1550" width="14" style="15" customWidth="1" collapsed="1"/>
    <col min="1551" max="1551" width="13.7109375" style="15" customWidth="1" collapsed="1"/>
    <col min="1552" max="1552" width="14.42578125" style="15" customWidth="1" collapsed="1"/>
    <col min="1553" max="1553" width="12.140625" style="15" customWidth="1" collapsed="1"/>
    <col min="1554" max="1792" width="10.85546875" style="15" collapsed="1"/>
    <col min="1793" max="1793" width="22.140625" style="15" customWidth="1" collapsed="1"/>
    <col min="1794" max="1794" width="14.140625" style="15" customWidth="1" collapsed="1"/>
    <col min="1795" max="1795" width="16.42578125" style="15" customWidth="1" collapsed="1"/>
    <col min="1796" max="1796" width="14.7109375" style="15" bestFit="1" customWidth="1" collapsed="1"/>
    <col min="1797" max="1797" width="14.7109375" style="15" customWidth="1" collapsed="1"/>
    <col min="1798" max="1803" width="15.42578125" style="15" customWidth="1" collapsed="1"/>
    <col min="1804" max="1804" width="13.7109375" style="15" customWidth="1" collapsed="1"/>
    <col min="1805" max="1805" width="15.140625" style="15" customWidth="1" collapsed="1"/>
    <col min="1806" max="1806" width="14" style="15" customWidth="1" collapsed="1"/>
    <col min="1807" max="1807" width="13.7109375" style="15" customWidth="1" collapsed="1"/>
    <col min="1808" max="1808" width="14.42578125" style="15" customWidth="1" collapsed="1"/>
    <col min="1809" max="1809" width="12.140625" style="15" customWidth="1" collapsed="1"/>
    <col min="1810" max="2048" width="10.85546875" style="15" collapsed="1"/>
    <col min="2049" max="2049" width="22.140625" style="15" customWidth="1" collapsed="1"/>
    <col min="2050" max="2050" width="14.140625" style="15" customWidth="1" collapsed="1"/>
    <col min="2051" max="2051" width="16.42578125" style="15" customWidth="1" collapsed="1"/>
    <col min="2052" max="2052" width="14.7109375" style="15" bestFit="1" customWidth="1" collapsed="1"/>
    <col min="2053" max="2053" width="14.7109375" style="15" customWidth="1" collapsed="1"/>
    <col min="2054" max="2059" width="15.42578125" style="15" customWidth="1" collapsed="1"/>
    <col min="2060" max="2060" width="13.7109375" style="15" customWidth="1" collapsed="1"/>
    <col min="2061" max="2061" width="15.140625" style="15" customWidth="1" collapsed="1"/>
    <col min="2062" max="2062" width="14" style="15" customWidth="1" collapsed="1"/>
    <col min="2063" max="2063" width="13.7109375" style="15" customWidth="1" collapsed="1"/>
    <col min="2064" max="2064" width="14.42578125" style="15" customWidth="1" collapsed="1"/>
    <col min="2065" max="2065" width="12.140625" style="15" customWidth="1" collapsed="1"/>
    <col min="2066" max="2304" width="10.85546875" style="15" collapsed="1"/>
    <col min="2305" max="2305" width="22.140625" style="15" customWidth="1" collapsed="1"/>
    <col min="2306" max="2306" width="14.140625" style="15" customWidth="1" collapsed="1"/>
    <col min="2307" max="2307" width="16.42578125" style="15" customWidth="1" collapsed="1"/>
    <col min="2308" max="2308" width="14.7109375" style="15" bestFit="1" customWidth="1" collapsed="1"/>
    <col min="2309" max="2309" width="14.7109375" style="15" customWidth="1" collapsed="1"/>
    <col min="2310" max="2315" width="15.42578125" style="15" customWidth="1" collapsed="1"/>
    <col min="2316" max="2316" width="13.7109375" style="15" customWidth="1" collapsed="1"/>
    <col min="2317" max="2317" width="15.140625" style="15" customWidth="1" collapsed="1"/>
    <col min="2318" max="2318" width="14" style="15" customWidth="1" collapsed="1"/>
    <col min="2319" max="2319" width="13.7109375" style="15" customWidth="1" collapsed="1"/>
    <col min="2320" max="2320" width="14.42578125" style="15" customWidth="1" collapsed="1"/>
    <col min="2321" max="2321" width="12.140625" style="15" customWidth="1" collapsed="1"/>
    <col min="2322" max="2560" width="10.85546875" style="15" collapsed="1"/>
    <col min="2561" max="2561" width="22.140625" style="15" customWidth="1" collapsed="1"/>
    <col min="2562" max="2562" width="14.140625" style="15" customWidth="1" collapsed="1"/>
    <col min="2563" max="2563" width="16.42578125" style="15" customWidth="1" collapsed="1"/>
    <col min="2564" max="2564" width="14.7109375" style="15" bestFit="1" customWidth="1" collapsed="1"/>
    <col min="2565" max="2565" width="14.7109375" style="15" customWidth="1" collapsed="1"/>
    <col min="2566" max="2571" width="15.42578125" style="15" customWidth="1" collapsed="1"/>
    <col min="2572" max="2572" width="13.7109375" style="15" customWidth="1" collapsed="1"/>
    <col min="2573" max="2573" width="15.140625" style="15" customWidth="1" collapsed="1"/>
    <col min="2574" max="2574" width="14" style="15" customWidth="1" collapsed="1"/>
    <col min="2575" max="2575" width="13.7109375" style="15" customWidth="1" collapsed="1"/>
    <col min="2576" max="2576" width="14.42578125" style="15" customWidth="1" collapsed="1"/>
    <col min="2577" max="2577" width="12.140625" style="15" customWidth="1" collapsed="1"/>
    <col min="2578" max="2816" width="10.85546875" style="15" collapsed="1"/>
    <col min="2817" max="2817" width="22.140625" style="15" customWidth="1" collapsed="1"/>
    <col min="2818" max="2818" width="14.140625" style="15" customWidth="1" collapsed="1"/>
    <col min="2819" max="2819" width="16.42578125" style="15" customWidth="1" collapsed="1"/>
    <col min="2820" max="2820" width="14.7109375" style="15" bestFit="1" customWidth="1" collapsed="1"/>
    <col min="2821" max="2821" width="14.7109375" style="15" customWidth="1" collapsed="1"/>
    <col min="2822" max="2827" width="15.42578125" style="15" customWidth="1" collapsed="1"/>
    <col min="2828" max="2828" width="13.7109375" style="15" customWidth="1" collapsed="1"/>
    <col min="2829" max="2829" width="15.140625" style="15" customWidth="1" collapsed="1"/>
    <col min="2830" max="2830" width="14" style="15" customWidth="1" collapsed="1"/>
    <col min="2831" max="2831" width="13.7109375" style="15" customWidth="1" collapsed="1"/>
    <col min="2832" max="2832" width="14.42578125" style="15" customWidth="1" collapsed="1"/>
    <col min="2833" max="2833" width="12.140625" style="15" customWidth="1" collapsed="1"/>
    <col min="2834" max="3072" width="10.85546875" style="15" collapsed="1"/>
    <col min="3073" max="3073" width="22.140625" style="15" customWidth="1" collapsed="1"/>
    <col min="3074" max="3074" width="14.140625" style="15" customWidth="1" collapsed="1"/>
    <col min="3075" max="3075" width="16.42578125" style="15" customWidth="1" collapsed="1"/>
    <col min="3076" max="3076" width="14.7109375" style="15" bestFit="1" customWidth="1" collapsed="1"/>
    <col min="3077" max="3077" width="14.7109375" style="15" customWidth="1" collapsed="1"/>
    <col min="3078" max="3083" width="15.42578125" style="15" customWidth="1" collapsed="1"/>
    <col min="3084" max="3084" width="13.7109375" style="15" customWidth="1" collapsed="1"/>
    <col min="3085" max="3085" width="15.140625" style="15" customWidth="1" collapsed="1"/>
    <col min="3086" max="3086" width="14" style="15" customWidth="1" collapsed="1"/>
    <col min="3087" max="3087" width="13.7109375" style="15" customWidth="1" collapsed="1"/>
    <col min="3088" max="3088" width="14.42578125" style="15" customWidth="1" collapsed="1"/>
    <col min="3089" max="3089" width="12.140625" style="15" customWidth="1" collapsed="1"/>
    <col min="3090" max="3328" width="10.85546875" style="15" collapsed="1"/>
    <col min="3329" max="3329" width="22.140625" style="15" customWidth="1" collapsed="1"/>
    <col min="3330" max="3330" width="14.140625" style="15" customWidth="1" collapsed="1"/>
    <col min="3331" max="3331" width="16.42578125" style="15" customWidth="1" collapsed="1"/>
    <col min="3332" max="3332" width="14.7109375" style="15" bestFit="1" customWidth="1" collapsed="1"/>
    <col min="3333" max="3333" width="14.7109375" style="15" customWidth="1" collapsed="1"/>
    <col min="3334" max="3339" width="15.42578125" style="15" customWidth="1" collapsed="1"/>
    <col min="3340" max="3340" width="13.7109375" style="15" customWidth="1" collapsed="1"/>
    <col min="3341" max="3341" width="15.140625" style="15" customWidth="1" collapsed="1"/>
    <col min="3342" max="3342" width="14" style="15" customWidth="1" collapsed="1"/>
    <col min="3343" max="3343" width="13.7109375" style="15" customWidth="1" collapsed="1"/>
    <col min="3344" max="3344" width="14.42578125" style="15" customWidth="1" collapsed="1"/>
    <col min="3345" max="3345" width="12.140625" style="15" customWidth="1" collapsed="1"/>
    <col min="3346" max="3584" width="10.85546875" style="15" collapsed="1"/>
    <col min="3585" max="3585" width="22.140625" style="15" customWidth="1" collapsed="1"/>
    <col min="3586" max="3586" width="14.140625" style="15" customWidth="1" collapsed="1"/>
    <col min="3587" max="3587" width="16.42578125" style="15" customWidth="1" collapsed="1"/>
    <col min="3588" max="3588" width="14.7109375" style="15" bestFit="1" customWidth="1" collapsed="1"/>
    <col min="3589" max="3589" width="14.7109375" style="15" customWidth="1" collapsed="1"/>
    <col min="3590" max="3595" width="15.42578125" style="15" customWidth="1" collapsed="1"/>
    <col min="3596" max="3596" width="13.7109375" style="15" customWidth="1" collapsed="1"/>
    <col min="3597" max="3597" width="15.140625" style="15" customWidth="1" collapsed="1"/>
    <col min="3598" max="3598" width="14" style="15" customWidth="1" collapsed="1"/>
    <col min="3599" max="3599" width="13.7109375" style="15" customWidth="1" collapsed="1"/>
    <col min="3600" max="3600" width="14.42578125" style="15" customWidth="1" collapsed="1"/>
    <col min="3601" max="3601" width="12.140625" style="15" customWidth="1" collapsed="1"/>
    <col min="3602" max="3840" width="10.85546875" style="15" collapsed="1"/>
    <col min="3841" max="3841" width="22.140625" style="15" customWidth="1" collapsed="1"/>
    <col min="3842" max="3842" width="14.140625" style="15" customWidth="1" collapsed="1"/>
    <col min="3843" max="3843" width="16.42578125" style="15" customWidth="1" collapsed="1"/>
    <col min="3844" max="3844" width="14.7109375" style="15" bestFit="1" customWidth="1" collapsed="1"/>
    <col min="3845" max="3845" width="14.7109375" style="15" customWidth="1" collapsed="1"/>
    <col min="3846" max="3851" width="15.42578125" style="15" customWidth="1" collapsed="1"/>
    <col min="3852" max="3852" width="13.7109375" style="15" customWidth="1" collapsed="1"/>
    <col min="3853" max="3853" width="15.140625" style="15" customWidth="1" collapsed="1"/>
    <col min="3854" max="3854" width="14" style="15" customWidth="1" collapsed="1"/>
    <col min="3855" max="3855" width="13.7109375" style="15" customWidth="1" collapsed="1"/>
    <col min="3856" max="3856" width="14.42578125" style="15" customWidth="1" collapsed="1"/>
    <col min="3857" max="3857" width="12.140625" style="15" customWidth="1" collapsed="1"/>
    <col min="3858" max="4096" width="10.85546875" style="15" collapsed="1"/>
    <col min="4097" max="4097" width="22.140625" style="15" customWidth="1" collapsed="1"/>
    <col min="4098" max="4098" width="14.140625" style="15" customWidth="1" collapsed="1"/>
    <col min="4099" max="4099" width="16.42578125" style="15" customWidth="1" collapsed="1"/>
    <col min="4100" max="4100" width="14.7109375" style="15" bestFit="1" customWidth="1" collapsed="1"/>
    <col min="4101" max="4101" width="14.7109375" style="15" customWidth="1" collapsed="1"/>
    <col min="4102" max="4107" width="15.42578125" style="15" customWidth="1" collapsed="1"/>
    <col min="4108" max="4108" width="13.7109375" style="15" customWidth="1" collapsed="1"/>
    <col min="4109" max="4109" width="15.140625" style="15" customWidth="1" collapsed="1"/>
    <col min="4110" max="4110" width="14" style="15" customWidth="1" collapsed="1"/>
    <col min="4111" max="4111" width="13.7109375" style="15" customWidth="1" collapsed="1"/>
    <col min="4112" max="4112" width="14.42578125" style="15" customWidth="1" collapsed="1"/>
    <col min="4113" max="4113" width="12.140625" style="15" customWidth="1" collapsed="1"/>
    <col min="4114" max="4352" width="10.85546875" style="15" collapsed="1"/>
    <col min="4353" max="4353" width="22.140625" style="15" customWidth="1" collapsed="1"/>
    <col min="4354" max="4354" width="14.140625" style="15" customWidth="1" collapsed="1"/>
    <col min="4355" max="4355" width="16.42578125" style="15" customWidth="1" collapsed="1"/>
    <col min="4356" max="4356" width="14.7109375" style="15" bestFit="1" customWidth="1" collapsed="1"/>
    <col min="4357" max="4357" width="14.7109375" style="15" customWidth="1" collapsed="1"/>
    <col min="4358" max="4363" width="15.42578125" style="15" customWidth="1" collapsed="1"/>
    <col min="4364" max="4364" width="13.7109375" style="15" customWidth="1" collapsed="1"/>
    <col min="4365" max="4365" width="15.140625" style="15" customWidth="1" collapsed="1"/>
    <col min="4366" max="4366" width="14" style="15" customWidth="1" collapsed="1"/>
    <col min="4367" max="4367" width="13.7109375" style="15" customWidth="1" collapsed="1"/>
    <col min="4368" max="4368" width="14.42578125" style="15" customWidth="1" collapsed="1"/>
    <col min="4369" max="4369" width="12.140625" style="15" customWidth="1" collapsed="1"/>
    <col min="4370" max="4608" width="10.85546875" style="15" collapsed="1"/>
    <col min="4609" max="4609" width="22.140625" style="15" customWidth="1" collapsed="1"/>
    <col min="4610" max="4610" width="14.140625" style="15" customWidth="1" collapsed="1"/>
    <col min="4611" max="4611" width="16.42578125" style="15" customWidth="1" collapsed="1"/>
    <col min="4612" max="4612" width="14.7109375" style="15" bestFit="1" customWidth="1" collapsed="1"/>
    <col min="4613" max="4613" width="14.7109375" style="15" customWidth="1" collapsed="1"/>
    <col min="4614" max="4619" width="15.42578125" style="15" customWidth="1" collapsed="1"/>
    <col min="4620" max="4620" width="13.7109375" style="15" customWidth="1" collapsed="1"/>
    <col min="4621" max="4621" width="15.140625" style="15" customWidth="1" collapsed="1"/>
    <col min="4622" max="4622" width="14" style="15" customWidth="1" collapsed="1"/>
    <col min="4623" max="4623" width="13.7109375" style="15" customWidth="1" collapsed="1"/>
    <col min="4624" max="4624" width="14.42578125" style="15" customWidth="1" collapsed="1"/>
    <col min="4625" max="4625" width="12.140625" style="15" customWidth="1" collapsed="1"/>
    <col min="4626" max="4864" width="10.85546875" style="15" collapsed="1"/>
    <col min="4865" max="4865" width="22.140625" style="15" customWidth="1" collapsed="1"/>
    <col min="4866" max="4866" width="14.140625" style="15" customWidth="1" collapsed="1"/>
    <col min="4867" max="4867" width="16.42578125" style="15" customWidth="1" collapsed="1"/>
    <col min="4868" max="4868" width="14.7109375" style="15" bestFit="1" customWidth="1" collapsed="1"/>
    <col min="4869" max="4869" width="14.7109375" style="15" customWidth="1" collapsed="1"/>
    <col min="4870" max="4875" width="15.42578125" style="15" customWidth="1" collapsed="1"/>
    <col min="4876" max="4876" width="13.7109375" style="15" customWidth="1" collapsed="1"/>
    <col min="4877" max="4877" width="15.140625" style="15" customWidth="1" collapsed="1"/>
    <col min="4878" max="4878" width="14" style="15" customWidth="1" collapsed="1"/>
    <col min="4879" max="4879" width="13.7109375" style="15" customWidth="1" collapsed="1"/>
    <col min="4880" max="4880" width="14.42578125" style="15" customWidth="1" collapsed="1"/>
    <col min="4881" max="4881" width="12.140625" style="15" customWidth="1" collapsed="1"/>
    <col min="4882" max="5120" width="10.85546875" style="15" collapsed="1"/>
    <col min="5121" max="5121" width="22.140625" style="15" customWidth="1" collapsed="1"/>
    <col min="5122" max="5122" width="14.140625" style="15" customWidth="1" collapsed="1"/>
    <col min="5123" max="5123" width="16.42578125" style="15" customWidth="1" collapsed="1"/>
    <col min="5124" max="5124" width="14.7109375" style="15" bestFit="1" customWidth="1" collapsed="1"/>
    <col min="5125" max="5125" width="14.7109375" style="15" customWidth="1" collapsed="1"/>
    <col min="5126" max="5131" width="15.42578125" style="15" customWidth="1" collapsed="1"/>
    <col min="5132" max="5132" width="13.7109375" style="15" customWidth="1" collapsed="1"/>
    <col min="5133" max="5133" width="15.140625" style="15" customWidth="1" collapsed="1"/>
    <col min="5134" max="5134" width="14" style="15" customWidth="1" collapsed="1"/>
    <col min="5135" max="5135" width="13.7109375" style="15" customWidth="1" collapsed="1"/>
    <col min="5136" max="5136" width="14.42578125" style="15" customWidth="1" collapsed="1"/>
    <col min="5137" max="5137" width="12.140625" style="15" customWidth="1" collapsed="1"/>
    <col min="5138" max="5376" width="10.85546875" style="15" collapsed="1"/>
    <col min="5377" max="5377" width="22.140625" style="15" customWidth="1" collapsed="1"/>
    <col min="5378" max="5378" width="14.140625" style="15" customWidth="1" collapsed="1"/>
    <col min="5379" max="5379" width="16.42578125" style="15" customWidth="1" collapsed="1"/>
    <col min="5380" max="5380" width="14.7109375" style="15" bestFit="1" customWidth="1" collapsed="1"/>
    <col min="5381" max="5381" width="14.7109375" style="15" customWidth="1" collapsed="1"/>
    <col min="5382" max="5387" width="15.42578125" style="15" customWidth="1" collapsed="1"/>
    <col min="5388" max="5388" width="13.7109375" style="15" customWidth="1" collapsed="1"/>
    <col min="5389" max="5389" width="15.140625" style="15" customWidth="1" collapsed="1"/>
    <col min="5390" max="5390" width="14" style="15" customWidth="1" collapsed="1"/>
    <col min="5391" max="5391" width="13.7109375" style="15" customWidth="1" collapsed="1"/>
    <col min="5392" max="5392" width="14.42578125" style="15" customWidth="1" collapsed="1"/>
    <col min="5393" max="5393" width="12.140625" style="15" customWidth="1" collapsed="1"/>
    <col min="5394" max="5632" width="10.85546875" style="15" collapsed="1"/>
    <col min="5633" max="5633" width="22.140625" style="15" customWidth="1" collapsed="1"/>
    <col min="5634" max="5634" width="14.140625" style="15" customWidth="1" collapsed="1"/>
    <col min="5635" max="5635" width="16.42578125" style="15" customWidth="1" collapsed="1"/>
    <col min="5636" max="5636" width="14.7109375" style="15" bestFit="1" customWidth="1" collapsed="1"/>
    <col min="5637" max="5637" width="14.7109375" style="15" customWidth="1" collapsed="1"/>
    <col min="5638" max="5643" width="15.42578125" style="15" customWidth="1" collapsed="1"/>
    <col min="5644" max="5644" width="13.7109375" style="15" customWidth="1" collapsed="1"/>
    <col min="5645" max="5645" width="15.140625" style="15" customWidth="1" collapsed="1"/>
    <col min="5646" max="5646" width="14" style="15" customWidth="1" collapsed="1"/>
    <col min="5647" max="5647" width="13.7109375" style="15" customWidth="1" collapsed="1"/>
    <col min="5648" max="5648" width="14.42578125" style="15" customWidth="1" collapsed="1"/>
    <col min="5649" max="5649" width="12.140625" style="15" customWidth="1" collapsed="1"/>
    <col min="5650" max="5888" width="10.85546875" style="15" collapsed="1"/>
    <col min="5889" max="5889" width="22.140625" style="15" customWidth="1" collapsed="1"/>
    <col min="5890" max="5890" width="14.140625" style="15" customWidth="1" collapsed="1"/>
    <col min="5891" max="5891" width="16.42578125" style="15" customWidth="1" collapsed="1"/>
    <col min="5892" max="5892" width="14.7109375" style="15" bestFit="1" customWidth="1" collapsed="1"/>
    <col min="5893" max="5893" width="14.7109375" style="15" customWidth="1" collapsed="1"/>
    <col min="5894" max="5899" width="15.42578125" style="15" customWidth="1" collapsed="1"/>
    <col min="5900" max="5900" width="13.7109375" style="15" customWidth="1" collapsed="1"/>
    <col min="5901" max="5901" width="15.140625" style="15" customWidth="1" collapsed="1"/>
    <col min="5902" max="5902" width="14" style="15" customWidth="1" collapsed="1"/>
    <col min="5903" max="5903" width="13.7109375" style="15" customWidth="1" collapsed="1"/>
    <col min="5904" max="5904" width="14.42578125" style="15" customWidth="1" collapsed="1"/>
    <col min="5905" max="5905" width="12.140625" style="15" customWidth="1" collapsed="1"/>
    <col min="5906" max="6144" width="10.85546875" style="15" collapsed="1"/>
    <col min="6145" max="6145" width="22.140625" style="15" customWidth="1" collapsed="1"/>
    <col min="6146" max="6146" width="14.140625" style="15" customWidth="1" collapsed="1"/>
    <col min="6147" max="6147" width="16.42578125" style="15" customWidth="1" collapsed="1"/>
    <col min="6148" max="6148" width="14.7109375" style="15" bestFit="1" customWidth="1" collapsed="1"/>
    <col min="6149" max="6149" width="14.7109375" style="15" customWidth="1" collapsed="1"/>
    <col min="6150" max="6155" width="15.42578125" style="15" customWidth="1" collapsed="1"/>
    <col min="6156" max="6156" width="13.7109375" style="15" customWidth="1" collapsed="1"/>
    <col min="6157" max="6157" width="15.140625" style="15" customWidth="1" collapsed="1"/>
    <col min="6158" max="6158" width="14" style="15" customWidth="1" collapsed="1"/>
    <col min="6159" max="6159" width="13.7109375" style="15" customWidth="1" collapsed="1"/>
    <col min="6160" max="6160" width="14.42578125" style="15" customWidth="1" collapsed="1"/>
    <col min="6161" max="6161" width="12.140625" style="15" customWidth="1" collapsed="1"/>
    <col min="6162" max="6400" width="10.85546875" style="15" collapsed="1"/>
    <col min="6401" max="6401" width="22.140625" style="15" customWidth="1" collapsed="1"/>
    <col min="6402" max="6402" width="14.140625" style="15" customWidth="1" collapsed="1"/>
    <col min="6403" max="6403" width="16.42578125" style="15" customWidth="1" collapsed="1"/>
    <col min="6404" max="6404" width="14.7109375" style="15" bestFit="1" customWidth="1" collapsed="1"/>
    <col min="6405" max="6405" width="14.7109375" style="15" customWidth="1" collapsed="1"/>
    <col min="6406" max="6411" width="15.42578125" style="15" customWidth="1" collapsed="1"/>
    <col min="6412" max="6412" width="13.7109375" style="15" customWidth="1" collapsed="1"/>
    <col min="6413" max="6413" width="15.140625" style="15" customWidth="1" collapsed="1"/>
    <col min="6414" max="6414" width="14" style="15" customWidth="1" collapsed="1"/>
    <col min="6415" max="6415" width="13.7109375" style="15" customWidth="1" collapsed="1"/>
    <col min="6416" max="6416" width="14.42578125" style="15" customWidth="1" collapsed="1"/>
    <col min="6417" max="6417" width="12.140625" style="15" customWidth="1" collapsed="1"/>
    <col min="6418" max="6656" width="10.85546875" style="15" collapsed="1"/>
    <col min="6657" max="6657" width="22.140625" style="15" customWidth="1" collapsed="1"/>
    <col min="6658" max="6658" width="14.140625" style="15" customWidth="1" collapsed="1"/>
    <col min="6659" max="6659" width="16.42578125" style="15" customWidth="1" collapsed="1"/>
    <col min="6660" max="6660" width="14.7109375" style="15" bestFit="1" customWidth="1" collapsed="1"/>
    <col min="6661" max="6661" width="14.7109375" style="15" customWidth="1" collapsed="1"/>
    <col min="6662" max="6667" width="15.42578125" style="15" customWidth="1" collapsed="1"/>
    <col min="6668" max="6668" width="13.7109375" style="15" customWidth="1" collapsed="1"/>
    <col min="6669" max="6669" width="15.140625" style="15" customWidth="1" collapsed="1"/>
    <col min="6670" max="6670" width="14" style="15" customWidth="1" collapsed="1"/>
    <col min="6671" max="6671" width="13.7109375" style="15" customWidth="1" collapsed="1"/>
    <col min="6672" max="6672" width="14.42578125" style="15" customWidth="1" collapsed="1"/>
    <col min="6673" max="6673" width="12.140625" style="15" customWidth="1" collapsed="1"/>
    <col min="6674" max="6912" width="10.85546875" style="15" collapsed="1"/>
    <col min="6913" max="6913" width="22.140625" style="15" customWidth="1" collapsed="1"/>
    <col min="6914" max="6914" width="14.140625" style="15" customWidth="1" collapsed="1"/>
    <col min="6915" max="6915" width="16.42578125" style="15" customWidth="1" collapsed="1"/>
    <col min="6916" max="6916" width="14.7109375" style="15" bestFit="1" customWidth="1" collapsed="1"/>
    <col min="6917" max="6917" width="14.7109375" style="15" customWidth="1" collapsed="1"/>
    <col min="6918" max="6923" width="15.42578125" style="15" customWidth="1" collapsed="1"/>
    <col min="6924" max="6924" width="13.7109375" style="15" customWidth="1" collapsed="1"/>
    <col min="6925" max="6925" width="15.140625" style="15" customWidth="1" collapsed="1"/>
    <col min="6926" max="6926" width="14" style="15" customWidth="1" collapsed="1"/>
    <col min="6927" max="6927" width="13.7109375" style="15" customWidth="1" collapsed="1"/>
    <col min="6928" max="6928" width="14.42578125" style="15" customWidth="1" collapsed="1"/>
    <col min="6929" max="6929" width="12.140625" style="15" customWidth="1" collapsed="1"/>
    <col min="6930" max="7168" width="10.85546875" style="15" collapsed="1"/>
    <col min="7169" max="7169" width="22.140625" style="15" customWidth="1" collapsed="1"/>
    <col min="7170" max="7170" width="14.140625" style="15" customWidth="1" collapsed="1"/>
    <col min="7171" max="7171" width="16.42578125" style="15" customWidth="1" collapsed="1"/>
    <col min="7172" max="7172" width="14.7109375" style="15" bestFit="1" customWidth="1" collapsed="1"/>
    <col min="7173" max="7173" width="14.7109375" style="15" customWidth="1" collapsed="1"/>
    <col min="7174" max="7179" width="15.42578125" style="15" customWidth="1" collapsed="1"/>
    <col min="7180" max="7180" width="13.7109375" style="15" customWidth="1" collapsed="1"/>
    <col min="7181" max="7181" width="15.140625" style="15" customWidth="1" collapsed="1"/>
    <col min="7182" max="7182" width="14" style="15" customWidth="1" collapsed="1"/>
    <col min="7183" max="7183" width="13.7109375" style="15" customWidth="1" collapsed="1"/>
    <col min="7184" max="7184" width="14.42578125" style="15" customWidth="1" collapsed="1"/>
    <col min="7185" max="7185" width="12.140625" style="15" customWidth="1" collapsed="1"/>
    <col min="7186" max="7424" width="10.85546875" style="15" collapsed="1"/>
    <col min="7425" max="7425" width="22.140625" style="15" customWidth="1" collapsed="1"/>
    <col min="7426" max="7426" width="14.140625" style="15" customWidth="1" collapsed="1"/>
    <col min="7427" max="7427" width="16.42578125" style="15" customWidth="1" collapsed="1"/>
    <col min="7428" max="7428" width="14.7109375" style="15" bestFit="1" customWidth="1" collapsed="1"/>
    <col min="7429" max="7429" width="14.7109375" style="15" customWidth="1" collapsed="1"/>
    <col min="7430" max="7435" width="15.42578125" style="15" customWidth="1" collapsed="1"/>
    <col min="7436" max="7436" width="13.7109375" style="15" customWidth="1" collapsed="1"/>
    <col min="7437" max="7437" width="15.140625" style="15" customWidth="1" collapsed="1"/>
    <col min="7438" max="7438" width="14" style="15" customWidth="1" collapsed="1"/>
    <col min="7439" max="7439" width="13.7109375" style="15" customWidth="1" collapsed="1"/>
    <col min="7440" max="7440" width="14.42578125" style="15" customWidth="1" collapsed="1"/>
    <col min="7441" max="7441" width="12.140625" style="15" customWidth="1" collapsed="1"/>
    <col min="7442" max="7680" width="10.85546875" style="15" collapsed="1"/>
    <col min="7681" max="7681" width="22.140625" style="15" customWidth="1" collapsed="1"/>
    <col min="7682" max="7682" width="14.140625" style="15" customWidth="1" collapsed="1"/>
    <col min="7683" max="7683" width="16.42578125" style="15" customWidth="1" collapsed="1"/>
    <col min="7684" max="7684" width="14.7109375" style="15" bestFit="1" customWidth="1" collapsed="1"/>
    <col min="7685" max="7685" width="14.7109375" style="15" customWidth="1" collapsed="1"/>
    <col min="7686" max="7691" width="15.42578125" style="15" customWidth="1" collapsed="1"/>
    <col min="7692" max="7692" width="13.7109375" style="15" customWidth="1" collapsed="1"/>
    <col min="7693" max="7693" width="15.140625" style="15" customWidth="1" collapsed="1"/>
    <col min="7694" max="7694" width="14" style="15" customWidth="1" collapsed="1"/>
    <col min="7695" max="7695" width="13.7109375" style="15" customWidth="1" collapsed="1"/>
    <col min="7696" max="7696" width="14.42578125" style="15" customWidth="1" collapsed="1"/>
    <col min="7697" max="7697" width="12.140625" style="15" customWidth="1" collapsed="1"/>
    <col min="7698" max="7936" width="10.85546875" style="15" collapsed="1"/>
    <col min="7937" max="7937" width="22.140625" style="15" customWidth="1" collapsed="1"/>
    <col min="7938" max="7938" width="14.140625" style="15" customWidth="1" collapsed="1"/>
    <col min="7939" max="7939" width="16.42578125" style="15" customWidth="1" collapsed="1"/>
    <col min="7940" max="7940" width="14.7109375" style="15" bestFit="1" customWidth="1" collapsed="1"/>
    <col min="7941" max="7941" width="14.7109375" style="15" customWidth="1" collapsed="1"/>
    <col min="7942" max="7947" width="15.42578125" style="15" customWidth="1" collapsed="1"/>
    <col min="7948" max="7948" width="13.7109375" style="15" customWidth="1" collapsed="1"/>
    <col min="7949" max="7949" width="15.140625" style="15" customWidth="1" collapsed="1"/>
    <col min="7950" max="7950" width="14" style="15" customWidth="1" collapsed="1"/>
    <col min="7951" max="7951" width="13.7109375" style="15" customWidth="1" collapsed="1"/>
    <col min="7952" max="7952" width="14.42578125" style="15" customWidth="1" collapsed="1"/>
    <col min="7953" max="7953" width="12.140625" style="15" customWidth="1" collapsed="1"/>
    <col min="7954" max="8192" width="10.85546875" style="15" collapsed="1"/>
    <col min="8193" max="8193" width="22.140625" style="15" customWidth="1" collapsed="1"/>
    <col min="8194" max="8194" width="14.140625" style="15" customWidth="1" collapsed="1"/>
    <col min="8195" max="8195" width="16.42578125" style="15" customWidth="1" collapsed="1"/>
    <col min="8196" max="8196" width="14.7109375" style="15" bestFit="1" customWidth="1" collapsed="1"/>
    <col min="8197" max="8197" width="14.7109375" style="15" customWidth="1" collapsed="1"/>
    <col min="8198" max="8203" width="15.42578125" style="15" customWidth="1" collapsed="1"/>
    <col min="8204" max="8204" width="13.7109375" style="15" customWidth="1" collapsed="1"/>
    <col min="8205" max="8205" width="15.140625" style="15" customWidth="1" collapsed="1"/>
    <col min="8206" max="8206" width="14" style="15" customWidth="1" collapsed="1"/>
    <col min="8207" max="8207" width="13.7109375" style="15" customWidth="1" collapsed="1"/>
    <col min="8208" max="8208" width="14.42578125" style="15" customWidth="1" collapsed="1"/>
    <col min="8209" max="8209" width="12.140625" style="15" customWidth="1" collapsed="1"/>
    <col min="8210" max="8448" width="10.85546875" style="15" collapsed="1"/>
    <col min="8449" max="8449" width="22.140625" style="15" customWidth="1" collapsed="1"/>
    <col min="8450" max="8450" width="14.140625" style="15" customWidth="1" collapsed="1"/>
    <col min="8451" max="8451" width="16.42578125" style="15" customWidth="1" collapsed="1"/>
    <col min="8452" max="8452" width="14.7109375" style="15" bestFit="1" customWidth="1" collapsed="1"/>
    <col min="8453" max="8453" width="14.7109375" style="15" customWidth="1" collapsed="1"/>
    <col min="8454" max="8459" width="15.42578125" style="15" customWidth="1" collapsed="1"/>
    <col min="8460" max="8460" width="13.7109375" style="15" customWidth="1" collapsed="1"/>
    <col min="8461" max="8461" width="15.140625" style="15" customWidth="1" collapsed="1"/>
    <col min="8462" max="8462" width="14" style="15" customWidth="1" collapsed="1"/>
    <col min="8463" max="8463" width="13.7109375" style="15" customWidth="1" collapsed="1"/>
    <col min="8464" max="8464" width="14.42578125" style="15" customWidth="1" collapsed="1"/>
    <col min="8465" max="8465" width="12.140625" style="15" customWidth="1" collapsed="1"/>
    <col min="8466" max="8704" width="10.85546875" style="15" collapsed="1"/>
    <col min="8705" max="8705" width="22.140625" style="15" customWidth="1" collapsed="1"/>
    <col min="8706" max="8706" width="14.140625" style="15" customWidth="1" collapsed="1"/>
    <col min="8707" max="8707" width="16.42578125" style="15" customWidth="1" collapsed="1"/>
    <col min="8708" max="8708" width="14.7109375" style="15" bestFit="1" customWidth="1" collapsed="1"/>
    <col min="8709" max="8709" width="14.7109375" style="15" customWidth="1" collapsed="1"/>
    <col min="8710" max="8715" width="15.42578125" style="15" customWidth="1" collapsed="1"/>
    <col min="8716" max="8716" width="13.7109375" style="15" customWidth="1" collapsed="1"/>
    <col min="8717" max="8717" width="15.140625" style="15" customWidth="1" collapsed="1"/>
    <col min="8718" max="8718" width="14" style="15" customWidth="1" collapsed="1"/>
    <col min="8719" max="8719" width="13.7109375" style="15" customWidth="1" collapsed="1"/>
    <col min="8720" max="8720" width="14.42578125" style="15" customWidth="1" collapsed="1"/>
    <col min="8721" max="8721" width="12.140625" style="15" customWidth="1" collapsed="1"/>
    <col min="8722" max="8960" width="10.85546875" style="15" collapsed="1"/>
    <col min="8961" max="8961" width="22.140625" style="15" customWidth="1" collapsed="1"/>
    <col min="8962" max="8962" width="14.140625" style="15" customWidth="1" collapsed="1"/>
    <col min="8963" max="8963" width="16.42578125" style="15" customWidth="1" collapsed="1"/>
    <col min="8964" max="8964" width="14.7109375" style="15" bestFit="1" customWidth="1" collapsed="1"/>
    <col min="8965" max="8965" width="14.7109375" style="15" customWidth="1" collapsed="1"/>
    <col min="8966" max="8971" width="15.42578125" style="15" customWidth="1" collapsed="1"/>
    <col min="8972" max="8972" width="13.7109375" style="15" customWidth="1" collapsed="1"/>
    <col min="8973" max="8973" width="15.140625" style="15" customWidth="1" collapsed="1"/>
    <col min="8974" max="8974" width="14" style="15" customWidth="1" collapsed="1"/>
    <col min="8975" max="8975" width="13.7109375" style="15" customWidth="1" collapsed="1"/>
    <col min="8976" max="8976" width="14.42578125" style="15" customWidth="1" collapsed="1"/>
    <col min="8977" max="8977" width="12.140625" style="15" customWidth="1" collapsed="1"/>
    <col min="8978" max="9216" width="10.85546875" style="15" collapsed="1"/>
    <col min="9217" max="9217" width="22.140625" style="15" customWidth="1" collapsed="1"/>
    <col min="9218" max="9218" width="14.140625" style="15" customWidth="1" collapsed="1"/>
    <col min="9219" max="9219" width="16.42578125" style="15" customWidth="1" collapsed="1"/>
    <col min="9220" max="9220" width="14.7109375" style="15" bestFit="1" customWidth="1" collapsed="1"/>
    <col min="9221" max="9221" width="14.7109375" style="15" customWidth="1" collapsed="1"/>
    <col min="9222" max="9227" width="15.42578125" style="15" customWidth="1" collapsed="1"/>
    <col min="9228" max="9228" width="13.7109375" style="15" customWidth="1" collapsed="1"/>
    <col min="9229" max="9229" width="15.140625" style="15" customWidth="1" collapsed="1"/>
    <col min="9230" max="9230" width="14" style="15" customWidth="1" collapsed="1"/>
    <col min="9231" max="9231" width="13.7109375" style="15" customWidth="1" collapsed="1"/>
    <col min="9232" max="9232" width="14.42578125" style="15" customWidth="1" collapsed="1"/>
    <col min="9233" max="9233" width="12.140625" style="15" customWidth="1" collapsed="1"/>
    <col min="9234" max="9472" width="10.85546875" style="15" collapsed="1"/>
    <col min="9473" max="9473" width="22.140625" style="15" customWidth="1" collapsed="1"/>
    <col min="9474" max="9474" width="14.140625" style="15" customWidth="1" collapsed="1"/>
    <col min="9475" max="9475" width="16.42578125" style="15" customWidth="1" collapsed="1"/>
    <col min="9476" max="9476" width="14.7109375" style="15" bestFit="1" customWidth="1" collapsed="1"/>
    <col min="9477" max="9477" width="14.7109375" style="15" customWidth="1" collapsed="1"/>
    <col min="9478" max="9483" width="15.42578125" style="15" customWidth="1" collapsed="1"/>
    <col min="9484" max="9484" width="13.7109375" style="15" customWidth="1" collapsed="1"/>
    <col min="9485" max="9485" width="15.140625" style="15" customWidth="1" collapsed="1"/>
    <col min="9486" max="9486" width="14" style="15" customWidth="1" collapsed="1"/>
    <col min="9487" max="9487" width="13.7109375" style="15" customWidth="1" collapsed="1"/>
    <col min="9488" max="9488" width="14.42578125" style="15" customWidth="1" collapsed="1"/>
    <col min="9489" max="9489" width="12.140625" style="15" customWidth="1" collapsed="1"/>
    <col min="9490" max="9728" width="10.85546875" style="15" collapsed="1"/>
    <col min="9729" max="9729" width="22.140625" style="15" customWidth="1" collapsed="1"/>
    <col min="9730" max="9730" width="14.140625" style="15" customWidth="1" collapsed="1"/>
    <col min="9731" max="9731" width="16.42578125" style="15" customWidth="1" collapsed="1"/>
    <col min="9732" max="9732" width="14.7109375" style="15" bestFit="1" customWidth="1" collapsed="1"/>
    <col min="9733" max="9733" width="14.7109375" style="15" customWidth="1" collapsed="1"/>
    <col min="9734" max="9739" width="15.42578125" style="15" customWidth="1" collapsed="1"/>
    <col min="9740" max="9740" width="13.7109375" style="15" customWidth="1" collapsed="1"/>
    <col min="9741" max="9741" width="15.140625" style="15" customWidth="1" collapsed="1"/>
    <col min="9742" max="9742" width="14" style="15" customWidth="1" collapsed="1"/>
    <col min="9743" max="9743" width="13.7109375" style="15" customWidth="1" collapsed="1"/>
    <col min="9744" max="9744" width="14.42578125" style="15" customWidth="1" collapsed="1"/>
    <col min="9745" max="9745" width="12.140625" style="15" customWidth="1" collapsed="1"/>
    <col min="9746" max="9984" width="10.85546875" style="15" collapsed="1"/>
    <col min="9985" max="9985" width="22.140625" style="15" customWidth="1" collapsed="1"/>
    <col min="9986" max="9986" width="14.140625" style="15" customWidth="1" collapsed="1"/>
    <col min="9987" max="9987" width="16.42578125" style="15" customWidth="1" collapsed="1"/>
    <col min="9988" max="9988" width="14.7109375" style="15" bestFit="1" customWidth="1" collapsed="1"/>
    <col min="9989" max="9989" width="14.7109375" style="15" customWidth="1" collapsed="1"/>
    <col min="9990" max="9995" width="15.42578125" style="15" customWidth="1" collapsed="1"/>
    <col min="9996" max="9996" width="13.7109375" style="15" customWidth="1" collapsed="1"/>
    <col min="9997" max="9997" width="15.140625" style="15" customWidth="1" collapsed="1"/>
    <col min="9998" max="9998" width="14" style="15" customWidth="1" collapsed="1"/>
    <col min="9999" max="9999" width="13.7109375" style="15" customWidth="1" collapsed="1"/>
    <col min="10000" max="10000" width="14.42578125" style="15" customWidth="1" collapsed="1"/>
    <col min="10001" max="10001" width="12.140625" style="15" customWidth="1" collapsed="1"/>
    <col min="10002" max="10240" width="10.85546875" style="15" collapsed="1"/>
    <col min="10241" max="10241" width="22.140625" style="15" customWidth="1" collapsed="1"/>
    <col min="10242" max="10242" width="14.140625" style="15" customWidth="1" collapsed="1"/>
    <col min="10243" max="10243" width="16.42578125" style="15" customWidth="1" collapsed="1"/>
    <col min="10244" max="10244" width="14.7109375" style="15" bestFit="1" customWidth="1" collapsed="1"/>
    <col min="10245" max="10245" width="14.7109375" style="15" customWidth="1" collapsed="1"/>
    <col min="10246" max="10251" width="15.42578125" style="15" customWidth="1" collapsed="1"/>
    <col min="10252" max="10252" width="13.7109375" style="15" customWidth="1" collapsed="1"/>
    <col min="10253" max="10253" width="15.140625" style="15" customWidth="1" collapsed="1"/>
    <col min="10254" max="10254" width="14" style="15" customWidth="1" collapsed="1"/>
    <col min="10255" max="10255" width="13.7109375" style="15" customWidth="1" collapsed="1"/>
    <col min="10256" max="10256" width="14.42578125" style="15" customWidth="1" collapsed="1"/>
    <col min="10257" max="10257" width="12.140625" style="15" customWidth="1" collapsed="1"/>
    <col min="10258" max="10496" width="10.85546875" style="15" collapsed="1"/>
    <col min="10497" max="10497" width="22.140625" style="15" customWidth="1" collapsed="1"/>
    <col min="10498" max="10498" width="14.140625" style="15" customWidth="1" collapsed="1"/>
    <col min="10499" max="10499" width="16.42578125" style="15" customWidth="1" collapsed="1"/>
    <col min="10500" max="10500" width="14.7109375" style="15" bestFit="1" customWidth="1" collapsed="1"/>
    <col min="10501" max="10501" width="14.7109375" style="15" customWidth="1" collapsed="1"/>
    <col min="10502" max="10507" width="15.42578125" style="15" customWidth="1" collapsed="1"/>
    <col min="10508" max="10508" width="13.7109375" style="15" customWidth="1" collapsed="1"/>
    <col min="10509" max="10509" width="15.140625" style="15" customWidth="1" collapsed="1"/>
    <col min="10510" max="10510" width="14" style="15" customWidth="1" collapsed="1"/>
    <col min="10511" max="10511" width="13.7109375" style="15" customWidth="1" collapsed="1"/>
    <col min="10512" max="10512" width="14.42578125" style="15" customWidth="1" collapsed="1"/>
    <col min="10513" max="10513" width="12.140625" style="15" customWidth="1" collapsed="1"/>
    <col min="10514" max="10752" width="10.85546875" style="15" collapsed="1"/>
    <col min="10753" max="10753" width="22.140625" style="15" customWidth="1" collapsed="1"/>
    <col min="10754" max="10754" width="14.140625" style="15" customWidth="1" collapsed="1"/>
    <col min="10755" max="10755" width="16.42578125" style="15" customWidth="1" collapsed="1"/>
    <col min="10756" max="10756" width="14.7109375" style="15" bestFit="1" customWidth="1" collapsed="1"/>
    <col min="10757" max="10757" width="14.7109375" style="15" customWidth="1" collapsed="1"/>
    <col min="10758" max="10763" width="15.42578125" style="15" customWidth="1" collapsed="1"/>
    <col min="10764" max="10764" width="13.7109375" style="15" customWidth="1" collapsed="1"/>
    <col min="10765" max="10765" width="15.140625" style="15" customWidth="1" collapsed="1"/>
    <col min="10766" max="10766" width="14" style="15" customWidth="1" collapsed="1"/>
    <col min="10767" max="10767" width="13.7109375" style="15" customWidth="1" collapsed="1"/>
    <col min="10768" max="10768" width="14.42578125" style="15" customWidth="1" collapsed="1"/>
    <col min="10769" max="10769" width="12.140625" style="15" customWidth="1" collapsed="1"/>
    <col min="10770" max="11008" width="10.85546875" style="15" collapsed="1"/>
    <col min="11009" max="11009" width="22.140625" style="15" customWidth="1" collapsed="1"/>
    <col min="11010" max="11010" width="14.140625" style="15" customWidth="1" collapsed="1"/>
    <col min="11011" max="11011" width="16.42578125" style="15" customWidth="1" collapsed="1"/>
    <col min="11012" max="11012" width="14.7109375" style="15" bestFit="1" customWidth="1" collapsed="1"/>
    <col min="11013" max="11013" width="14.7109375" style="15" customWidth="1" collapsed="1"/>
    <col min="11014" max="11019" width="15.42578125" style="15" customWidth="1" collapsed="1"/>
    <col min="11020" max="11020" width="13.7109375" style="15" customWidth="1" collapsed="1"/>
    <col min="11021" max="11021" width="15.140625" style="15" customWidth="1" collapsed="1"/>
    <col min="11022" max="11022" width="14" style="15" customWidth="1" collapsed="1"/>
    <col min="11023" max="11023" width="13.7109375" style="15" customWidth="1" collapsed="1"/>
    <col min="11024" max="11024" width="14.42578125" style="15" customWidth="1" collapsed="1"/>
    <col min="11025" max="11025" width="12.140625" style="15" customWidth="1" collapsed="1"/>
    <col min="11026" max="11264" width="10.85546875" style="15" collapsed="1"/>
    <col min="11265" max="11265" width="22.140625" style="15" customWidth="1" collapsed="1"/>
    <col min="11266" max="11266" width="14.140625" style="15" customWidth="1" collapsed="1"/>
    <col min="11267" max="11267" width="16.42578125" style="15" customWidth="1" collapsed="1"/>
    <col min="11268" max="11268" width="14.7109375" style="15" bestFit="1" customWidth="1" collapsed="1"/>
    <col min="11269" max="11269" width="14.7109375" style="15" customWidth="1" collapsed="1"/>
    <col min="11270" max="11275" width="15.42578125" style="15" customWidth="1" collapsed="1"/>
    <col min="11276" max="11276" width="13.7109375" style="15" customWidth="1" collapsed="1"/>
    <col min="11277" max="11277" width="15.140625" style="15" customWidth="1" collapsed="1"/>
    <col min="11278" max="11278" width="14" style="15" customWidth="1" collapsed="1"/>
    <col min="11279" max="11279" width="13.7109375" style="15" customWidth="1" collapsed="1"/>
    <col min="11280" max="11280" width="14.42578125" style="15" customWidth="1" collapsed="1"/>
    <col min="11281" max="11281" width="12.140625" style="15" customWidth="1" collapsed="1"/>
    <col min="11282" max="11520" width="10.85546875" style="15" collapsed="1"/>
    <col min="11521" max="11521" width="22.140625" style="15" customWidth="1" collapsed="1"/>
    <col min="11522" max="11522" width="14.140625" style="15" customWidth="1" collapsed="1"/>
    <col min="11523" max="11523" width="16.42578125" style="15" customWidth="1" collapsed="1"/>
    <col min="11524" max="11524" width="14.7109375" style="15" bestFit="1" customWidth="1" collapsed="1"/>
    <col min="11525" max="11525" width="14.7109375" style="15" customWidth="1" collapsed="1"/>
    <col min="11526" max="11531" width="15.42578125" style="15" customWidth="1" collapsed="1"/>
    <col min="11532" max="11532" width="13.7109375" style="15" customWidth="1" collapsed="1"/>
    <col min="11533" max="11533" width="15.140625" style="15" customWidth="1" collapsed="1"/>
    <col min="11534" max="11534" width="14" style="15" customWidth="1" collapsed="1"/>
    <col min="11535" max="11535" width="13.7109375" style="15" customWidth="1" collapsed="1"/>
    <col min="11536" max="11536" width="14.42578125" style="15" customWidth="1" collapsed="1"/>
    <col min="11537" max="11537" width="12.140625" style="15" customWidth="1" collapsed="1"/>
    <col min="11538" max="11776" width="10.85546875" style="15" collapsed="1"/>
    <col min="11777" max="11777" width="22.140625" style="15" customWidth="1" collapsed="1"/>
    <col min="11778" max="11778" width="14.140625" style="15" customWidth="1" collapsed="1"/>
    <col min="11779" max="11779" width="16.42578125" style="15" customWidth="1" collapsed="1"/>
    <col min="11780" max="11780" width="14.7109375" style="15" bestFit="1" customWidth="1" collapsed="1"/>
    <col min="11781" max="11781" width="14.7109375" style="15" customWidth="1" collapsed="1"/>
    <col min="11782" max="11787" width="15.42578125" style="15" customWidth="1" collapsed="1"/>
    <col min="11788" max="11788" width="13.7109375" style="15" customWidth="1" collapsed="1"/>
    <col min="11789" max="11789" width="15.140625" style="15" customWidth="1" collapsed="1"/>
    <col min="11790" max="11790" width="14" style="15" customWidth="1" collapsed="1"/>
    <col min="11791" max="11791" width="13.7109375" style="15" customWidth="1" collapsed="1"/>
    <col min="11792" max="11792" width="14.42578125" style="15" customWidth="1" collapsed="1"/>
    <col min="11793" max="11793" width="12.140625" style="15" customWidth="1" collapsed="1"/>
    <col min="11794" max="12032" width="10.85546875" style="15" collapsed="1"/>
    <col min="12033" max="12033" width="22.140625" style="15" customWidth="1" collapsed="1"/>
    <col min="12034" max="12034" width="14.140625" style="15" customWidth="1" collapsed="1"/>
    <col min="12035" max="12035" width="16.42578125" style="15" customWidth="1" collapsed="1"/>
    <col min="12036" max="12036" width="14.7109375" style="15" bestFit="1" customWidth="1" collapsed="1"/>
    <col min="12037" max="12037" width="14.7109375" style="15" customWidth="1" collapsed="1"/>
    <col min="12038" max="12043" width="15.42578125" style="15" customWidth="1" collapsed="1"/>
    <col min="12044" max="12044" width="13.7109375" style="15" customWidth="1" collapsed="1"/>
    <col min="12045" max="12045" width="15.140625" style="15" customWidth="1" collapsed="1"/>
    <col min="12046" max="12046" width="14" style="15" customWidth="1" collapsed="1"/>
    <col min="12047" max="12047" width="13.7109375" style="15" customWidth="1" collapsed="1"/>
    <col min="12048" max="12048" width="14.42578125" style="15" customWidth="1" collapsed="1"/>
    <col min="12049" max="12049" width="12.140625" style="15" customWidth="1" collapsed="1"/>
    <col min="12050" max="12288" width="10.85546875" style="15" collapsed="1"/>
    <col min="12289" max="12289" width="22.140625" style="15" customWidth="1" collapsed="1"/>
    <col min="12290" max="12290" width="14.140625" style="15" customWidth="1" collapsed="1"/>
    <col min="12291" max="12291" width="16.42578125" style="15" customWidth="1" collapsed="1"/>
    <col min="12292" max="12292" width="14.7109375" style="15" bestFit="1" customWidth="1" collapsed="1"/>
    <col min="12293" max="12293" width="14.7109375" style="15" customWidth="1" collapsed="1"/>
    <col min="12294" max="12299" width="15.42578125" style="15" customWidth="1" collapsed="1"/>
    <col min="12300" max="12300" width="13.7109375" style="15" customWidth="1" collapsed="1"/>
    <col min="12301" max="12301" width="15.140625" style="15" customWidth="1" collapsed="1"/>
    <col min="12302" max="12302" width="14" style="15" customWidth="1" collapsed="1"/>
    <col min="12303" max="12303" width="13.7109375" style="15" customWidth="1" collapsed="1"/>
    <col min="12304" max="12304" width="14.42578125" style="15" customWidth="1" collapsed="1"/>
    <col min="12305" max="12305" width="12.140625" style="15" customWidth="1" collapsed="1"/>
    <col min="12306" max="12544" width="10.85546875" style="15" collapsed="1"/>
    <col min="12545" max="12545" width="22.140625" style="15" customWidth="1" collapsed="1"/>
    <col min="12546" max="12546" width="14.140625" style="15" customWidth="1" collapsed="1"/>
    <col min="12547" max="12547" width="16.42578125" style="15" customWidth="1" collapsed="1"/>
    <col min="12548" max="12548" width="14.7109375" style="15" bestFit="1" customWidth="1" collapsed="1"/>
    <col min="12549" max="12549" width="14.7109375" style="15" customWidth="1" collapsed="1"/>
    <col min="12550" max="12555" width="15.42578125" style="15" customWidth="1" collapsed="1"/>
    <col min="12556" max="12556" width="13.7109375" style="15" customWidth="1" collapsed="1"/>
    <col min="12557" max="12557" width="15.140625" style="15" customWidth="1" collapsed="1"/>
    <col min="12558" max="12558" width="14" style="15" customWidth="1" collapsed="1"/>
    <col min="12559" max="12559" width="13.7109375" style="15" customWidth="1" collapsed="1"/>
    <col min="12560" max="12560" width="14.42578125" style="15" customWidth="1" collapsed="1"/>
    <col min="12561" max="12561" width="12.140625" style="15" customWidth="1" collapsed="1"/>
    <col min="12562" max="12800" width="10.85546875" style="15" collapsed="1"/>
    <col min="12801" max="12801" width="22.140625" style="15" customWidth="1" collapsed="1"/>
    <col min="12802" max="12802" width="14.140625" style="15" customWidth="1" collapsed="1"/>
    <col min="12803" max="12803" width="16.42578125" style="15" customWidth="1" collapsed="1"/>
    <col min="12804" max="12804" width="14.7109375" style="15" bestFit="1" customWidth="1" collapsed="1"/>
    <col min="12805" max="12805" width="14.7109375" style="15" customWidth="1" collapsed="1"/>
    <col min="12806" max="12811" width="15.42578125" style="15" customWidth="1" collapsed="1"/>
    <col min="12812" max="12812" width="13.7109375" style="15" customWidth="1" collapsed="1"/>
    <col min="12813" max="12813" width="15.140625" style="15" customWidth="1" collapsed="1"/>
    <col min="12814" max="12814" width="14" style="15" customWidth="1" collapsed="1"/>
    <col min="12815" max="12815" width="13.7109375" style="15" customWidth="1" collapsed="1"/>
    <col min="12816" max="12816" width="14.42578125" style="15" customWidth="1" collapsed="1"/>
    <col min="12817" max="12817" width="12.140625" style="15" customWidth="1" collapsed="1"/>
    <col min="12818" max="13056" width="10.85546875" style="15" collapsed="1"/>
    <col min="13057" max="13057" width="22.140625" style="15" customWidth="1" collapsed="1"/>
    <col min="13058" max="13058" width="14.140625" style="15" customWidth="1" collapsed="1"/>
    <col min="13059" max="13059" width="16.42578125" style="15" customWidth="1" collapsed="1"/>
    <col min="13060" max="13060" width="14.7109375" style="15" bestFit="1" customWidth="1" collapsed="1"/>
    <col min="13061" max="13061" width="14.7109375" style="15" customWidth="1" collapsed="1"/>
    <col min="13062" max="13067" width="15.42578125" style="15" customWidth="1" collapsed="1"/>
    <col min="13068" max="13068" width="13.7109375" style="15" customWidth="1" collapsed="1"/>
    <col min="13069" max="13069" width="15.140625" style="15" customWidth="1" collapsed="1"/>
    <col min="13070" max="13070" width="14" style="15" customWidth="1" collapsed="1"/>
    <col min="13071" max="13071" width="13.7109375" style="15" customWidth="1" collapsed="1"/>
    <col min="13072" max="13072" width="14.42578125" style="15" customWidth="1" collapsed="1"/>
    <col min="13073" max="13073" width="12.140625" style="15" customWidth="1" collapsed="1"/>
    <col min="13074" max="13312" width="10.85546875" style="15" collapsed="1"/>
    <col min="13313" max="13313" width="22.140625" style="15" customWidth="1" collapsed="1"/>
    <col min="13314" max="13314" width="14.140625" style="15" customWidth="1" collapsed="1"/>
    <col min="13315" max="13315" width="16.42578125" style="15" customWidth="1" collapsed="1"/>
    <col min="13316" max="13316" width="14.7109375" style="15" bestFit="1" customWidth="1" collapsed="1"/>
    <col min="13317" max="13317" width="14.7109375" style="15" customWidth="1" collapsed="1"/>
    <col min="13318" max="13323" width="15.42578125" style="15" customWidth="1" collapsed="1"/>
    <col min="13324" max="13324" width="13.7109375" style="15" customWidth="1" collapsed="1"/>
    <col min="13325" max="13325" width="15.140625" style="15" customWidth="1" collapsed="1"/>
    <col min="13326" max="13326" width="14" style="15" customWidth="1" collapsed="1"/>
    <col min="13327" max="13327" width="13.7109375" style="15" customWidth="1" collapsed="1"/>
    <col min="13328" max="13328" width="14.42578125" style="15" customWidth="1" collapsed="1"/>
    <col min="13329" max="13329" width="12.140625" style="15" customWidth="1" collapsed="1"/>
    <col min="13330" max="13568" width="10.85546875" style="15" collapsed="1"/>
    <col min="13569" max="13569" width="22.140625" style="15" customWidth="1" collapsed="1"/>
    <col min="13570" max="13570" width="14.140625" style="15" customWidth="1" collapsed="1"/>
    <col min="13571" max="13571" width="16.42578125" style="15" customWidth="1" collapsed="1"/>
    <col min="13572" max="13572" width="14.7109375" style="15" bestFit="1" customWidth="1" collapsed="1"/>
    <col min="13573" max="13573" width="14.7109375" style="15" customWidth="1" collapsed="1"/>
    <col min="13574" max="13579" width="15.42578125" style="15" customWidth="1" collapsed="1"/>
    <col min="13580" max="13580" width="13.7109375" style="15" customWidth="1" collapsed="1"/>
    <col min="13581" max="13581" width="15.140625" style="15" customWidth="1" collapsed="1"/>
    <col min="13582" max="13582" width="14" style="15" customWidth="1" collapsed="1"/>
    <col min="13583" max="13583" width="13.7109375" style="15" customWidth="1" collapsed="1"/>
    <col min="13584" max="13584" width="14.42578125" style="15" customWidth="1" collapsed="1"/>
    <col min="13585" max="13585" width="12.140625" style="15" customWidth="1" collapsed="1"/>
    <col min="13586" max="13824" width="10.85546875" style="15" collapsed="1"/>
    <col min="13825" max="13825" width="22.140625" style="15" customWidth="1" collapsed="1"/>
    <col min="13826" max="13826" width="14.140625" style="15" customWidth="1" collapsed="1"/>
    <col min="13827" max="13827" width="16.42578125" style="15" customWidth="1" collapsed="1"/>
    <col min="13828" max="13828" width="14.7109375" style="15" bestFit="1" customWidth="1" collapsed="1"/>
    <col min="13829" max="13829" width="14.7109375" style="15" customWidth="1" collapsed="1"/>
    <col min="13830" max="13835" width="15.42578125" style="15" customWidth="1" collapsed="1"/>
    <col min="13836" max="13836" width="13.7109375" style="15" customWidth="1" collapsed="1"/>
    <col min="13837" max="13837" width="15.140625" style="15" customWidth="1" collapsed="1"/>
    <col min="13838" max="13838" width="14" style="15" customWidth="1" collapsed="1"/>
    <col min="13839" max="13839" width="13.7109375" style="15" customWidth="1" collapsed="1"/>
    <col min="13840" max="13840" width="14.42578125" style="15" customWidth="1" collapsed="1"/>
    <col min="13841" max="13841" width="12.140625" style="15" customWidth="1" collapsed="1"/>
    <col min="13842" max="14080" width="10.85546875" style="15" collapsed="1"/>
    <col min="14081" max="14081" width="22.140625" style="15" customWidth="1" collapsed="1"/>
    <col min="14082" max="14082" width="14.140625" style="15" customWidth="1" collapsed="1"/>
    <col min="14083" max="14083" width="16.42578125" style="15" customWidth="1" collapsed="1"/>
    <col min="14084" max="14084" width="14.7109375" style="15" bestFit="1" customWidth="1" collapsed="1"/>
    <col min="14085" max="14085" width="14.7109375" style="15" customWidth="1" collapsed="1"/>
    <col min="14086" max="14091" width="15.42578125" style="15" customWidth="1" collapsed="1"/>
    <col min="14092" max="14092" width="13.7109375" style="15" customWidth="1" collapsed="1"/>
    <col min="14093" max="14093" width="15.140625" style="15" customWidth="1" collapsed="1"/>
    <col min="14094" max="14094" width="14" style="15" customWidth="1" collapsed="1"/>
    <col min="14095" max="14095" width="13.7109375" style="15" customWidth="1" collapsed="1"/>
    <col min="14096" max="14096" width="14.42578125" style="15" customWidth="1" collapsed="1"/>
    <col min="14097" max="14097" width="12.140625" style="15" customWidth="1" collapsed="1"/>
    <col min="14098" max="14336" width="10.85546875" style="15" collapsed="1"/>
    <col min="14337" max="14337" width="22.140625" style="15" customWidth="1" collapsed="1"/>
    <col min="14338" max="14338" width="14.140625" style="15" customWidth="1" collapsed="1"/>
    <col min="14339" max="14339" width="16.42578125" style="15" customWidth="1" collapsed="1"/>
    <col min="14340" max="14340" width="14.7109375" style="15" bestFit="1" customWidth="1" collapsed="1"/>
    <col min="14341" max="14341" width="14.7109375" style="15" customWidth="1" collapsed="1"/>
    <col min="14342" max="14347" width="15.42578125" style="15" customWidth="1" collapsed="1"/>
    <col min="14348" max="14348" width="13.7109375" style="15" customWidth="1" collapsed="1"/>
    <col min="14349" max="14349" width="15.140625" style="15" customWidth="1" collapsed="1"/>
    <col min="14350" max="14350" width="14" style="15" customWidth="1" collapsed="1"/>
    <col min="14351" max="14351" width="13.7109375" style="15" customWidth="1" collapsed="1"/>
    <col min="14352" max="14352" width="14.42578125" style="15" customWidth="1" collapsed="1"/>
    <col min="14353" max="14353" width="12.140625" style="15" customWidth="1" collapsed="1"/>
    <col min="14354" max="14592" width="10.85546875" style="15" collapsed="1"/>
    <col min="14593" max="14593" width="22.140625" style="15" customWidth="1" collapsed="1"/>
    <col min="14594" max="14594" width="14.140625" style="15" customWidth="1" collapsed="1"/>
    <col min="14595" max="14595" width="16.42578125" style="15" customWidth="1" collapsed="1"/>
    <col min="14596" max="14596" width="14.7109375" style="15" bestFit="1" customWidth="1" collapsed="1"/>
    <col min="14597" max="14597" width="14.7109375" style="15" customWidth="1" collapsed="1"/>
    <col min="14598" max="14603" width="15.42578125" style="15" customWidth="1" collapsed="1"/>
    <col min="14604" max="14604" width="13.7109375" style="15" customWidth="1" collapsed="1"/>
    <col min="14605" max="14605" width="15.140625" style="15" customWidth="1" collapsed="1"/>
    <col min="14606" max="14606" width="14" style="15" customWidth="1" collapsed="1"/>
    <col min="14607" max="14607" width="13.7109375" style="15" customWidth="1" collapsed="1"/>
    <col min="14608" max="14608" width="14.42578125" style="15" customWidth="1" collapsed="1"/>
    <col min="14609" max="14609" width="12.140625" style="15" customWidth="1" collapsed="1"/>
    <col min="14610" max="14848" width="10.85546875" style="15" collapsed="1"/>
    <col min="14849" max="14849" width="22.140625" style="15" customWidth="1" collapsed="1"/>
    <col min="14850" max="14850" width="14.140625" style="15" customWidth="1" collapsed="1"/>
    <col min="14851" max="14851" width="16.42578125" style="15" customWidth="1" collapsed="1"/>
    <col min="14852" max="14852" width="14.7109375" style="15" bestFit="1" customWidth="1" collapsed="1"/>
    <col min="14853" max="14853" width="14.7109375" style="15" customWidth="1" collapsed="1"/>
    <col min="14854" max="14859" width="15.42578125" style="15" customWidth="1" collapsed="1"/>
    <col min="14860" max="14860" width="13.7109375" style="15" customWidth="1" collapsed="1"/>
    <col min="14861" max="14861" width="15.140625" style="15" customWidth="1" collapsed="1"/>
    <col min="14862" max="14862" width="14" style="15" customWidth="1" collapsed="1"/>
    <col min="14863" max="14863" width="13.7109375" style="15" customWidth="1" collapsed="1"/>
    <col min="14864" max="14864" width="14.42578125" style="15" customWidth="1" collapsed="1"/>
    <col min="14865" max="14865" width="12.140625" style="15" customWidth="1" collapsed="1"/>
    <col min="14866" max="15104" width="10.85546875" style="15" collapsed="1"/>
    <col min="15105" max="15105" width="22.140625" style="15" customWidth="1" collapsed="1"/>
    <col min="15106" max="15106" width="14.140625" style="15" customWidth="1" collapsed="1"/>
    <col min="15107" max="15107" width="16.42578125" style="15" customWidth="1" collapsed="1"/>
    <col min="15108" max="15108" width="14.7109375" style="15" bestFit="1" customWidth="1" collapsed="1"/>
    <col min="15109" max="15109" width="14.7109375" style="15" customWidth="1" collapsed="1"/>
    <col min="15110" max="15115" width="15.42578125" style="15" customWidth="1" collapsed="1"/>
    <col min="15116" max="15116" width="13.7109375" style="15" customWidth="1" collapsed="1"/>
    <col min="15117" max="15117" width="15.140625" style="15" customWidth="1" collapsed="1"/>
    <col min="15118" max="15118" width="14" style="15" customWidth="1" collapsed="1"/>
    <col min="15119" max="15119" width="13.7109375" style="15" customWidth="1" collapsed="1"/>
    <col min="15120" max="15120" width="14.42578125" style="15" customWidth="1" collapsed="1"/>
    <col min="15121" max="15121" width="12.140625" style="15" customWidth="1" collapsed="1"/>
    <col min="15122" max="15360" width="10.85546875" style="15" collapsed="1"/>
    <col min="15361" max="15361" width="22.140625" style="15" customWidth="1" collapsed="1"/>
    <col min="15362" max="15362" width="14.140625" style="15" customWidth="1" collapsed="1"/>
    <col min="15363" max="15363" width="16.42578125" style="15" customWidth="1" collapsed="1"/>
    <col min="15364" max="15364" width="14.7109375" style="15" bestFit="1" customWidth="1" collapsed="1"/>
    <col min="15365" max="15365" width="14.7109375" style="15" customWidth="1" collapsed="1"/>
    <col min="15366" max="15371" width="15.42578125" style="15" customWidth="1" collapsed="1"/>
    <col min="15372" max="15372" width="13.7109375" style="15" customWidth="1" collapsed="1"/>
    <col min="15373" max="15373" width="15.140625" style="15" customWidth="1" collapsed="1"/>
    <col min="15374" max="15374" width="14" style="15" customWidth="1" collapsed="1"/>
    <col min="15375" max="15375" width="13.7109375" style="15" customWidth="1" collapsed="1"/>
    <col min="15376" max="15376" width="14.42578125" style="15" customWidth="1" collapsed="1"/>
    <col min="15377" max="15377" width="12.140625" style="15" customWidth="1" collapsed="1"/>
    <col min="15378" max="15616" width="10.85546875" style="15" collapsed="1"/>
    <col min="15617" max="15617" width="22.140625" style="15" customWidth="1" collapsed="1"/>
    <col min="15618" max="15618" width="14.140625" style="15" customWidth="1" collapsed="1"/>
    <col min="15619" max="15619" width="16.42578125" style="15" customWidth="1" collapsed="1"/>
    <col min="15620" max="15620" width="14.7109375" style="15" bestFit="1" customWidth="1" collapsed="1"/>
    <col min="15621" max="15621" width="14.7109375" style="15" customWidth="1" collapsed="1"/>
    <col min="15622" max="15627" width="15.42578125" style="15" customWidth="1" collapsed="1"/>
    <col min="15628" max="15628" width="13.7109375" style="15" customWidth="1" collapsed="1"/>
    <col min="15629" max="15629" width="15.140625" style="15" customWidth="1" collapsed="1"/>
    <col min="15630" max="15630" width="14" style="15" customWidth="1" collapsed="1"/>
    <col min="15631" max="15631" width="13.7109375" style="15" customWidth="1" collapsed="1"/>
    <col min="15632" max="15632" width="14.42578125" style="15" customWidth="1" collapsed="1"/>
    <col min="15633" max="15633" width="12.140625" style="15" customWidth="1" collapsed="1"/>
    <col min="15634" max="15872" width="10.85546875" style="15" collapsed="1"/>
    <col min="15873" max="15873" width="22.140625" style="15" customWidth="1" collapsed="1"/>
    <col min="15874" max="15874" width="14.140625" style="15" customWidth="1" collapsed="1"/>
    <col min="15875" max="15875" width="16.42578125" style="15" customWidth="1" collapsed="1"/>
    <col min="15876" max="15876" width="14.7109375" style="15" bestFit="1" customWidth="1" collapsed="1"/>
    <col min="15877" max="15877" width="14.7109375" style="15" customWidth="1" collapsed="1"/>
    <col min="15878" max="15883" width="15.42578125" style="15" customWidth="1" collapsed="1"/>
    <col min="15884" max="15884" width="13.7109375" style="15" customWidth="1" collapsed="1"/>
    <col min="15885" max="15885" width="15.140625" style="15" customWidth="1" collapsed="1"/>
    <col min="15886" max="15886" width="14" style="15" customWidth="1" collapsed="1"/>
    <col min="15887" max="15887" width="13.7109375" style="15" customWidth="1" collapsed="1"/>
    <col min="15888" max="15888" width="14.42578125" style="15" customWidth="1" collapsed="1"/>
    <col min="15889" max="15889" width="12.140625" style="15" customWidth="1" collapsed="1"/>
    <col min="15890" max="16128" width="10.85546875" style="15" collapsed="1"/>
    <col min="16129" max="16129" width="22.140625" style="15" customWidth="1" collapsed="1"/>
    <col min="16130" max="16130" width="14.140625" style="15" customWidth="1" collapsed="1"/>
    <col min="16131" max="16131" width="16.42578125" style="15" customWidth="1" collapsed="1"/>
    <col min="16132" max="16132" width="14.7109375" style="15" bestFit="1" customWidth="1" collapsed="1"/>
    <col min="16133" max="16133" width="14.7109375" style="15" customWidth="1" collapsed="1"/>
    <col min="16134" max="16139" width="15.42578125" style="15" customWidth="1" collapsed="1"/>
    <col min="16140" max="16140" width="13.7109375" style="15" customWidth="1" collapsed="1"/>
    <col min="16141" max="16141" width="15.140625" style="15" customWidth="1" collapsed="1"/>
    <col min="16142" max="16142" width="14" style="15" customWidth="1" collapsed="1"/>
    <col min="16143" max="16143" width="13.7109375" style="15" customWidth="1" collapsed="1"/>
    <col min="16144" max="16144" width="14.42578125" style="15" customWidth="1" collapsed="1"/>
    <col min="16145" max="16145" width="12.140625" style="15" customWidth="1" collapsed="1"/>
    <col min="16146" max="16384" width="10.85546875" style="15" collapsed="1"/>
  </cols>
  <sheetData>
    <row r="1" spans="1:11" ht="18" x14ac:dyDescent="0.25">
      <c r="A1" s="20" t="s">
        <v>14</v>
      </c>
      <c r="B1" s="21"/>
      <c r="C1" s="21"/>
      <c r="D1" s="21"/>
      <c r="E1" s="21"/>
      <c r="F1" s="21"/>
      <c r="G1" s="22"/>
      <c r="H1" s="22"/>
      <c r="I1" s="22"/>
      <c r="J1" s="22"/>
      <c r="K1" s="22"/>
    </row>
    <row r="2" spans="1:11" ht="15" x14ac:dyDescent="0.2">
      <c r="A2" s="23" t="s">
        <v>822</v>
      </c>
      <c r="B2" s="21"/>
      <c r="C2" s="21"/>
      <c r="D2" s="21"/>
      <c r="E2" s="21"/>
      <c r="F2" s="21"/>
      <c r="G2" s="22"/>
      <c r="H2" s="22"/>
      <c r="I2" s="22"/>
      <c r="J2" s="22"/>
      <c r="K2" s="22"/>
    </row>
    <row r="3" spans="1:11" x14ac:dyDescent="0.2">
      <c r="A3" s="21"/>
      <c r="B3" s="21"/>
      <c r="C3" s="21"/>
      <c r="D3" s="21"/>
      <c r="E3" s="21"/>
      <c r="F3" s="21"/>
      <c r="G3" s="22"/>
      <c r="H3" s="22"/>
      <c r="I3" s="22"/>
      <c r="J3" s="22"/>
      <c r="K3" s="22"/>
    </row>
    <row r="4" spans="1:11" ht="15" x14ac:dyDescent="0.2">
      <c r="A4" s="893" t="s">
        <v>15</v>
      </c>
      <c r="B4" s="894"/>
      <c r="C4" s="24" t="s">
        <v>16</v>
      </c>
      <c r="D4" s="24" t="s">
        <v>17</v>
      </c>
      <c r="E4" s="24" t="s">
        <v>18</v>
      </c>
      <c r="F4" s="25"/>
      <c r="G4" s="22"/>
      <c r="H4" s="22"/>
      <c r="I4" s="22"/>
      <c r="J4" s="22"/>
      <c r="K4" s="22"/>
    </row>
    <row r="5" spans="1:11" x14ac:dyDescent="0.2">
      <c r="A5" s="895" t="s">
        <v>19</v>
      </c>
      <c r="B5" s="896"/>
      <c r="C5" s="26">
        <f>+D5+E5</f>
        <v>0.125</v>
      </c>
      <c r="D5" s="26">
        <v>8.5000000000000006E-2</v>
      </c>
      <c r="E5" s="27">
        <v>0.04</v>
      </c>
      <c r="F5" s="21"/>
      <c r="G5" s="22"/>
      <c r="H5" s="22"/>
      <c r="I5" s="22"/>
      <c r="J5" s="22"/>
      <c r="K5" s="22"/>
    </row>
    <row r="6" spans="1:11" x14ac:dyDescent="0.2">
      <c r="A6" s="895" t="s">
        <v>20</v>
      </c>
      <c r="B6" s="896"/>
      <c r="C6" s="26">
        <f>+D6+E6</f>
        <v>0.16</v>
      </c>
      <c r="D6" s="26">
        <v>0.12</v>
      </c>
      <c r="E6" s="26">
        <v>0.04</v>
      </c>
      <c r="F6" s="21"/>
      <c r="G6" s="22"/>
      <c r="H6" s="22"/>
      <c r="I6" s="22"/>
      <c r="J6" s="22"/>
      <c r="K6" s="22"/>
    </row>
    <row r="7" spans="1:11" x14ac:dyDescent="0.2">
      <c r="A7" s="895" t="s">
        <v>21</v>
      </c>
      <c r="B7" s="896"/>
      <c r="C7" s="26">
        <f>+D7+E7</f>
        <v>6.9599999999999995E-2</v>
      </c>
      <c r="D7" s="26">
        <v>6.9599999999999995E-2</v>
      </c>
      <c r="E7" s="26">
        <v>0</v>
      </c>
      <c r="F7" s="21"/>
      <c r="G7" s="22"/>
      <c r="H7" s="22"/>
      <c r="I7" s="22"/>
      <c r="J7" s="22"/>
      <c r="K7" s="22"/>
    </row>
    <row r="8" spans="1:11" x14ac:dyDescent="0.2">
      <c r="A8" s="897" t="s">
        <v>22</v>
      </c>
      <c r="B8" s="898"/>
      <c r="C8" s="28">
        <f>SUM(C5:C7)</f>
        <v>0.35460000000000003</v>
      </c>
      <c r="D8" s="28">
        <f>SUM(D5:D7)</f>
        <v>0.27460000000000001</v>
      </c>
      <c r="E8" s="28">
        <f>SUM(E5:E7)</f>
        <v>0.08</v>
      </c>
      <c r="F8" s="21"/>
      <c r="G8" s="29"/>
      <c r="H8" s="22"/>
      <c r="I8" s="22"/>
      <c r="J8" s="22"/>
      <c r="K8" s="22"/>
    </row>
    <row r="9" spans="1:11" x14ac:dyDescent="0.2">
      <c r="A9" s="21"/>
      <c r="B9" s="21"/>
      <c r="C9" s="30"/>
      <c r="D9" s="30"/>
      <c r="E9" s="30"/>
      <c r="F9" s="21"/>
      <c r="G9" s="22"/>
      <c r="H9" s="22"/>
      <c r="I9" s="22"/>
      <c r="J9" s="22"/>
      <c r="K9" s="22"/>
    </row>
    <row r="10" spans="1:11" x14ac:dyDescent="0.2">
      <c r="A10" s="21"/>
      <c r="B10" s="21"/>
      <c r="C10" s="30"/>
      <c r="D10" s="30"/>
      <c r="E10" s="30"/>
      <c r="F10" s="21"/>
      <c r="G10" s="22"/>
      <c r="H10" s="22"/>
      <c r="I10" s="22"/>
      <c r="J10" s="22"/>
      <c r="K10" s="22"/>
    </row>
    <row r="11" spans="1:11" ht="15" x14ac:dyDescent="0.2">
      <c r="A11" s="892" t="s">
        <v>23</v>
      </c>
      <c r="B11" s="892"/>
      <c r="C11" s="31" t="s">
        <v>16</v>
      </c>
      <c r="D11" s="31" t="s">
        <v>17</v>
      </c>
      <c r="E11" s="31" t="s">
        <v>18</v>
      </c>
      <c r="F11" s="21"/>
      <c r="G11" s="22"/>
      <c r="H11" s="22"/>
      <c r="I11" s="22"/>
      <c r="J11" s="22"/>
      <c r="K11" s="22"/>
    </row>
    <row r="12" spans="1:11" x14ac:dyDescent="0.2">
      <c r="A12" s="899" t="s">
        <v>24</v>
      </c>
      <c r="B12" s="899"/>
      <c r="C12" s="27">
        <f>+D12+E12</f>
        <v>0.02</v>
      </c>
      <c r="D12" s="27">
        <v>0.02</v>
      </c>
      <c r="E12" s="26">
        <v>0</v>
      </c>
      <c r="F12" s="21"/>
      <c r="G12" s="22"/>
      <c r="H12" s="22"/>
      <c r="I12" s="22"/>
      <c r="J12" s="22"/>
      <c r="K12" s="22"/>
    </row>
    <row r="13" spans="1:11" x14ac:dyDescent="0.2">
      <c r="A13" s="899" t="s">
        <v>25</v>
      </c>
      <c r="B13" s="899"/>
      <c r="C13" s="27">
        <f>+D13+E13</f>
        <v>0.03</v>
      </c>
      <c r="D13" s="27">
        <v>0.03</v>
      </c>
      <c r="E13" s="26">
        <v>0</v>
      </c>
      <c r="F13" s="21"/>
      <c r="G13" s="22"/>
      <c r="H13" s="22"/>
      <c r="I13" s="22"/>
      <c r="J13" s="22"/>
      <c r="K13" s="22"/>
    </row>
    <row r="14" spans="1:11" x14ac:dyDescent="0.2">
      <c r="A14" s="900" t="s">
        <v>26</v>
      </c>
      <c r="B14" s="901"/>
      <c r="C14" s="27">
        <f>+D14+E14</f>
        <v>0.04</v>
      </c>
      <c r="D14" s="27">
        <v>0.04</v>
      </c>
      <c r="E14" s="26">
        <v>0</v>
      </c>
      <c r="F14" s="21"/>
      <c r="G14" s="22"/>
      <c r="H14" s="22"/>
      <c r="I14" s="22"/>
      <c r="J14" s="22"/>
      <c r="K14" s="22"/>
    </row>
    <row r="15" spans="1:11" x14ac:dyDescent="0.2">
      <c r="A15" s="902" t="s">
        <v>22</v>
      </c>
      <c r="B15" s="902"/>
      <c r="C15" s="28">
        <f>SUM(C12:C14)</f>
        <v>0.09</v>
      </c>
      <c r="D15" s="28">
        <f>SUM(D12:D14)</f>
        <v>0.09</v>
      </c>
      <c r="E15" s="28">
        <v>0</v>
      </c>
      <c r="F15" s="21"/>
      <c r="G15" s="22"/>
      <c r="H15" s="22"/>
      <c r="I15" s="22"/>
      <c r="J15" s="22"/>
      <c r="K15" s="22"/>
    </row>
    <row r="16" spans="1:11" x14ac:dyDescent="0.2">
      <c r="A16" s="21"/>
      <c r="B16" s="21"/>
      <c r="C16" s="30"/>
      <c r="D16" s="30"/>
      <c r="E16" s="30"/>
      <c r="F16" s="21"/>
      <c r="G16" s="22"/>
      <c r="H16" s="22"/>
      <c r="I16" s="22"/>
      <c r="J16" s="22"/>
      <c r="K16" s="22"/>
    </row>
    <row r="17" spans="1:11" x14ac:dyDescent="0.2">
      <c r="A17" s="21"/>
      <c r="B17" s="21"/>
      <c r="C17" s="30"/>
      <c r="D17" s="30"/>
      <c r="E17" s="30"/>
      <c r="F17" s="21"/>
      <c r="G17" s="22"/>
      <c r="H17" s="22"/>
      <c r="I17" s="22"/>
      <c r="J17" s="22"/>
      <c r="K17" s="22"/>
    </row>
    <row r="18" spans="1:11" ht="15" x14ac:dyDescent="0.2">
      <c r="A18" s="892" t="s">
        <v>27</v>
      </c>
      <c r="B18" s="892"/>
      <c r="C18" s="31" t="s">
        <v>16</v>
      </c>
      <c r="D18" s="31" t="s">
        <v>17</v>
      </c>
      <c r="E18" s="31" t="s">
        <v>18</v>
      </c>
      <c r="F18" s="21"/>
      <c r="G18" s="22"/>
      <c r="H18" s="22"/>
      <c r="I18" s="22"/>
      <c r="J18" s="22"/>
      <c r="K18" s="22"/>
    </row>
    <row r="19" spans="1:11" x14ac:dyDescent="0.2">
      <c r="A19" s="899" t="s">
        <v>28</v>
      </c>
      <c r="B19" s="899"/>
      <c r="C19" s="26">
        <v>8.3299999999999999E-2</v>
      </c>
      <c r="D19" s="26">
        <v>8.3299999999999999E-2</v>
      </c>
      <c r="E19" s="26">
        <v>0</v>
      </c>
      <c r="F19" s="21"/>
      <c r="G19" s="22"/>
      <c r="H19" s="22"/>
      <c r="I19" s="22"/>
      <c r="J19" s="22"/>
      <c r="K19" s="22"/>
    </row>
    <row r="20" spans="1:11" x14ac:dyDescent="0.2">
      <c r="A20" s="903" t="s">
        <v>29</v>
      </c>
      <c r="B20" s="903"/>
      <c r="C20" s="26">
        <f>+C19*0.12</f>
        <v>9.9959999999999997E-3</v>
      </c>
      <c r="D20" s="26">
        <f>+D19*0.12</f>
        <v>9.9959999999999997E-3</v>
      </c>
      <c r="E20" s="26">
        <v>0</v>
      </c>
      <c r="F20" s="21"/>
      <c r="G20" s="22"/>
      <c r="H20" s="22"/>
      <c r="I20" s="22"/>
      <c r="J20" s="22"/>
      <c r="K20" s="22"/>
    </row>
    <row r="21" spans="1:11" x14ac:dyDescent="0.2">
      <c r="A21" s="899" t="s">
        <v>30</v>
      </c>
      <c r="B21" s="899"/>
      <c r="C21" s="26">
        <v>4.165E-2</v>
      </c>
      <c r="D21" s="26">
        <v>4.165E-2</v>
      </c>
      <c r="E21" s="26">
        <v>0</v>
      </c>
      <c r="F21" s="21"/>
      <c r="G21" s="22"/>
      <c r="H21" s="22"/>
      <c r="I21" s="22"/>
      <c r="J21" s="22"/>
      <c r="K21" s="22"/>
    </row>
    <row r="22" spans="1:11" x14ac:dyDescent="0.2">
      <c r="A22" s="899" t="s">
        <v>31</v>
      </c>
      <c r="B22" s="899"/>
      <c r="C22" s="26">
        <v>8.3299999999999999E-2</v>
      </c>
      <c r="D22" s="26">
        <v>8.3299999999999999E-2</v>
      </c>
      <c r="E22" s="26">
        <v>0</v>
      </c>
      <c r="F22" s="21"/>
      <c r="G22" s="22"/>
      <c r="H22" s="22"/>
      <c r="I22" s="22"/>
      <c r="J22" s="22"/>
      <c r="K22" s="22"/>
    </row>
    <row r="23" spans="1:11" x14ac:dyDescent="0.2">
      <c r="A23" s="902" t="s">
        <v>22</v>
      </c>
      <c r="B23" s="902"/>
      <c r="C23" s="28">
        <f>SUM(C19:C22)</f>
        <v>0.218246</v>
      </c>
      <c r="D23" s="28">
        <f>SUM(D19:D22)</f>
        <v>0.218246</v>
      </c>
      <c r="E23" s="28">
        <v>0</v>
      </c>
      <c r="F23" s="21"/>
      <c r="G23" s="22"/>
      <c r="H23" s="22"/>
      <c r="I23" s="22"/>
      <c r="J23" s="22"/>
      <c r="K23" s="22"/>
    </row>
    <row r="24" spans="1:11" x14ac:dyDescent="0.2">
      <c r="A24" s="21"/>
      <c r="B24" s="21"/>
      <c r="C24" s="30"/>
      <c r="D24" s="30"/>
      <c r="E24" s="30"/>
      <c r="F24" s="21"/>
      <c r="G24" s="22"/>
      <c r="H24" s="22"/>
      <c r="I24" s="22"/>
      <c r="J24" s="22"/>
      <c r="K24" s="22"/>
    </row>
    <row r="25" spans="1:11" ht="37.5" customHeight="1" x14ac:dyDescent="0.2">
      <c r="A25" s="904" t="s">
        <v>32</v>
      </c>
      <c r="B25" s="904"/>
      <c r="C25" s="28">
        <f>+C8+C15+C23</f>
        <v>0.66284600000000005</v>
      </c>
      <c r="D25" s="28">
        <f>+D8+D15+D23</f>
        <v>0.58284599999999998</v>
      </c>
      <c r="E25" s="28">
        <f>+E8+E15+E23</f>
        <v>0.08</v>
      </c>
      <c r="F25" s="21"/>
      <c r="G25" s="22"/>
      <c r="H25" s="22"/>
      <c r="I25" s="22"/>
      <c r="J25" s="22"/>
      <c r="K25" s="22"/>
    </row>
    <row r="26" spans="1:11" x14ac:dyDescent="0.2">
      <c r="A26" s="25"/>
      <c r="B26" s="21"/>
      <c r="C26" s="21"/>
      <c r="D26" s="21"/>
      <c r="E26" s="21"/>
      <c r="F26" s="21"/>
      <c r="G26" s="22"/>
      <c r="H26" s="22"/>
      <c r="I26" s="22"/>
      <c r="J26" s="22"/>
      <c r="K26" s="22"/>
    </row>
    <row r="27" spans="1:11" x14ac:dyDescent="0.2">
      <c r="A27" s="21"/>
      <c r="B27" s="21"/>
      <c r="C27" s="21"/>
      <c r="D27" s="21"/>
      <c r="E27" s="21"/>
      <c r="F27" s="21"/>
      <c r="G27" s="22"/>
      <c r="H27" s="22"/>
      <c r="I27" s="22"/>
      <c r="J27" s="22"/>
      <c r="K27" s="22"/>
    </row>
    <row r="28" spans="1:11" ht="15" x14ac:dyDescent="0.2">
      <c r="A28" s="892" t="s">
        <v>27</v>
      </c>
      <c r="B28" s="892"/>
      <c r="C28" s="892"/>
      <c r="D28" s="892"/>
      <c r="E28" s="892"/>
      <c r="F28" s="21"/>
      <c r="G28" s="22"/>
      <c r="H28" s="22"/>
      <c r="I28" s="22"/>
      <c r="J28" s="22"/>
      <c r="K28" s="22"/>
    </row>
    <row r="29" spans="1:11" x14ac:dyDescent="0.2">
      <c r="A29" s="899" t="s">
        <v>28</v>
      </c>
      <c r="B29" s="32" t="s">
        <v>33</v>
      </c>
      <c r="C29" s="905" t="s">
        <v>34</v>
      </c>
      <c r="D29" s="905"/>
      <c r="E29" s="905"/>
      <c r="F29" s="21"/>
      <c r="G29" s="22"/>
      <c r="H29" s="22"/>
      <c r="I29" s="22"/>
      <c r="J29" s="22"/>
      <c r="K29" s="22"/>
    </row>
    <row r="30" spans="1:11" x14ac:dyDescent="0.2">
      <c r="A30" s="899"/>
      <c r="B30" s="32" t="s">
        <v>35</v>
      </c>
      <c r="C30" s="905">
        <v>360</v>
      </c>
      <c r="D30" s="905"/>
      <c r="E30" s="905"/>
      <c r="F30" s="21"/>
      <c r="G30" s="22"/>
      <c r="H30" s="22"/>
      <c r="I30" s="22"/>
      <c r="J30" s="22"/>
      <c r="K30" s="22"/>
    </row>
    <row r="31" spans="1:11" x14ac:dyDescent="0.2">
      <c r="A31" s="21"/>
      <c r="B31" s="21"/>
      <c r="C31" s="21"/>
      <c r="D31" s="21"/>
      <c r="E31" s="21"/>
      <c r="F31" s="21"/>
      <c r="G31" s="22"/>
      <c r="H31" s="22"/>
      <c r="I31" s="22"/>
      <c r="J31" s="22"/>
      <c r="K31" s="22"/>
    </row>
    <row r="32" spans="1:11" ht="25.5" x14ac:dyDescent="0.2">
      <c r="A32" s="24" t="s">
        <v>29</v>
      </c>
      <c r="B32" s="32"/>
      <c r="C32" s="905" t="s">
        <v>36</v>
      </c>
      <c r="D32" s="905"/>
      <c r="E32" s="905"/>
      <c r="F32" s="21"/>
      <c r="G32" s="22"/>
      <c r="H32" s="22"/>
      <c r="I32" s="22"/>
      <c r="J32" s="22"/>
      <c r="K32" s="22"/>
    </row>
    <row r="33" spans="1:17" x14ac:dyDescent="0.2">
      <c r="A33" s="21"/>
      <c r="B33" s="21"/>
      <c r="C33" s="21"/>
      <c r="D33" s="21"/>
      <c r="E33" s="21"/>
      <c r="F33" s="21"/>
      <c r="G33" s="22"/>
      <c r="H33" s="22"/>
      <c r="I33" s="22"/>
      <c r="J33" s="22"/>
      <c r="K33" s="22"/>
    </row>
    <row r="34" spans="1:17" x14ac:dyDescent="0.2">
      <c r="A34" s="899" t="s">
        <v>30</v>
      </c>
      <c r="B34" s="905"/>
      <c r="C34" s="905" t="s">
        <v>37</v>
      </c>
      <c r="D34" s="905"/>
      <c r="E34" s="905"/>
      <c r="F34" s="21"/>
      <c r="G34" s="22"/>
      <c r="H34" s="22"/>
      <c r="I34" s="22"/>
      <c r="J34" s="22"/>
      <c r="K34" s="22"/>
    </row>
    <row r="35" spans="1:17" x14ac:dyDescent="0.2">
      <c r="A35" s="899"/>
      <c r="B35" s="905"/>
      <c r="C35" s="905">
        <v>360</v>
      </c>
      <c r="D35" s="905"/>
      <c r="E35" s="905"/>
      <c r="F35" s="21"/>
      <c r="G35" s="22"/>
      <c r="H35" s="22"/>
      <c r="I35" s="22"/>
      <c r="J35" s="22"/>
      <c r="K35" s="22"/>
    </row>
    <row r="36" spans="1:17" x14ac:dyDescent="0.2">
      <c r="A36" s="21"/>
      <c r="B36" s="21"/>
      <c r="C36" s="21"/>
      <c r="D36" s="21"/>
      <c r="E36" s="21"/>
      <c r="F36" s="21"/>
      <c r="G36" s="22"/>
      <c r="H36" s="22"/>
      <c r="I36" s="22"/>
      <c r="J36" s="22"/>
      <c r="K36" s="22"/>
    </row>
    <row r="37" spans="1:17" x14ac:dyDescent="0.2">
      <c r="A37" s="899" t="s">
        <v>31</v>
      </c>
      <c r="B37" s="32" t="s">
        <v>33</v>
      </c>
      <c r="C37" s="905" t="s">
        <v>38</v>
      </c>
      <c r="D37" s="905"/>
      <c r="E37" s="905"/>
      <c r="F37" s="21"/>
      <c r="G37" s="22"/>
      <c r="H37" s="22"/>
      <c r="I37" s="22"/>
      <c r="J37" s="22"/>
      <c r="K37" s="22"/>
    </row>
    <row r="38" spans="1:17" x14ac:dyDescent="0.2">
      <c r="A38" s="899"/>
      <c r="B38" s="32" t="s">
        <v>35</v>
      </c>
      <c r="C38" s="905">
        <v>180</v>
      </c>
      <c r="D38" s="905"/>
      <c r="E38" s="905"/>
      <c r="F38" s="21"/>
      <c r="G38" s="22"/>
      <c r="H38" s="22"/>
      <c r="I38" s="22"/>
      <c r="J38" s="22"/>
      <c r="K38" s="22"/>
    </row>
    <row r="39" spans="1:17" x14ac:dyDescent="0.2">
      <c r="A39" s="21"/>
      <c r="B39" s="21"/>
      <c r="C39" s="21"/>
      <c r="D39" s="21"/>
      <c r="E39" s="21"/>
      <c r="F39" s="21"/>
      <c r="G39" s="22"/>
      <c r="H39" s="22"/>
      <c r="I39" s="22"/>
      <c r="J39" s="22"/>
      <c r="K39" s="22"/>
    </row>
    <row r="40" spans="1:17" x14ac:dyDescent="0.2">
      <c r="A40" s="32" t="s">
        <v>821</v>
      </c>
      <c r="B40" s="21"/>
      <c r="C40" s="21"/>
      <c r="D40" s="21"/>
      <c r="E40" s="21"/>
      <c r="F40" s="21"/>
      <c r="G40" s="22"/>
      <c r="H40" s="22"/>
      <c r="I40" s="22"/>
      <c r="J40" s="22"/>
      <c r="K40" s="22"/>
    </row>
    <row r="41" spans="1:17" x14ac:dyDescent="0.2">
      <c r="A41" s="32" t="s">
        <v>39</v>
      </c>
      <c r="B41" s="21"/>
      <c r="C41" s="33">
        <v>1160000</v>
      </c>
      <c r="D41" s="21"/>
      <c r="E41" s="21"/>
      <c r="F41" s="21"/>
      <c r="G41" s="22"/>
      <c r="H41" s="22"/>
      <c r="I41" s="22"/>
      <c r="J41" s="22"/>
      <c r="K41" s="22"/>
    </row>
    <row r="42" spans="1:17" x14ac:dyDescent="0.2">
      <c r="A42" s="32" t="s">
        <v>40</v>
      </c>
      <c r="B42" s="21"/>
      <c r="C42" s="33">
        <f>1300606-1160000</f>
        <v>140606</v>
      </c>
      <c r="D42" s="34"/>
      <c r="E42" s="21"/>
      <c r="F42" s="21"/>
      <c r="G42" s="22"/>
      <c r="H42" s="22"/>
      <c r="I42" s="22"/>
      <c r="J42" s="22"/>
      <c r="K42" s="22"/>
    </row>
    <row r="43" spans="1:17" x14ac:dyDescent="0.2">
      <c r="A43" s="21"/>
      <c r="B43" s="21"/>
      <c r="C43" s="21"/>
      <c r="D43" s="21"/>
      <c r="E43" s="21"/>
      <c r="F43" s="21"/>
      <c r="G43" s="22"/>
      <c r="H43" s="22"/>
      <c r="I43" s="22"/>
      <c r="J43" s="22"/>
      <c r="K43" s="22"/>
    </row>
    <row r="44" spans="1:17" x14ac:dyDescent="0.2">
      <c r="A44" s="21"/>
      <c r="B44" s="21"/>
      <c r="C44" s="21"/>
      <c r="D44" s="21"/>
      <c r="E44" s="21"/>
      <c r="F44" s="21"/>
      <c r="G44" s="22"/>
      <c r="H44" s="22"/>
      <c r="I44" s="22"/>
      <c r="J44" s="22"/>
      <c r="K44" s="22"/>
    </row>
    <row r="45" spans="1:17" x14ac:dyDescent="0.2">
      <c r="A45" s="21"/>
      <c r="B45" s="21"/>
      <c r="C45" s="35"/>
      <c r="D45" s="21"/>
      <c r="E45" s="21"/>
      <c r="F45" s="21"/>
      <c r="G45" s="22"/>
      <c r="H45" s="22"/>
      <c r="I45" s="22"/>
      <c r="J45" s="22"/>
      <c r="K45" s="22"/>
    </row>
    <row r="46" spans="1:17" ht="15" x14ac:dyDescent="0.2">
      <c r="A46" s="908" t="s">
        <v>41</v>
      </c>
      <c r="B46" s="908"/>
      <c r="C46" s="908"/>
      <c r="D46" s="908"/>
      <c r="E46" s="908"/>
      <c r="F46" s="908"/>
      <c r="G46" s="908"/>
      <c r="H46" s="908"/>
      <c r="I46" s="908"/>
      <c r="J46" s="908"/>
      <c r="K46" s="908"/>
      <c r="L46" s="908"/>
      <c r="M46" s="908"/>
      <c r="N46" s="908"/>
      <c r="O46" s="908"/>
      <c r="P46" s="908"/>
      <c r="Q46" s="908"/>
    </row>
    <row r="47" spans="1:17" x14ac:dyDescent="0.2">
      <c r="A47" s="909" t="s">
        <v>42</v>
      </c>
      <c r="B47" s="911" t="s">
        <v>43</v>
      </c>
      <c r="C47" s="912" t="s">
        <v>8</v>
      </c>
      <c r="D47" s="912"/>
      <c r="E47" s="912"/>
      <c r="F47" s="912"/>
      <c r="G47" s="912"/>
      <c r="H47" s="912"/>
      <c r="I47" s="912"/>
      <c r="J47" s="912"/>
      <c r="K47" s="912"/>
      <c r="L47" s="912"/>
      <c r="M47" s="912"/>
      <c r="N47" s="912"/>
      <c r="O47" s="912"/>
      <c r="P47" s="912"/>
      <c r="Q47" s="912"/>
    </row>
    <row r="48" spans="1:17" ht="38.25" x14ac:dyDescent="0.2">
      <c r="A48" s="910"/>
      <c r="B48" s="912"/>
      <c r="C48" s="36" t="s">
        <v>44</v>
      </c>
      <c r="D48" s="36" t="s">
        <v>45</v>
      </c>
      <c r="E48" s="36" t="s">
        <v>46</v>
      </c>
      <c r="F48" s="36" t="s">
        <v>47</v>
      </c>
      <c r="G48" s="36" t="s">
        <v>48</v>
      </c>
      <c r="H48" s="36" t="s">
        <v>49</v>
      </c>
      <c r="I48" s="36" t="s">
        <v>50</v>
      </c>
      <c r="J48" s="36" t="s">
        <v>51</v>
      </c>
      <c r="K48" s="36" t="s">
        <v>52</v>
      </c>
      <c r="L48" s="36" t="s">
        <v>53</v>
      </c>
      <c r="M48" s="36" t="s">
        <v>10</v>
      </c>
      <c r="N48" s="36" t="s">
        <v>11</v>
      </c>
      <c r="O48" s="36" t="s">
        <v>12</v>
      </c>
      <c r="P48" s="36" t="s">
        <v>54</v>
      </c>
      <c r="Q48" s="36" t="s">
        <v>55</v>
      </c>
    </row>
    <row r="49" spans="1:17" x14ac:dyDescent="0.2">
      <c r="A49" s="906" t="s">
        <v>56</v>
      </c>
      <c r="B49" s="907"/>
      <c r="C49" s="37">
        <v>12</v>
      </c>
      <c r="D49" s="37">
        <v>10</v>
      </c>
      <c r="E49" s="37">
        <v>8</v>
      </c>
      <c r="F49" s="37">
        <v>6</v>
      </c>
      <c r="G49" s="37">
        <v>4</v>
      </c>
      <c r="H49" s="37">
        <v>3</v>
      </c>
      <c r="I49" s="37">
        <v>2</v>
      </c>
      <c r="J49" s="37" t="s">
        <v>57</v>
      </c>
      <c r="K49" s="37"/>
      <c r="L49" s="37"/>
      <c r="M49" s="37"/>
      <c r="N49" s="37"/>
      <c r="O49" s="37"/>
      <c r="P49" s="37"/>
      <c r="Q49" s="37"/>
    </row>
    <row r="50" spans="1:17" x14ac:dyDescent="0.2">
      <c r="A50" s="906" t="s">
        <v>58</v>
      </c>
      <c r="B50" s="907"/>
      <c r="C50" s="37">
        <v>10</v>
      </c>
      <c r="D50" s="37">
        <v>7</v>
      </c>
      <c r="E50" s="37">
        <v>5</v>
      </c>
      <c r="F50" s="37">
        <v>4</v>
      </c>
      <c r="G50" s="37">
        <v>3</v>
      </c>
      <c r="H50" s="37">
        <v>1</v>
      </c>
      <c r="I50" s="37">
        <v>0</v>
      </c>
      <c r="J50" s="37">
        <v>0</v>
      </c>
      <c r="K50" s="37"/>
      <c r="L50" s="37"/>
      <c r="M50" s="37"/>
      <c r="N50" s="37"/>
      <c r="O50" s="37"/>
      <c r="P50" s="37"/>
      <c r="Q50" s="37"/>
    </row>
    <row r="51" spans="1:17" x14ac:dyDescent="0.2">
      <c r="A51" s="32">
        <v>1998</v>
      </c>
      <c r="B51" s="38">
        <v>0.16700000000000001</v>
      </c>
      <c r="C51" s="39">
        <v>3577000</v>
      </c>
      <c r="D51" s="39">
        <v>2726000</v>
      </c>
      <c r="E51" s="39">
        <v>2300000</v>
      </c>
      <c r="F51" s="39">
        <v>1959000</v>
      </c>
      <c r="G51" s="39">
        <v>1767000</v>
      </c>
      <c r="H51" s="39">
        <v>1576000</v>
      </c>
      <c r="I51" s="39">
        <v>1192000</v>
      </c>
      <c r="J51" s="39">
        <v>1124000</v>
      </c>
      <c r="K51" s="39">
        <v>738000</v>
      </c>
      <c r="L51" s="39">
        <v>648000</v>
      </c>
      <c r="M51" s="39">
        <f>(1020000+630000+477000+415000)</f>
        <v>2542000</v>
      </c>
      <c r="N51" s="39">
        <v>505000</v>
      </c>
      <c r="O51" s="39">
        <v>345000</v>
      </c>
      <c r="P51" s="39">
        <v>409000</v>
      </c>
      <c r="Q51" s="39">
        <f>1800000</f>
        <v>1800000</v>
      </c>
    </row>
    <row r="52" spans="1:17" x14ac:dyDescent="0.2">
      <c r="A52" s="32">
        <v>1999</v>
      </c>
      <c r="B52" s="38">
        <v>9.2299999999999993E-2</v>
      </c>
      <c r="C52" s="39">
        <f t="shared" ref="C52:Q65" si="0">ROUND(C51*(1+$B51),0)</f>
        <v>4174359</v>
      </c>
      <c r="D52" s="39">
        <f t="shared" si="0"/>
        <v>3181242</v>
      </c>
      <c r="E52" s="39">
        <f t="shared" si="0"/>
        <v>2684100</v>
      </c>
      <c r="F52" s="39">
        <f t="shared" si="0"/>
        <v>2286153</v>
      </c>
      <c r="G52" s="39">
        <f t="shared" si="0"/>
        <v>2062089</v>
      </c>
      <c r="H52" s="39">
        <f t="shared" si="0"/>
        <v>1839192</v>
      </c>
      <c r="I52" s="39">
        <f t="shared" si="0"/>
        <v>1391064</v>
      </c>
      <c r="J52" s="39">
        <f t="shared" si="0"/>
        <v>1311708</v>
      </c>
      <c r="K52" s="39">
        <f t="shared" si="0"/>
        <v>861246</v>
      </c>
      <c r="L52" s="39">
        <f t="shared" si="0"/>
        <v>756216</v>
      </c>
      <c r="M52" s="39">
        <f t="shared" si="0"/>
        <v>2966514</v>
      </c>
      <c r="N52" s="39">
        <f t="shared" si="0"/>
        <v>589335</v>
      </c>
      <c r="O52" s="39">
        <f t="shared" si="0"/>
        <v>402615</v>
      </c>
      <c r="P52" s="39">
        <f t="shared" si="0"/>
        <v>477303</v>
      </c>
      <c r="Q52" s="39">
        <f t="shared" si="0"/>
        <v>2100600</v>
      </c>
    </row>
    <row r="53" spans="1:17" x14ac:dyDescent="0.2">
      <c r="A53" s="32">
        <v>2000</v>
      </c>
      <c r="B53" s="38">
        <v>8.7499999999999994E-2</v>
      </c>
      <c r="C53" s="39">
        <f t="shared" ref="C53:C60" si="1">ROUND(C52*(1+B52),0)</f>
        <v>4559652</v>
      </c>
      <c r="D53" s="39">
        <f t="shared" si="0"/>
        <v>3474871</v>
      </c>
      <c r="E53" s="39">
        <f t="shared" si="0"/>
        <v>2931842</v>
      </c>
      <c r="F53" s="39">
        <f t="shared" si="0"/>
        <v>2497165</v>
      </c>
      <c r="G53" s="39">
        <f t="shared" si="0"/>
        <v>2252420</v>
      </c>
      <c r="H53" s="39">
        <f t="shared" si="0"/>
        <v>2008949</v>
      </c>
      <c r="I53" s="39">
        <f t="shared" si="0"/>
        <v>1519459</v>
      </c>
      <c r="J53" s="39">
        <f t="shared" si="0"/>
        <v>1432779</v>
      </c>
      <c r="K53" s="39">
        <f t="shared" si="0"/>
        <v>940739</v>
      </c>
      <c r="L53" s="39">
        <f t="shared" si="0"/>
        <v>826015</v>
      </c>
      <c r="M53" s="39">
        <f t="shared" si="0"/>
        <v>3240323</v>
      </c>
      <c r="N53" s="39">
        <f t="shared" si="0"/>
        <v>643731</v>
      </c>
      <c r="O53" s="39">
        <f t="shared" si="0"/>
        <v>439776</v>
      </c>
      <c r="P53" s="39">
        <f t="shared" si="0"/>
        <v>521358</v>
      </c>
      <c r="Q53" s="39">
        <f t="shared" si="0"/>
        <v>2294485</v>
      </c>
    </row>
    <row r="54" spans="1:17" x14ac:dyDescent="0.2">
      <c r="A54" s="32">
        <v>2001</v>
      </c>
      <c r="B54" s="38">
        <v>7.6499999999999999E-2</v>
      </c>
      <c r="C54" s="39">
        <f t="shared" si="1"/>
        <v>4958622</v>
      </c>
      <c r="D54" s="39">
        <f t="shared" si="0"/>
        <v>3778922</v>
      </c>
      <c r="E54" s="39">
        <f t="shared" si="0"/>
        <v>3188378</v>
      </c>
      <c r="F54" s="39">
        <f t="shared" si="0"/>
        <v>2715667</v>
      </c>
      <c r="G54" s="39">
        <f t="shared" si="0"/>
        <v>2449507</v>
      </c>
      <c r="H54" s="39">
        <f t="shared" si="0"/>
        <v>2184732</v>
      </c>
      <c r="I54" s="39">
        <f t="shared" si="0"/>
        <v>1652412</v>
      </c>
      <c r="J54" s="39">
        <f t="shared" si="0"/>
        <v>1558147</v>
      </c>
      <c r="K54" s="39">
        <f t="shared" si="0"/>
        <v>1023054</v>
      </c>
      <c r="L54" s="39">
        <f t="shared" si="0"/>
        <v>898291</v>
      </c>
      <c r="M54" s="39">
        <f t="shared" si="0"/>
        <v>3523851</v>
      </c>
      <c r="N54" s="39">
        <f t="shared" si="0"/>
        <v>700057</v>
      </c>
      <c r="O54" s="39">
        <f t="shared" si="0"/>
        <v>478256</v>
      </c>
      <c r="P54" s="39">
        <f t="shared" si="0"/>
        <v>566977</v>
      </c>
      <c r="Q54" s="39">
        <f t="shared" si="0"/>
        <v>2495252</v>
      </c>
    </row>
    <row r="55" spans="1:17" x14ac:dyDescent="0.2">
      <c r="A55" s="32">
        <v>2002</v>
      </c>
      <c r="B55" s="38">
        <v>6.9900000000000004E-2</v>
      </c>
      <c r="C55" s="39">
        <f t="shared" si="1"/>
        <v>5337957</v>
      </c>
      <c r="D55" s="39">
        <f t="shared" si="0"/>
        <v>4068010</v>
      </c>
      <c r="E55" s="39">
        <f t="shared" si="0"/>
        <v>3432289</v>
      </c>
      <c r="F55" s="39">
        <f t="shared" si="0"/>
        <v>2923416</v>
      </c>
      <c r="G55" s="39">
        <f t="shared" si="0"/>
        <v>2636894</v>
      </c>
      <c r="H55" s="39">
        <f t="shared" si="0"/>
        <v>2351864</v>
      </c>
      <c r="I55" s="39">
        <f t="shared" si="0"/>
        <v>1778822</v>
      </c>
      <c r="J55" s="39">
        <f t="shared" si="0"/>
        <v>1677345</v>
      </c>
      <c r="K55" s="39">
        <f t="shared" si="0"/>
        <v>1101318</v>
      </c>
      <c r="L55" s="39">
        <f t="shared" si="0"/>
        <v>967010</v>
      </c>
      <c r="M55" s="39">
        <f t="shared" si="0"/>
        <v>3793426</v>
      </c>
      <c r="N55" s="39">
        <f t="shared" si="0"/>
        <v>753611</v>
      </c>
      <c r="O55" s="39">
        <f t="shared" si="0"/>
        <v>514843</v>
      </c>
      <c r="P55" s="39">
        <f t="shared" si="0"/>
        <v>610351</v>
      </c>
      <c r="Q55" s="39">
        <f t="shared" si="0"/>
        <v>2686139</v>
      </c>
    </row>
    <row r="56" spans="1:17" x14ac:dyDescent="0.2">
      <c r="A56" s="32">
        <v>2003</v>
      </c>
      <c r="B56" s="38">
        <v>6.4899999999999999E-2</v>
      </c>
      <c r="C56" s="39">
        <f t="shared" si="1"/>
        <v>5711080</v>
      </c>
      <c r="D56" s="39">
        <f t="shared" si="0"/>
        <v>4352364</v>
      </c>
      <c r="E56" s="39">
        <f t="shared" si="0"/>
        <v>3672206</v>
      </c>
      <c r="F56" s="39">
        <f t="shared" si="0"/>
        <v>3127763</v>
      </c>
      <c r="G56" s="39">
        <f t="shared" si="0"/>
        <v>2821213</v>
      </c>
      <c r="H56" s="39">
        <f t="shared" si="0"/>
        <v>2516259</v>
      </c>
      <c r="I56" s="39">
        <f t="shared" si="0"/>
        <v>1903162</v>
      </c>
      <c r="J56" s="39">
        <f t="shared" si="0"/>
        <v>1794591</v>
      </c>
      <c r="K56" s="39">
        <f t="shared" si="0"/>
        <v>1178300</v>
      </c>
      <c r="L56" s="39">
        <f t="shared" si="0"/>
        <v>1034604</v>
      </c>
      <c r="M56" s="39">
        <f t="shared" si="0"/>
        <v>4058586</v>
      </c>
      <c r="N56" s="39">
        <f t="shared" si="0"/>
        <v>806288</v>
      </c>
      <c r="O56" s="39">
        <f t="shared" si="0"/>
        <v>550831</v>
      </c>
      <c r="P56" s="39">
        <f t="shared" si="0"/>
        <v>653015</v>
      </c>
      <c r="Q56" s="39">
        <f t="shared" si="0"/>
        <v>2873900</v>
      </c>
    </row>
    <row r="57" spans="1:17" x14ac:dyDescent="0.2">
      <c r="A57" s="32">
        <v>2004</v>
      </c>
      <c r="B57" s="38">
        <v>5.5E-2</v>
      </c>
      <c r="C57" s="39">
        <f t="shared" si="1"/>
        <v>6081729</v>
      </c>
      <c r="D57" s="39">
        <f t="shared" si="0"/>
        <v>4634832</v>
      </c>
      <c r="E57" s="39">
        <f t="shared" si="0"/>
        <v>3910532</v>
      </c>
      <c r="F57" s="39">
        <f t="shared" si="0"/>
        <v>3330755</v>
      </c>
      <c r="G57" s="39">
        <f t="shared" si="0"/>
        <v>3004310</v>
      </c>
      <c r="H57" s="39">
        <f t="shared" si="0"/>
        <v>2679564</v>
      </c>
      <c r="I57" s="39">
        <f t="shared" si="0"/>
        <v>2026677</v>
      </c>
      <c r="J57" s="39">
        <f t="shared" si="0"/>
        <v>1911060</v>
      </c>
      <c r="K57" s="39">
        <f t="shared" si="0"/>
        <v>1254772</v>
      </c>
      <c r="L57" s="39">
        <f t="shared" si="0"/>
        <v>1101750</v>
      </c>
      <c r="M57" s="39">
        <f t="shared" si="0"/>
        <v>4321988</v>
      </c>
      <c r="N57" s="39">
        <f t="shared" si="0"/>
        <v>858616</v>
      </c>
      <c r="O57" s="39">
        <f t="shared" si="0"/>
        <v>586580</v>
      </c>
      <c r="P57" s="39">
        <f t="shared" si="0"/>
        <v>695396</v>
      </c>
      <c r="Q57" s="39">
        <f t="shared" si="0"/>
        <v>3060416</v>
      </c>
    </row>
    <row r="58" spans="1:17" x14ac:dyDescent="0.2">
      <c r="A58" s="32">
        <v>2005</v>
      </c>
      <c r="B58" s="38">
        <v>4.8500000000000001E-2</v>
      </c>
      <c r="C58" s="39">
        <f t="shared" si="1"/>
        <v>6416224</v>
      </c>
      <c r="D58" s="39">
        <f t="shared" si="0"/>
        <v>4889748</v>
      </c>
      <c r="E58" s="39">
        <f t="shared" si="0"/>
        <v>4125611</v>
      </c>
      <c r="F58" s="39">
        <f t="shared" si="0"/>
        <v>3513947</v>
      </c>
      <c r="G58" s="39">
        <f t="shared" si="0"/>
        <v>3169547</v>
      </c>
      <c r="H58" s="39">
        <f t="shared" si="0"/>
        <v>2826940</v>
      </c>
      <c r="I58" s="39">
        <f t="shared" si="0"/>
        <v>2138144</v>
      </c>
      <c r="J58" s="39">
        <f t="shared" si="0"/>
        <v>2016168</v>
      </c>
      <c r="K58" s="39">
        <f t="shared" si="0"/>
        <v>1323784</v>
      </c>
      <c r="L58" s="39">
        <f t="shared" si="0"/>
        <v>1162346</v>
      </c>
      <c r="M58" s="39">
        <f t="shared" si="0"/>
        <v>4559697</v>
      </c>
      <c r="N58" s="39">
        <f t="shared" si="0"/>
        <v>905840</v>
      </c>
      <c r="O58" s="39">
        <f t="shared" si="0"/>
        <v>618842</v>
      </c>
      <c r="P58" s="39">
        <f t="shared" si="0"/>
        <v>733643</v>
      </c>
      <c r="Q58" s="39">
        <f t="shared" si="0"/>
        <v>3228739</v>
      </c>
    </row>
    <row r="59" spans="1:17" x14ac:dyDescent="0.2">
      <c r="A59" s="32">
        <v>2006</v>
      </c>
      <c r="B59" s="38">
        <v>4.48E-2</v>
      </c>
      <c r="C59" s="39">
        <f t="shared" si="1"/>
        <v>6727411</v>
      </c>
      <c r="D59" s="39">
        <f t="shared" si="0"/>
        <v>5126901</v>
      </c>
      <c r="E59" s="39">
        <f t="shared" si="0"/>
        <v>4325703</v>
      </c>
      <c r="F59" s="39">
        <f t="shared" si="0"/>
        <v>3684373</v>
      </c>
      <c r="G59" s="39">
        <f t="shared" si="0"/>
        <v>3323270</v>
      </c>
      <c r="H59" s="39">
        <f t="shared" si="0"/>
        <v>2964047</v>
      </c>
      <c r="I59" s="39">
        <f t="shared" si="0"/>
        <v>2241844</v>
      </c>
      <c r="J59" s="39">
        <f t="shared" si="0"/>
        <v>2113952</v>
      </c>
      <c r="K59" s="39">
        <f t="shared" si="0"/>
        <v>1387988</v>
      </c>
      <c r="L59" s="39">
        <f t="shared" si="0"/>
        <v>1218720</v>
      </c>
      <c r="M59" s="39">
        <f t="shared" si="0"/>
        <v>4780842</v>
      </c>
      <c r="N59" s="39">
        <f t="shared" si="0"/>
        <v>949773</v>
      </c>
      <c r="O59" s="39">
        <f t="shared" si="0"/>
        <v>648856</v>
      </c>
      <c r="P59" s="39">
        <f t="shared" si="0"/>
        <v>769225</v>
      </c>
      <c r="Q59" s="39">
        <f t="shared" si="0"/>
        <v>3385333</v>
      </c>
    </row>
    <row r="60" spans="1:17" x14ac:dyDescent="0.2">
      <c r="A60" s="32">
        <v>2007</v>
      </c>
      <c r="B60" s="38">
        <v>5.6899999999999999E-2</v>
      </c>
      <c r="C60" s="39">
        <f t="shared" si="1"/>
        <v>7028799</v>
      </c>
      <c r="D60" s="39">
        <f t="shared" si="0"/>
        <v>5356586</v>
      </c>
      <c r="E60" s="39">
        <f t="shared" si="0"/>
        <v>4519494</v>
      </c>
      <c r="F60" s="39">
        <f t="shared" si="0"/>
        <v>3849433</v>
      </c>
      <c r="G60" s="39">
        <f t="shared" si="0"/>
        <v>3472152</v>
      </c>
      <c r="H60" s="39">
        <f t="shared" si="0"/>
        <v>3096836</v>
      </c>
      <c r="I60" s="39">
        <f t="shared" si="0"/>
        <v>2342279</v>
      </c>
      <c r="J60" s="39">
        <f t="shared" si="0"/>
        <v>2208657</v>
      </c>
      <c r="K60" s="39">
        <f t="shared" si="0"/>
        <v>1450170</v>
      </c>
      <c r="L60" s="39">
        <f t="shared" si="0"/>
        <v>1273319</v>
      </c>
      <c r="M60" s="39">
        <f t="shared" si="0"/>
        <v>4995024</v>
      </c>
      <c r="N60" s="39">
        <f t="shared" si="0"/>
        <v>992323</v>
      </c>
      <c r="O60" s="39">
        <f t="shared" si="0"/>
        <v>677925</v>
      </c>
      <c r="P60" s="39">
        <f t="shared" si="0"/>
        <v>803686</v>
      </c>
      <c r="Q60" s="39">
        <f t="shared" si="0"/>
        <v>3536996</v>
      </c>
    </row>
    <row r="61" spans="1:17" x14ac:dyDescent="0.2">
      <c r="A61" s="32">
        <v>2008</v>
      </c>
      <c r="B61" s="40">
        <v>7.6700000000000004E-2</v>
      </c>
      <c r="C61" s="39">
        <f t="shared" ref="C61:C70" si="2">ROUND(C60*(1+B60),0)</f>
        <v>7428738</v>
      </c>
      <c r="D61" s="39">
        <f t="shared" si="0"/>
        <v>5661376</v>
      </c>
      <c r="E61" s="39">
        <f t="shared" si="0"/>
        <v>4776653</v>
      </c>
      <c r="F61" s="39">
        <f t="shared" si="0"/>
        <v>4068466</v>
      </c>
      <c r="G61" s="39">
        <f t="shared" si="0"/>
        <v>3669717</v>
      </c>
      <c r="H61" s="39">
        <f t="shared" si="0"/>
        <v>3273046</v>
      </c>
      <c r="I61" s="39">
        <f t="shared" si="0"/>
        <v>2475555</v>
      </c>
      <c r="J61" s="39">
        <f t="shared" si="0"/>
        <v>2334330</v>
      </c>
      <c r="K61" s="39">
        <f t="shared" si="0"/>
        <v>1532685</v>
      </c>
      <c r="L61" s="39">
        <f t="shared" si="0"/>
        <v>1345771</v>
      </c>
      <c r="M61" s="39">
        <f t="shared" si="0"/>
        <v>5279241</v>
      </c>
      <c r="N61" s="39">
        <f t="shared" si="0"/>
        <v>1048786</v>
      </c>
      <c r="O61" s="39">
        <f t="shared" si="0"/>
        <v>716499</v>
      </c>
      <c r="P61" s="39">
        <f t="shared" si="0"/>
        <v>849416</v>
      </c>
      <c r="Q61" s="39">
        <f t="shared" si="0"/>
        <v>3738251</v>
      </c>
    </row>
    <row r="62" spans="1:17" x14ac:dyDescent="0.2">
      <c r="A62" s="32">
        <v>2009</v>
      </c>
      <c r="B62" s="41">
        <v>0.02</v>
      </c>
      <c r="C62" s="39">
        <f t="shared" si="2"/>
        <v>7998522</v>
      </c>
      <c r="D62" s="39">
        <f t="shared" si="0"/>
        <v>6095604</v>
      </c>
      <c r="E62" s="39">
        <f t="shared" si="0"/>
        <v>5143022</v>
      </c>
      <c r="F62" s="39">
        <f t="shared" si="0"/>
        <v>4380517</v>
      </c>
      <c r="G62" s="39">
        <f t="shared" si="0"/>
        <v>3951184</v>
      </c>
      <c r="H62" s="39">
        <f t="shared" si="0"/>
        <v>3524089</v>
      </c>
      <c r="I62" s="39">
        <f t="shared" si="0"/>
        <v>2665430</v>
      </c>
      <c r="J62" s="39">
        <f t="shared" si="0"/>
        <v>2513373</v>
      </c>
      <c r="K62" s="39">
        <f t="shared" si="0"/>
        <v>1650242</v>
      </c>
      <c r="L62" s="39">
        <f t="shared" si="0"/>
        <v>1448992</v>
      </c>
      <c r="M62" s="39">
        <f t="shared" si="0"/>
        <v>5684159</v>
      </c>
      <c r="N62" s="39">
        <f t="shared" si="0"/>
        <v>1129228</v>
      </c>
      <c r="O62" s="39">
        <f t="shared" si="0"/>
        <v>771454</v>
      </c>
      <c r="P62" s="39">
        <f t="shared" si="0"/>
        <v>914566</v>
      </c>
      <c r="Q62" s="39">
        <f t="shared" si="0"/>
        <v>4024975</v>
      </c>
    </row>
    <row r="63" spans="1:17" x14ac:dyDescent="0.2">
      <c r="A63" s="32">
        <v>2010</v>
      </c>
      <c r="B63" s="40">
        <v>3.1699999999999999E-2</v>
      </c>
      <c r="C63" s="39">
        <f t="shared" si="2"/>
        <v>8158492</v>
      </c>
      <c r="D63" s="39">
        <f t="shared" si="0"/>
        <v>6217516</v>
      </c>
      <c r="E63" s="39">
        <f t="shared" si="0"/>
        <v>5245882</v>
      </c>
      <c r="F63" s="39">
        <f t="shared" si="0"/>
        <v>4468127</v>
      </c>
      <c r="G63" s="39">
        <f t="shared" si="0"/>
        <v>4030208</v>
      </c>
      <c r="H63" s="39">
        <f t="shared" si="0"/>
        <v>3594571</v>
      </c>
      <c r="I63" s="39">
        <f t="shared" si="0"/>
        <v>2718739</v>
      </c>
      <c r="J63" s="39">
        <f t="shared" si="0"/>
        <v>2563640</v>
      </c>
      <c r="K63" s="39">
        <f t="shared" si="0"/>
        <v>1683247</v>
      </c>
      <c r="L63" s="39">
        <f t="shared" si="0"/>
        <v>1477972</v>
      </c>
      <c r="M63" s="39">
        <f t="shared" si="0"/>
        <v>5797842</v>
      </c>
      <c r="N63" s="39">
        <f t="shared" si="0"/>
        <v>1151813</v>
      </c>
      <c r="O63" s="39">
        <f t="shared" si="0"/>
        <v>786883</v>
      </c>
      <c r="P63" s="39">
        <f t="shared" si="0"/>
        <v>932857</v>
      </c>
      <c r="Q63" s="39">
        <f t="shared" si="0"/>
        <v>4105475</v>
      </c>
    </row>
    <row r="64" spans="1:17" x14ac:dyDescent="0.2">
      <c r="A64" s="32">
        <v>2011</v>
      </c>
      <c r="B64" s="40">
        <v>3.73E-2</v>
      </c>
      <c r="C64" s="39">
        <f t="shared" si="2"/>
        <v>8417116</v>
      </c>
      <c r="D64" s="39">
        <f t="shared" si="0"/>
        <v>6414611</v>
      </c>
      <c r="E64" s="39">
        <f t="shared" si="0"/>
        <v>5412176</v>
      </c>
      <c r="F64" s="39">
        <f t="shared" si="0"/>
        <v>4609767</v>
      </c>
      <c r="G64" s="39">
        <f t="shared" si="0"/>
        <v>4157966</v>
      </c>
      <c r="H64" s="39">
        <f t="shared" si="0"/>
        <v>3708519</v>
      </c>
      <c r="I64" s="39">
        <f t="shared" si="0"/>
        <v>2804923</v>
      </c>
      <c r="J64" s="39">
        <f t="shared" si="0"/>
        <v>2644907</v>
      </c>
      <c r="K64" s="39">
        <f t="shared" si="0"/>
        <v>1736606</v>
      </c>
      <c r="L64" s="39">
        <f t="shared" si="0"/>
        <v>1524824</v>
      </c>
      <c r="M64" s="39">
        <f t="shared" si="0"/>
        <v>5981634</v>
      </c>
      <c r="N64" s="39">
        <f t="shared" si="0"/>
        <v>1188325</v>
      </c>
      <c r="O64" s="39">
        <f t="shared" si="0"/>
        <v>811827</v>
      </c>
      <c r="P64" s="39">
        <f t="shared" si="0"/>
        <v>962429</v>
      </c>
      <c r="Q64" s="39">
        <f t="shared" si="0"/>
        <v>4235619</v>
      </c>
    </row>
    <row r="65" spans="1:17" x14ac:dyDescent="0.2">
      <c r="A65" s="32">
        <v>2012</v>
      </c>
      <c r="B65" s="40">
        <v>2.4400000000000002E-2</v>
      </c>
      <c r="C65" s="39">
        <f t="shared" si="2"/>
        <v>8731074</v>
      </c>
      <c r="D65" s="39">
        <f t="shared" si="0"/>
        <v>6653876</v>
      </c>
      <c r="E65" s="39">
        <f t="shared" si="0"/>
        <v>5614050</v>
      </c>
      <c r="F65" s="39">
        <f t="shared" si="0"/>
        <v>4781711</v>
      </c>
      <c r="G65" s="39">
        <f t="shared" si="0"/>
        <v>4313058</v>
      </c>
      <c r="H65" s="39">
        <f t="shared" si="0"/>
        <v>3846847</v>
      </c>
      <c r="I65" s="39">
        <f t="shared" si="0"/>
        <v>2909547</v>
      </c>
      <c r="J65" s="39">
        <f t="shared" si="0"/>
        <v>2743562</v>
      </c>
      <c r="K65" s="39">
        <f t="shared" si="0"/>
        <v>1801381</v>
      </c>
      <c r="L65" s="39">
        <f t="shared" si="0"/>
        <v>1581700</v>
      </c>
      <c r="M65" s="39">
        <f t="shared" si="0"/>
        <v>6204749</v>
      </c>
      <c r="N65" s="39">
        <f t="shared" si="0"/>
        <v>1232650</v>
      </c>
      <c r="O65" s="39">
        <f t="shared" si="0"/>
        <v>842108</v>
      </c>
      <c r="P65" s="39">
        <f t="shared" si="0"/>
        <v>998328</v>
      </c>
      <c r="Q65" s="39">
        <f t="shared" si="0"/>
        <v>4393608</v>
      </c>
    </row>
    <row r="66" spans="1:17" x14ac:dyDescent="0.2">
      <c r="A66" s="32">
        <v>2013</v>
      </c>
      <c r="B66" s="40">
        <v>1.9400000000000001E-2</v>
      </c>
      <c r="C66" s="39">
        <f t="shared" si="2"/>
        <v>8944112</v>
      </c>
      <c r="D66" s="39">
        <f t="shared" ref="D66:Q66" si="3">ROUND(D65*(1+$B65),0)</f>
        <v>6816231</v>
      </c>
      <c r="E66" s="39">
        <f t="shared" si="3"/>
        <v>5751033</v>
      </c>
      <c r="F66" s="39">
        <f t="shared" si="3"/>
        <v>4898385</v>
      </c>
      <c r="G66" s="39">
        <f t="shared" si="3"/>
        <v>4418297</v>
      </c>
      <c r="H66" s="39">
        <f t="shared" si="3"/>
        <v>3940710</v>
      </c>
      <c r="I66" s="39">
        <f t="shared" si="3"/>
        <v>2980540</v>
      </c>
      <c r="J66" s="39">
        <f t="shared" si="3"/>
        <v>2810505</v>
      </c>
      <c r="K66" s="39">
        <f t="shared" si="3"/>
        <v>1845335</v>
      </c>
      <c r="L66" s="39">
        <f t="shared" si="3"/>
        <v>1620293</v>
      </c>
      <c r="M66" s="39">
        <f t="shared" si="3"/>
        <v>6356145</v>
      </c>
      <c r="N66" s="39">
        <f t="shared" si="3"/>
        <v>1262727</v>
      </c>
      <c r="O66" s="39">
        <f t="shared" si="3"/>
        <v>862655</v>
      </c>
      <c r="P66" s="39">
        <f t="shared" si="3"/>
        <v>1022687</v>
      </c>
      <c r="Q66" s="39">
        <f t="shared" si="3"/>
        <v>4500812</v>
      </c>
    </row>
    <row r="67" spans="1:17" x14ac:dyDescent="0.2">
      <c r="A67" s="32">
        <v>2014</v>
      </c>
      <c r="B67" s="40">
        <v>3.6600000000000001E-2</v>
      </c>
      <c r="C67" s="39">
        <f t="shared" si="2"/>
        <v>9117628</v>
      </c>
      <c r="D67" s="39">
        <f t="shared" ref="D67:Q67" si="4">ROUND(D66*(1+$B66),0)</f>
        <v>6948466</v>
      </c>
      <c r="E67" s="39">
        <f t="shared" si="4"/>
        <v>5862603</v>
      </c>
      <c r="F67" s="39">
        <f t="shared" si="4"/>
        <v>4993414</v>
      </c>
      <c r="G67" s="39">
        <f t="shared" si="4"/>
        <v>4504012</v>
      </c>
      <c r="H67" s="39">
        <f t="shared" si="4"/>
        <v>4017160</v>
      </c>
      <c r="I67" s="39">
        <f t="shared" si="4"/>
        <v>3038362</v>
      </c>
      <c r="J67" s="39">
        <f t="shared" si="4"/>
        <v>2865029</v>
      </c>
      <c r="K67" s="39">
        <f t="shared" si="4"/>
        <v>1881134</v>
      </c>
      <c r="L67" s="39">
        <f t="shared" si="4"/>
        <v>1651727</v>
      </c>
      <c r="M67" s="39">
        <f t="shared" si="4"/>
        <v>6479454</v>
      </c>
      <c r="N67" s="39">
        <f t="shared" si="4"/>
        <v>1287224</v>
      </c>
      <c r="O67" s="39">
        <f t="shared" si="4"/>
        <v>879391</v>
      </c>
      <c r="P67" s="39">
        <f t="shared" si="4"/>
        <v>1042527</v>
      </c>
      <c r="Q67" s="39">
        <f t="shared" si="4"/>
        <v>4588128</v>
      </c>
    </row>
    <row r="68" spans="1:17" x14ac:dyDescent="0.2">
      <c r="A68" s="32">
        <v>2015</v>
      </c>
      <c r="B68" s="40">
        <v>6.7699999999999996E-2</v>
      </c>
      <c r="C68" s="39">
        <f t="shared" si="2"/>
        <v>9451333</v>
      </c>
      <c r="D68" s="39">
        <f t="shared" ref="D68:Q70" si="5">ROUND(D67*(1+$B67),0)</f>
        <v>7202780</v>
      </c>
      <c r="E68" s="39">
        <f t="shared" si="5"/>
        <v>6077174</v>
      </c>
      <c r="F68" s="39">
        <f t="shared" si="5"/>
        <v>5176173</v>
      </c>
      <c r="G68" s="39">
        <f t="shared" si="5"/>
        <v>4668859</v>
      </c>
      <c r="H68" s="39">
        <f t="shared" si="5"/>
        <v>4164188</v>
      </c>
      <c r="I68" s="39">
        <f t="shared" si="5"/>
        <v>3149566</v>
      </c>
      <c r="J68" s="39">
        <f t="shared" si="5"/>
        <v>2969889</v>
      </c>
      <c r="K68" s="39">
        <f t="shared" si="5"/>
        <v>1949984</v>
      </c>
      <c r="L68" s="39">
        <f t="shared" si="5"/>
        <v>1712180</v>
      </c>
      <c r="M68" s="39">
        <f t="shared" si="5"/>
        <v>6716602</v>
      </c>
      <c r="N68" s="39">
        <f t="shared" si="5"/>
        <v>1334336</v>
      </c>
      <c r="O68" s="39">
        <f t="shared" si="5"/>
        <v>911577</v>
      </c>
      <c r="P68" s="39">
        <f t="shared" si="5"/>
        <v>1080683</v>
      </c>
      <c r="Q68" s="39">
        <f t="shared" si="5"/>
        <v>4756053</v>
      </c>
    </row>
    <row r="69" spans="1:17" x14ac:dyDescent="0.2">
      <c r="A69" s="32">
        <v>2016</v>
      </c>
      <c r="B69" s="40">
        <v>5.7500000000000002E-2</v>
      </c>
      <c r="C69" s="39">
        <f t="shared" si="2"/>
        <v>10091188</v>
      </c>
      <c r="D69" s="39">
        <f t="shared" si="5"/>
        <v>7690408</v>
      </c>
      <c r="E69" s="39">
        <f t="shared" si="5"/>
        <v>6488599</v>
      </c>
      <c r="F69" s="39">
        <f t="shared" si="5"/>
        <v>5526600</v>
      </c>
      <c r="G69" s="39">
        <f t="shared" si="5"/>
        <v>4984941</v>
      </c>
      <c r="H69" s="39">
        <f t="shared" si="5"/>
        <v>4446104</v>
      </c>
      <c r="I69" s="39">
        <f t="shared" si="5"/>
        <v>3362792</v>
      </c>
      <c r="J69" s="39">
        <f t="shared" si="5"/>
        <v>3170950</v>
      </c>
      <c r="K69" s="39">
        <f t="shared" si="5"/>
        <v>2081998</v>
      </c>
      <c r="L69" s="39">
        <f t="shared" si="5"/>
        <v>1828095</v>
      </c>
      <c r="M69" s="39">
        <f t="shared" si="5"/>
        <v>7171316</v>
      </c>
      <c r="N69" s="39">
        <f t="shared" si="5"/>
        <v>1424671</v>
      </c>
      <c r="O69" s="39">
        <f t="shared" si="5"/>
        <v>973291</v>
      </c>
      <c r="P69" s="39">
        <f t="shared" si="5"/>
        <v>1153845</v>
      </c>
      <c r="Q69" s="39">
        <f t="shared" si="5"/>
        <v>5078038</v>
      </c>
    </row>
    <row r="70" spans="1:17" x14ac:dyDescent="0.2">
      <c r="A70" s="52">
        <v>2017</v>
      </c>
      <c r="B70" s="40">
        <v>4.0899999999999999E-2</v>
      </c>
      <c r="C70" s="39">
        <f t="shared" si="2"/>
        <v>10671431</v>
      </c>
      <c r="D70" s="39">
        <f t="shared" si="5"/>
        <v>8132606</v>
      </c>
      <c r="E70" s="39">
        <f t="shared" si="5"/>
        <v>6861693</v>
      </c>
      <c r="F70" s="39">
        <f t="shared" si="5"/>
        <v>5844380</v>
      </c>
      <c r="G70" s="39">
        <f t="shared" si="5"/>
        <v>5271575</v>
      </c>
      <c r="H70" s="39">
        <f t="shared" si="5"/>
        <v>4701755</v>
      </c>
      <c r="I70" s="39">
        <f t="shared" si="5"/>
        <v>3556153</v>
      </c>
      <c r="J70" s="39">
        <f t="shared" si="5"/>
        <v>3353280</v>
      </c>
      <c r="K70" s="39">
        <f t="shared" si="5"/>
        <v>2201713</v>
      </c>
      <c r="L70" s="39">
        <f t="shared" si="5"/>
        <v>1933210</v>
      </c>
      <c r="M70" s="39">
        <f t="shared" si="5"/>
        <v>7583667</v>
      </c>
      <c r="N70" s="39">
        <f t="shared" si="5"/>
        <v>1506590</v>
      </c>
      <c r="O70" s="39">
        <f t="shared" si="5"/>
        <v>1029255</v>
      </c>
      <c r="P70" s="39">
        <f t="shared" si="5"/>
        <v>1220191</v>
      </c>
      <c r="Q70" s="39">
        <f t="shared" si="5"/>
        <v>5370025</v>
      </c>
    </row>
    <row r="71" spans="1:17" x14ac:dyDescent="0.2">
      <c r="A71" s="32">
        <v>2018</v>
      </c>
      <c r="B71" s="40">
        <v>3.1800000000000002E-2</v>
      </c>
      <c r="C71" s="39">
        <f t="shared" ref="C71:C76" si="6">ROUND(C70*(1+B70),0)</f>
        <v>11107893</v>
      </c>
      <c r="D71" s="39">
        <f t="shared" ref="D71:Q71" si="7">ROUND(D70*(1+$B70),0)</f>
        <v>8465230</v>
      </c>
      <c r="E71" s="39">
        <f t="shared" si="7"/>
        <v>7142336</v>
      </c>
      <c r="F71" s="39">
        <f t="shared" si="7"/>
        <v>6083415</v>
      </c>
      <c r="G71" s="39">
        <f t="shared" si="7"/>
        <v>5487182</v>
      </c>
      <c r="H71" s="39">
        <f t="shared" si="7"/>
        <v>4894057</v>
      </c>
      <c r="I71" s="39">
        <f t="shared" si="7"/>
        <v>3701600</v>
      </c>
      <c r="J71" s="39">
        <f t="shared" si="7"/>
        <v>3490429</v>
      </c>
      <c r="K71" s="39">
        <f t="shared" si="7"/>
        <v>2291763</v>
      </c>
      <c r="L71" s="39">
        <f t="shared" si="7"/>
        <v>2012278</v>
      </c>
      <c r="M71" s="39">
        <f t="shared" si="7"/>
        <v>7893839</v>
      </c>
      <c r="N71" s="39">
        <f t="shared" si="7"/>
        <v>1568210</v>
      </c>
      <c r="O71" s="39">
        <f t="shared" si="7"/>
        <v>1071352</v>
      </c>
      <c r="P71" s="39">
        <f t="shared" si="7"/>
        <v>1270097</v>
      </c>
      <c r="Q71" s="39">
        <f t="shared" si="7"/>
        <v>5589659</v>
      </c>
    </row>
    <row r="72" spans="1:17" x14ac:dyDescent="0.2">
      <c r="A72" s="52">
        <v>2019</v>
      </c>
      <c r="B72" s="40">
        <v>3.7999999999999999E-2</v>
      </c>
      <c r="C72" s="39">
        <f t="shared" si="6"/>
        <v>11461124</v>
      </c>
      <c r="D72" s="39">
        <f t="shared" ref="D72:Q72" si="8">ROUND(D71*(1+$B71),0)</f>
        <v>8734424</v>
      </c>
      <c r="E72" s="39">
        <f t="shared" si="8"/>
        <v>7369462</v>
      </c>
      <c r="F72" s="39">
        <f t="shared" si="8"/>
        <v>6276868</v>
      </c>
      <c r="G72" s="39">
        <f t="shared" si="8"/>
        <v>5661674</v>
      </c>
      <c r="H72" s="39">
        <f t="shared" si="8"/>
        <v>5049688</v>
      </c>
      <c r="I72" s="39">
        <f t="shared" si="8"/>
        <v>3819311</v>
      </c>
      <c r="J72" s="39">
        <f t="shared" si="8"/>
        <v>3601425</v>
      </c>
      <c r="K72" s="39">
        <f t="shared" si="8"/>
        <v>2364641</v>
      </c>
      <c r="L72" s="39">
        <f t="shared" si="8"/>
        <v>2076268</v>
      </c>
      <c r="M72" s="39">
        <f t="shared" si="8"/>
        <v>8144863</v>
      </c>
      <c r="N72" s="39">
        <f t="shared" si="8"/>
        <v>1618079</v>
      </c>
      <c r="O72" s="39">
        <f t="shared" si="8"/>
        <v>1105421</v>
      </c>
      <c r="P72" s="39">
        <f t="shared" si="8"/>
        <v>1310486</v>
      </c>
      <c r="Q72" s="39">
        <f t="shared" si="8"/>
        <v>5767410</v>
      </c>
    </row>
    <row r="73" spans="1:17" x14ac:dyDescent="0.2">
      <c r="A73" s="32">
        <v>2020</v>
      </c>
      <c r="B73" s="40">
        <v>1.61E-2</v>
      </c>
      <c r="C73" s="39">
        <f t="shared" si="6"/>
        <v>11896647</v>
      </c>
      <c r="D73" s="39">
        <f t="shared" ref="D73:Q73" si="9">ROUND(D72*(1+$B72),0)</f>
        <v>9066332</v>
      </c>
      <c r="E73" s="39">
        <f t="shared" si="9"/>
        <v>7649502</v>
      </c>
      <c r="F73" s="39">
        <f t="shared" si="9"/>
        <v>6515389</v>
      </c>
      <c r="G73" s="39">
        <f t="shared" si="9"/>
        <v>5876818</v>
      </c>
      <c r="H73" s="39">
        <f t="shared" si="9"/>
        <v>5241576</v>
      </c>
      <c r="I73" s="39">
        <f t="shared" si="9"/>
        <v>3964445</v>
      </c>
      <c r="J73" s="39">
        <f t="shared" si="9"/>
        <v>3738279</v>
      </c>
      <c r="K73" s="39">
        <f t="shared" si="9"/>
        <v>2454497</v>
      </c>
      <c r="L73" s="39">
        <f t="shared" si="9"/>
        <v>2155166</v>
      </c>
      <c r="M73" s="39">
        <f t="shared" si="9"/>
        <v>8454368</v>
      </c>
      <c r="N73" s="39">
        <f t="shared" si="9"/>
        <v>1679566</v>
      </c>
      <c r="O73" s="39">
        <f t="shared" si="9"/>
        <v>1147427</v>
      </c>
      <c r="P73" s="39">
        <f t="shared" si="9"/>
        <v>1360284</v>
      </c>
      <c r="Q73" s="39">
        <f t="shared" si="9"/>
        <v>5986572</v>
      </c>
    </row>
    <row r="74" spans="1:17" x14ac:dyDescent="0.2">
      <c r="A74" s="52">
        <v>2021</v>
      </c>
      <c r="B74" s="40">
        <v>5.62E-2</v>
      </c>
      <c r="C74" s="39">
        <f t="shared" si="6"/>
        <v>12088183</v>
      </c>
      <c r="D74" s="39">
        <f t="shared" ref="D74:Q74" si="10">ROUND(D73*(1+$B73),0)</f>
        <v>9212300</v>
      </c>
      <c r="E74" s="39">
        <f t="shared" si="10"/>
        <v>7772659</v>
      </c>
      <c r="F74" s="39">
        <f t="shared" si="10"/>
        <v>6620287</v>
      </c>
      <c r="G74" s="39">
        <f t="shared" si="10"/>
        <v>5971435</v>
      </c>
      <c r="H74" s="39">
        <f t="shared" si="10"/>
        <v>5325965</v>
      </c>
      <c r="I74" s="39">
        <f t="shared" si="10"/>
        <v>4028273</v>
      </c>
      <c r="J74" s="39">
        <f t="shared" si="10"/>
        <v>3798465</v>
      </c>
      <c r="K74" s="39">
        <f t="shared" si="10"/>
        <v>2494014</v>
      </c>
      <c r="L74" s="39">
        <f t="shared" si="10"/>
        <v>2189864</v>
      </c>
      <c r="M74" s="39">
        <f t="shared" si="10"/>
        <v>8590483</v>
      </c>
      <c r="N74" s="39">
        <f t="shared" si="10"/>
        <v>1706607</v>
      </c>
      <c r="O74" s="39">
        <f t="shared" si="10"/>
        <v>1165901</v>
      </c>
      <c r="P74" s="39">
        <f t="shared" si="10"/>
        <v>1382185</v>
      </c>
      <c r="Q74" s="39">
        <f t="shared" si="10"/>
        <v>6082956</v>
      </c>
    </row>
    <row r="75" spans="1:17" x14ac:dyDescent="0.2">
      <c r="A75" s="32">
        <v>2022</v>
      </c>
      <c r="B75" s="40">
        <v>0.13120000000000001</v>
      </c>
      <c r="C75" s="39">
        <f t="shared" si="6"/>
        <v>12767539</v>
      </c>
      <c r="D75" s="39">
        <f t="shared" ref="D75:Q75" si="11">ROUND(D74*(1+$B74),0)</f>
        <v>9730031</v>
      </c>
      <c r="E75" s="39">
        <f t="shared" si="11"/>
        <v>8209482</v>
      </c>
      <c r="F75" s="39">
        <f t="shared" si="11"/>
        <v>6992347</v>
      </c>
      <c r="G75" s="39">
        <f t="shared" si="11"/>
        <v>6307030</v>
      </c>
      <c r="H75" s="39">
        <f t="shared" si="11"/>
        <v>5625284</v>
      </c>
      <c r="I75" s="39">
        <f t="shared" si="11"/>
        <v>4254662</v>
      </c>
      <c r="J75" s="39">
        <f t="shared" si="11"/>
        <v>4011939</v>
      </c>
      <c r="K75" s="39">
        <f t="shared" si="11"/>
        <v>2634178</v>
      </c>
      <c r="L75" s="39">
        <f t="shared" si="11"/>
        <v>2312934</v>
      </c>
      <c r="M75" s="39">
        <f t="shared" si="11"/>
        <v>9073268</v>
      </c>
      <c r="N75" s="39">
        <f t="shared" si="11"/>
        <v>1802518</v>
      </c>
      <c r="O75" s="39">
        <f t="shared" si="11"/>
        <v>1231425</v>
      </c>
      <c r="P75" s="39">
        <f t="shared" si="11"/>
        <v>1459864</v>
      </c>
      <c r="Q75" s="39">
        <f t="shared" si="11"/>
        <v>6424818</v>
      </c>
    </row>
    <row r="76" spans="1:17" x14ac:dyDescent="0.2">
      <c r="A76" s="52">
        <v>2023</v>
      </c>
      <c r="B76" s="720">
        <v>9.2799999999999994E-2</v>
      </c>
      <c r="C76" s="39">
        <f t="shared" si="6"/>
        <v>14442640</v>
      </c>
      <c r="D76" s="39">
        <f t="shared" ref="D76:Q77" si="12">ROUND(D75*(1+$B75),0)</f>
        <v>11006611</v>
      </c>
      <c r="E76" s="39">
        <f t="shared" si="12"/>
        <v>9286566</v>
      </c>
      <c r="F76" s="39">
        <f t="shared" si="12"/>
        <v>7909743</v>
      </c>
      <c r="G76" s="39">
        <f t="shared" si="12"/>
        <v>7134512</v>
      </c>
      <c r="H76" s="39">
        <f t="shared" si="12"/>
        <v>6363321</v>
      </c>
      <c r="I76" s="39">
        <f t="shared" si="12"/>
        <v>4812874</v>
      </c>
      <c r="J76" s="39">
        <f t="shared" si="12"/>
        <v>4538305</v>
      </c>
      <c r="K76" s="39">
        <f t="shared" si="12"/>
        <v>2979782</v>
      </c>
      <c r="L76" s="39">
        <f t="shared" si="12"/>
        <v>2616391</v>
      </c>
      <c r="M76" s="39">
        <f t="shared" si="12"/>
        <v>10263681</v>
      </c>
      <c r="N76" s="39">
        <f t="shared" si="12"/>
        <v>2039008</v>
      </c>
      <c r="O76" s="39">
        <f t="shared" si="12"/>
        <v>1392988</v>
      </c>
      <c r="P76" s="39">
        <f t="shared" si="12"/>
        <v>1651398</v>
      </c>
      <c r="Q76" s="39">
        <f t="shared" si="12"/>
        <v>7267754</v>
      </c>
    </row>
    <row r="77" spans="1:17" x14ac:dyDescent="0.2">
      <c r="A77" s="52">
        <v>2024</v>
      </c>
      <c r="B77" s="52"/>
      <c r="C77" s="39">
        <f t="shared" ref="C77" si="13">ROUND(C76*(1+B76),0)</f>
        <v>15782917</v>
      </c>
      <c r="D77" s="39">
        <f t="shared" si="12"/>
        <v>12028025</v>
      </c>
      <c r="E77" s="39">
        <f t="shared" si="12"/>
        <v>10148359</v>
      </c>
      <c r="F77" s="39">
        <f t="shared" si="12"/>
        <v>8643767</v>
      </c>
      <c r="G77" s="39">
        <f t="shared" si="12"/>
        <v>7796595</v>
      </c>
      <c r="H77" s="39">
        <f t="shared" si="12"/>
        <v>6953837</v>
      </c>
      <c r="I77" s="39">
        <f t="shared" si="12"/>
        <v>5259509</v>
      </c>
      <c r="J77" s="39">
        <f t="shared" si="12"/>
        <v>4959460</v>
      </c>
      <c r="K77" s="39">
        <f t="shared" si="12"/>
        <v>3256306</v>
      </c>
      <c r="L77" s="39">
        <f t="shared" si="12"/>
        <v>2859192</v>
      </c>
      <c r="M77" s="39">
        <f t="shared" si="12"/>
        <v>11216151</v>
      </c>
      <c r="N77" s="39">
        <f t="shared" si="12"/>
        <v>2228228</v>
      </c>
      <c r="O77" s="39">
        <f t="shared" si="12"/>
        <v>1522257</v>
      </c>
      <c r="P77" s="39">
        <f t="shared" si="12"/>
        <v>1804648</v>
      </c>
      <c r="Q77" s="39">
        <f t="shared" si="12"/>
        <v>7942202</v>
      </c>
    </row>
    <row r="78" spans="1:17" x14ac:dyDescent="0.2">
      <c r="A78" s="22"/>
      <c r="B78" s="22"/>
      <c r="C78" s="22"/>
      <c r="D78" s="22"/>
      <c r="E78" s="22"/>
      <c r="F78" s="22"/>
      <c r="G78" s="22"/>
      <c r="H78" s="22"/>
      <c r="I78" s="22"/>
      <c r="J78" s="22"/>
      <c r="K78" s="22"/>
    </row>
    <row r="79" spans="1:17" x14ac:dyDescent="0.2">
      <c r="A79" s="22"/>
      <c r="B79" s="22"/>
      <c r="C79" s="22"/>
      <c r="D79" s="22"/>
      <c r="E79" s="22"/>
      <c r="F79" s="22"/>
      <c r="G79" s="22"/>
      <c r="H79" s="22"/>
      <c r="I79" s="22"/>
      <c r="J79" s="22"/>
      <c r="K79" s="22"/>
    </row>
    <row r="80" spans="1:17" x14ac:dyDescent="0.2">
      <c r="A80" s="22"/>
      <c r="B80" s="22"/>
      <c r="C80" s="22"/>
      <c r="D80" s="22"/>
      <c r="E80" s="22"/>
      <c r="F80" s="22"/>
      <c r="G80" s="22"/>
      <c r="H80" s="22"/>
      <c r="I80" s="22"/>
      <c r="J80" s="22"/>
      <c r="K80" s="22"/>
    </row>
    <row r="81" spans="1:11" x14ac:dyDescent="0.2">
      <c r="A81" s="22"/>
      <c r="B81" s="22"/>
      <c r="C81" s="22"/>
      <c r="D81" s="22"/>
      <c r="E81" s="22"/>
      <c r="F81" s="22"/>
      <c r="G81" s="22"/>
      <c r="H81" s="22"/>
      <c r="I81" s="22"/>
      <c r="J81" s="22"/>
      <c r="K81" s="22"/>
    </row>
    <row r="82" spans="1:11" x14ac:dyDescent="0.2">
      <c r="A82" s="22"/>
      <c r="B82" s="22"/>
      <c r="C82" s="22"/>
      <c r="D82" s="22"/>
      <c r="E82" s="22"/>
      <c r="F82" s="22"/>
      <c r="G82" s="22"/>
      <c r="H82" s="22"/>
      <c r="I82" s="22"/>
      <c r="J82" s="22"/>
      <c r="K82" s="22"/>
    </row>
    <row r="83" spans="1:11" x14ac:dyDescent="0.2">
      <c r="A83" s="22"/>
      <c r="B83" s="22"/>
      <c r="C83" s="22"/>
      <c r="D83" s="22"/>
      <c r="E83" s="22"/>
      <c r="F83" s="22"/>
      <c r="G83" s="22"/>
      <c r="H83" s="22"/>
      <c r="I83" s="22"/>
      <c r="J83" s="22"/>
      <c r="K83" s="22"/>
    </row>
    <row r="84" spans="1:11" x14ac:dyDescent="0.2">
      <c r="A84" s="22"/>
      <c r="B84" s="22"/>
      <c r="C84" s="22"/>
      <c r="D84" s="22"/>
      <c r="E84" s="22"/>
      <c r="F84" s="22"/>
      <c r="G84" s="22"/>
      <c r="H84" s="22"/>
      <c r="I84" s="22"/>
      <c r="J84" s="22"/>
      <c r="K84" s="22"/>
    </row>
    <row r="85" spans="1:11" x14ac:dyDescent="0.2">
      <c r="A85" s="22"/>
      <c r="B85" s="22"/>
      <c r="C85" s="22"/>
      <c r="D85" s="22"/>
      <c r="E85" s="22"/>
      <c r="F85" s="22"/>
      <c r="G85" s="22"/>
      <c r="H85" s="22"/>
      <c r="I85" s="22"/>
      <c r="J85" s="22"/>
      <c r="K85" s="22"/>
    </row>
    <row r="86" spans="1:11" x14ac:dyDescent="0.2">
      <c r="A86" s="22"/>
      <c r="B86" s="22"/>
      <c r="C86" s="22"/>
      <c r="D86" s="22"/>
      <c r="E86" s="22"/>
      <c r="F86" s="22"/>
      <c r="G86" s="22"/>
      <c r="H86" s="22"/>
      <c r="I86" s="22"/>
      <c r="J86" s="22"/>
      <c r="K86" s="22"/>
    </row>
    <row r="87" spans="1:11" x14ac:dyDescent="0.2">
      <c r="A87" s="22"/>
      <c r="B87" s="22"/>
      <c r="C87" s="22"/>
      <c r="D87" s="22"/>
      <c r="E87" s="22"/>
      <c r="F87" s="22"/>
      <c r="G87" s="22"/>
      <c r="H87" s="22"/>
      <c r="I87" s="22"/>
      <c r="J87" s="22"/>
      <c r="K87" s="22"/>
    </row>
    <row r="88" spans="1:11" x14ac:dyDescent="0.2">
      <c r="A88" s="22"/>
      <c r="B88" s="22"/>
      <c r="C88" s="22"/>
      <c r="D88" s="22"/>
      <c r="E88" s="22"/>
      <c r="F88" s="22"/>
      <c r="G88" s="22"/>
      <c r="H88" s="22"/>
      <c r="I88" s="22"/>
      <c r="J88" s="22"/>
      <c r="K88" s="22"/>
    </row>
    <row r="89" spans="1:11" x14ac:dyDescent="0.2">
      <c r="A89" s="22"/>
      <c r="B89" s="22"/>
      <c r="C89" s="22"/>
      <c r="D89" s="22"/>
      <c r="E89" s="22"/>
      <c r="F89" s="22"/>
      <c r="G89" s="22"/>
      <c r="H89" s="22"/>
      <c r="I89" s="22"/>
      <c r="J89" s="22"/>
      <c r="K89" s="22"/>
    </row>
    <row r="90" spans="1:11" x14ac:dyDescent="0.2">
      <c r="A90" s="22"/>
      <c r="B90" s="22"/>
      <c r="C90" s="22"/>
      <c r="D90" s="22"/>
      <c r="E90" s="22"/>
      <c r="F90" s="22"/>
      <c r="G90" s="22"/>
      <c r="H90" s="22"/>
      <c r="I90" s="22"/>
      <c r="J90" s="22"/>
      <c r="K90" s="22"/>
    </row>
    <row r="91" spans="1:11" x14ac:dyDescent="0.2">
      <c r="A91" s="22"/>
      <c r="B91" s="22"/>
      <c r="C91" s="22"/>
      <c r="D91" s="22"/>
      <c r="E91" s="22"/>
      <c r="F91" s="22"/>
      <c r="G91" s="22"/>
      <c r="H91" s="22"/>
      <c r="I91" s="22"/>
      <c r="J91" s="22"/>
      <c r="K91" s="22"/>
    </row>
    <row r="92" spans="1:11" x14ac:dyDescent="0.2">
      <c r="A92" s="22"/>
      <c r="B92" s="22"/>
      <c r="C92" s="22"/>
      <c r="D92" s="22"/>
      <c r="E92" s="22"/>
      <c r="F92" s="22"/>
      <c r="G92" s="22"/>
      <c r="H92" s="22"/>
      <c r="I92" s="22"/>
      <c r="J92" s="22"/>
      <c r="K92" s="22"/>
    </row>
    <row r="93" spans="1:11" x14ac:dyDescent="0.2">
      <c r="A93" s="22"/>
      <c r="B93" s="22"/>
      <c r="C93" s="22"/>
      <c r="D93" s="22"/>
      <c r="E93" s="22"/>
      <c r="F93" s="22"/>
      <c r="G93" s="22"/>
      <c r="H93" s="22"/>
      <c r="I93" s="22"/>
      <c r="J93" s="22"/>
      <c r="K93" s="22"/>
    </row>
    <row r="94" spans="1:11" x14ac:dyDescent="0.2">
      <c r="A94" s="22"/>
      <c r="B94" s="22"/>
      <c r="C94" s="22"/>
      <c r="D94" s="22"/>
      <c r="E94" s="22"/>
      <c r="F94" s="22"/>
      <c r="G94" s="22"/>
      <c r="H94" s="22"/>
      <c r="I94" s="22"/>
      <c r="J94" s="22"/>
      <c r="K94" s="22"/>
    </row>
    <row r="95" spans="1:11" x14ac:dyDescent="0.2">
      <c r="A95" s="22"/>
      <c r="B95" s="22"/>
      <c r="C95" s="22"/>
      <c r="D95" s="22"/>
      <c r="E95" s="22"/>
      <c r="F95" s="22"/>
      <c r="G95" s="22"/>
      <c r="H95" s="22"/>
      <c r="I95" s="22"/>
      <c r="J95" s="22"/>
      <c r="K95" s="22"/>
    </row>
    <row r="96" spans="1:11" x14ac:dyDescent="0.2">
      <c r="A96" s="22"/>
      <c r="B96" s="22"/>
      <c r="C96" s="22"/>
      <c r="D96" s="22"/>
      <c r="E96" s="22"/>
      <c r="F96" s="22"/>
      <c r="G96" s="22"/>
      <c r="H96" s="22"/>
      <c r="I96" s="22"/>
      <c r="J96" s="22"/>
      <c r="K96" s="22"/>
    </row>
    <row r="97" spans="1:11" x14ac:dyDescent="0.2">
      <c r="A97" s="22"/>
      <c r="B97" s="22"/>
      <c r="C97" s="22"/>
      <c r="D97" s="22"/>
      <c r="E97" s="22"/>
      <c r="F97" s="22"/>
      <c r="G97" s="22"/>
      <c r="H97" s="22"/>
      <c r="I97" s="22"/>
      <c r="J97" s="22"/>
      <c r="K97" s="22"/>
    </row>
    <row r="98" spans="1:11" x14ac:dyDescent="0.2">
      <c r="A98" s="22"/>
      <c r="B98" s="22"/>
      <c r="C98" s="22"/>
      <c r="D98" s="22"/>
      <c r="E98" s="22"/>
      <c r="F98" s="22"/>
      <c r="G98" s="22"/>
      <c r="H98" s="22"/>
      <c r="I98" s="22"/>
      <c r="J98" s="22"/>
      <c r="K98" s="22"/>
    </row>
    <row r="99" spans="1:11" x14ac:dyDescent="0.2">
      <c r="A99" s="22"/>
      <c r="B99" s="22"/>
      <c r="C99" s="22"/>
      <c r="D99" s="22"/>
      <c r="E99" s="22"/>
      <c r="F99" s="22"/>
      <c r="G99" s="22"/>
      <c r="H99" s="22"/>
      <c r="I99" s="22"/>
      <c r="J99" s="22"/>
      <c r="K99" s="22"/>
    </row>
    <row r="100" spans="1:11" x14ac:dyDescent="0.2">
      <c r="A100" s="22"/>
      <c r="B100" s="22"/>
      <c r="C100" s="22"/>
      <c r="D100" s="22"/>
      <c r="E100" s="22"/>
      <c r="F100" s="22"/>
      <c r="G100" s="22"/>
      <c r="H100" s="22"/>
      <c r="I100" s="22"/>
      <c r="J100" s="22"/>
      <c r="K100" s="22"/>
    </row>
    <row r="101" spans="1:11" x14ac:dyDescent="0.2">
      <c r="A101" s="22"/>
      <c r="B101" s="22"/>
      <c r="C101" s="22"/>
      <c r="D101" s="22"/>
      <c r="E101" s="22"/>
      <c r="F101" s="22"/>
      <c r="G101" s="22"/>
      <c r="H101" s="22"/>
      <c r="I101" s="22"/>
      <c r="J101" s="22"/>
      <c r="K101" s="22"/>
    </row>
    <row r="102" spans="1:11" x14ac:dyDescent="0.2">
      <c r="A102" s="22"/>
      <c r="B102" s="22"/>
      <c r="C102" s="22"/>
      <c r="D102" s="22"/>
      <c r="E102" s="22"/>
      <c r="F102" s="22"/>
      <c r="G102" s="22"/>
      <c r="H102" s="22"/>
      <c r="I102" s="22"/>
      <c r="J102" s="22"/>
      <c r="K102" s="22"/>
    </row>
    <row r="103" spans="1:11" x14ac:dyDescent="0.2">
      <c r="A103" s="22"/>
      <c r="B103" s="22"/>
      <c r="C103" s="22"/>
      <c r="D103" s="22"/>
      <c r="E103" s="22"/>
      <c r="F103" s="22"/>
      <c r="G103" s="22"/>
      <c r="H103" s="22"/>
      <c r="I103" s="22"/>
      <c r="J103" s="22"/>
      <c r="K103" s="22"/>
    </row>
    <row r="104" spans="1:11" x14ac:dyDescent="0.2">
      <c r="A104" s="22"/>
      <c r="B104" s="22"/>
      <c r="C104" s="22"/>
      <c r="D104" s="22"/>
      <c r="E104" s="22"/>
      <c r="F104" s="22"/>
      <c r="G104" s="22"/>
      <c r="H104" s="22"/>
      <c r="I104" s="22"/>
      <c r="J104" s="22"/>
      <c r="K104" s="22"/>
    </row>
    <row r="105" spans="1:11" x14ac:dyDescent="0.2">
      <c r="A105" s="22"/>
      <c r="B105" s="22"/>
      <c r="C105" s="22"/>
      <c r="D105" s="22"/>
      <c r="E105" s="22"/>
      <c r="F105" s="22"/>
      <c r="G105" s="22"/>
      <c r="H105" s="22"/>
      <c r="I105" s="22"/>
      <c r="J105" s="22"/>
      <c r="K105" s="22"/>
    </row>
    <row r="106" spans="1:11" x14ac:dyDescent="0.2">
      <c r="A106" s="22"/>
      <c r="B106" s="22"/>
      <c r="C106" s="22"/>
      <c r="D106" s="22"/>
      <c r="E106" s="22"/>
      <c r="F106" s="22"/>
      <c r="G106" s="22"/>
      <c r="H106" s="22"/>
      <c r="I106" s="22"/>
      <c r="J106" s="22"/>
      <c r="K106" s="22"/>
    </row>
    <row r="107" spans="1:11" x14ac:dyDescent="0.2">
      <c r="A107" s="22"/>
      <c r="B107" s="22"/>
      <c r="C107" s="22"/>
      <c r="D107" s="22"/>
      <c r="E107" s="22"/>
      <c r="F107" s="22"/>
      <c r="G107" s="22"/>
      <c r="H107" s="22"/>
      <c r="I107" s="22"/>
      <c r="J107" s="22"/>
      <c r="K107" s="22"/>
    </row>
    <row r="108" spans="1:11" x14ac:dyDescent="0.2">
      <c r="A108" s="22"/>
      <c r="B108" s="22"/>
      <c r="C108" s="22"/>
      <c r="D108" s="22"/>
      <c r="E108" s="22"/>
      <c r="F108" s="22"/>
      <c r="G108" s="22"/>
      <c r="H108" s="22"/>
      <c r="I108" s="22"/>
      <c r="J108" s="22"/>
      <c r="K108" s="22"/>
    </row>
    <row r="109" spans="1:11" x14ac:dyDescent="0.2">
      <c r="A109" s="22"/>
      <c r="B109" s="22"/>
      <c r="C109" s="22"/>
      <c r="D109" s="22"/>
      <c r="E109" s="22"/>
      <c r="F109" s="22"/>
      <c r="G109" s="22"/>
      <c r="H109" s="22"/>
      <c r="I109" s="22"/>
      <c r="J109" s="22"/>
      <c r="K109" s="22"/>
    </row>
    <row r="110" spans="1:11" x14ac:dyDescent="0.2">
      <c r="A110" s="22"/>
      <c r="B110" s="22"/>
      <c r="C110" s="22"/>
      <c r="D110" s="22"/>
      <c r="E110" s="22"/>
      <c r="F110" s="22"/>
      <c r="G110" s="22"/>
      <c r="H110" s="22"/>
      <c r="I110" s="22"/>
      <c r="J110" s="22"/>
      <c r="K110" s="22"/>
    </row>
    <row r="111" spans="1:11" x14ac:dyDescent="0.2">
      <c r="A111" s="22"/>
      <c r="B111" s="22"/>
      <c r="C111" s="22"/>
      <c r="D111" s="22"/>
      <c r="E111" s="22"/>
      <c r="F111" s="22"/>
      <c r="G111" s="22"/>
      <c r="H111" s="22"/>
      <c r="I111" s="22"/>
      <c r="J111" s="22"/>
      <c r="K111" s="22"/>
    </row>
    <row r="112" spans="1:11" x14ac:dyDescent="0.2">
      <c r="A112" s="22"/>
      <c r="B112" s="22"/>
      <c r="C112" s="22"/>
      <c r="D112" s="22"/>
      <c r="E112" s="22"/>
      <c r="F112" s="22"/>
      <c r="G112" s="22"/>
      <c r="H112" s="22"/>
      <c r="I112" s="22"/>
      <c r="J112" s="22"/>
      <c r="K112" s="22"/>
    </row>
    <row r="113" spans="1:11" x14ac:dyDescent="0.2">
      <c r="A113" s="22"/>
      <c r="B113" s="22"/>
      <c r="C113" s="22"/>
      <c r="D113" s="22"/>
      <c r="E113" s="22"/>
      <c r="F113" s="22"/>
      <c r="G113" s="22"/>
      <c r="H113" s="22"/>
      <c r="I113" s="22"/>
      <c r="J113" s="22"/>
      <c r="K113" s="22"/>
    </row>
    <row r="114" spans="1:11" x14ac:dyDescent="0.2">
      <c r="A114" s="22"/>
      <c r="B114" s="22"/>
      <c r="C114" s="22"/>
      <c r="D114" s="22"/>
      <c r="E114" s="22"/>
      <c r="F114" s="22"/>
      <c r="G114" s="22"/>
      <c r="H114" s="22"/>
      <c r="I114" s="22"/>
      <c r="J114" s="22"/>
      <c r="K114" s="22"/>
    </row>
    <row r="115" spans="1:11" x14ac:dyDescent="0.2">
      <c r="A115" s="22"/>
      <c r="B115" s="22"/>
      <c r="C115" s="22"/>
      <c r="D115" s="22"/>
      <c r="E115" s="22"/>
      <c r="F115" s="22"/>
      <c r="G115" s="22"/>
      <c r="H115" s="22"/>
      <c r="I115" s="22"/>
      <c r="J115" s="22"/>
      <c r="K115" s="22"/>
    </row>
    <row r="116" spans="1:11" x14ac:dyDescent="0.2">
      <c r="A116" s="22"/>
      <c r="B116" s="22"/>
      <c r="C116" s="22"/>
      <c r="D116" s="22"/>
      <c r="E116" s="22"/>
      <c r="F116" s="22"/>
      <c r="G116" s="22"/>
      <c r="H116" s="22"/>
      <c r="I116" s="22"/>
      <c r="J116" s="22"/>
      <c r="K116" s="22"/>
    </row>
    <row r="117" spans="1:11" x14ac:dyDescent="0.2">
      <c r="A117" s="22"/>
      <c r="B117" s="22"/>
      <c r="C117" s="22"/>
      <c r="D117" s="22"/>
      <c r="E117" s="22"/>
      <c r="F117" s="22"/>
      <c r="G117" s="22"/>
      <c r="H117" s="22"/>
      <c r="I117" s="22"/>
      <c r="J117" s="22"/>
      <c r="K117" s="22"/>
    </row>
    <row r="118" spans="1:11" x14ac:dyDescent="0.2">
      <c r="A118" s="22"/>
      <c r="B118" s="22"/>
      <c r="C118" s="22"/>
      <c r="D118" s="22"/>
      <c r="E118" s="22"/>
      <c r="F118" s="22"/>
      <c r="G118" s="22"/>
      <c r="H118" s="22"/>
      <c r="I118" s="22"/>
      <c r="J118" s="22"/>
      <c r="K118" s="22"/>
    </row>
    <row r="119" spans="1:11" x14ac:dyDescent="0.2">
      <c r="A119" s="22"/>
      <c r="B119" s="22"/>
      <c r="C119" s="22"/>
      <c r="D119" s="22"/>
      <c r="E119" s="22"/>
      <c r="F119" s="22"/>
      <c r="G119" s="22"/>
      <c r="H119" s="22"/>
      <c r="I119" s="22"/>
      <c r="J119" s="22"/>
      <c r="K119" s="22"/>
    </row>
    <row r="120" spans="1:11" x14ac:dyDescent="0.2">
      <c r="A120" s="22"/>
      <c r="B120" s="22"/>
      <c r="C120" s="22"/>
      <c r="D120" s="22"/>
      <c r="E120" s="22"/>
      <c r="F120" s="22"/>
      <c r="G120" s="22"/>
      <c r="H120" s="22"/>
      <c r="I120" s="22"/>
      <c r="J120" s="22"/>
      <c r="K120" s="22"/>
    </row>
    <row r="121" spans="1:11" x14ac:dyDescent="0.2">
      <c r="A121" s="22"/>
      <c r="B121" s="22"/>
      <c r="C121" s="22"/>
      <c r="D121" s="22"/>
      <c r="E121" s="22"/>
      <c r="F121" s="22"/>
      <c r="G121" s="22"/>
      <c r="H121" s="22"/>
      <c r="I121" s="22"/>
      <c r="J121" s="22"/>
      <c r="K121" s="22"/>
    </row>
    <row r="122" spans="1:11" x14ac:dyDescent="0.2">
      <c r="A122" s="22"/>
      <c r="B122" s="22"/>
      <c r="C122" s="22"/>
      <c r="D122" s="22"/>
      <c r="E122" s="22"/>
      <c r="F122" s="22"/>
      <c r="G122" s="22"/>
      <c r="H122" s="22"/>
      <c r="I122" s="22"/>
      <c r="J122" s="22"/>
      <c r="K122" s="22"/>
    </row>
    <row r="123" spans="1:11" x14ac:dyDescent="0.2">
      <c r="A123" s="22"/>
      <c r="B123" s="22"/>
      <c r="C123" s="22"/>
      <c r="D123" s="22"/>
      <c r="E123" s="22"/>
      <c r="F123" s="22"/>
      <c r="G123" s="22"/>
      <c r="H123" s="22"/>
      <c r="I123" s="22"/>
      <c r="J123" s="22"/>
      <c r="K123" s="22"/>
    </row>
    <row r="124" spans="1:11" x14ac:dyDescent="0.2">
      <c r="A124" s="22"/>
      <c r="B124" s="22"/>
      <c r="C124" s="22"/>
      <c r="D124" s="22"/>
      <c r="E124" s="22"/>
      <c r="F124" s="22"/>
      <c r="G124" s="22"/>
      <c r="H124" s="22"/>
      <c r="I124" s="22"/>
      <c r="J124" s="22"/>
      <c r="K124" s="22"/>
    </row>
    <row r="125" spans="1:11" x14ac:dyDescent="0.2">
      <c r="A125" s="22"/>
      <c r="B125" s="22"/>
      <c r="C125" s="22"/>
      <c r="D125" s="22"/>
      <c r="E125" s="22"/>
      <c r="F125" s="22"/>
      <c r="G125" s="22"/>
      <c r="H125" s="22"/>
      <c r="I125" s="22"/>
      <c r="J125" s="22"/>
      <c r="K125" s="22"/>
    </row>
    <row r="126" spans="1:11" x14ac:dyDescent="0.2">
      <c r="A126" s="22"/>
      <c r="B126" s="22"/>
      <c r="C126" s="22"/>
      <c r="D126" s="22"/>
      <c r="E126" s="22"/>
      <c r="F126" s="22"/>
      <c r="G126" s="22"/>
      <c r="H126" s="22"/>
      <c r="I126" s="22"/>
      <c r="J126" s="22"/>
      <c r="K126" s="22"/>
    </row>
    <row r="127" spans="1:11" x14ac:dyDescent="0.2">
      <c r="A127" s="22"/>
      <c r="B127" s="22"/>
      <c r="C127" s="22"/>
      <c r="D127" s="22"/>
      <c r="E127" s="22"/>
      <c r="F127" s="22"/>
      <c r="G127" s="22"/>
      <c r="H127" s="22"/>
      <c r="I127" s="22"/>
      <c r="J127" s="22"/>
      <c r="K127" s="22"/>
    </row>
    <row r="128" spans="1:11" x14ac:dyDescent="0.2">
      <c r="A128" s="22"/>
      <c r="B128" s="22"/>
      <c r="C128" s="22"/>
      <c r="D128" s="22"/>
      <c r="E128" s="22"/>
      <c r="F128" s="22"/>
      <c r="G128" s="22"/>
      <c r="H128" s="22"/>
      <c r="I128" s="22"/>
      <c r="J128" s="22"/>
      <c r="K128" s="22"/>
    </row>
    <row r="129" spans="1:11" x14ac:dyDescent="0.2">
      <c r="A129" s="22"/>
      <c r="B129" s="22"/>
      <c r="C129" s="22"/>
      <c r="D129" s="22"/>
      <c r="E129" s="22"/>
      <c r="F129" s="22"/>
      <c r="G129" s="22"/>
      <c r="H129" s="22"/>
      <c r="I129" s="22"/>
      <c r="J129" s="22"/>
      <c r="K129" s="22"/>
    </row>
    <row r="130" spans="1:11" x14ac:dyDescent="0.2">
      <c r="A130" s="22"/>
      <c r="B130" s="22"/>
      <c r="C130" s="22"/>
      <c r="D130" s="22"/>
      <c r="E130" s="22"/>
      <c r="F130" s="22"/>
      <c r="G130" s="22"/>
      <c r="H130" s="22"/>
      <c r="I130" s="22"/>
      <c r="J130" s="22"/>
      <c r="K130" s="22"/>
    </row>
    <row r="131" spans="1:11" x14ac:dyDescent="0.2">
      <c r="A131" s="22"/>
      <c r="B131" s="22"/>
      <c r="C131" s="22"/>
      <c r="D131" s="22"/>
      <c r="E131" s="22"/>
      <c r="F131" s="22"/>
      <c r="G131" s="22"/>
      <c r="H131" s="22"/>
      <c r="I131" s="22"/>
      <c r="J131" s="22"/>
      <c r="K131" s="22"/>
    </row>
    <row r="132" spans="1:11" x14ac:dyDescent="0.2">
      <c r="A132" s="22"/>
      <c r="B132" s="22"/>
      <c r="C132" s="22"/>
      <c r="D132" s="22"/>
      <c r="E132" s="22"/>
      <c r="F132" s="22"/>
      <c r="G132" s="22"/>
      <c r="H132" s="22"/>
      <c r="I132" s="22"/>
      <c r="J132" s="22"/>
      <c r="K132" s="22"/>
    </row>
    <row r="133" spans="1:11" x14ac:dyDescent="0.2">
      <c r="A133" s="22"/>
      <c r="B133" s="22"/>
      <c r="C133" s="22"/>
      <c r="D133" s="22"/>
      <c r="E133" s="22"/>
      <c r="F133" s="22"/>
      <c r="G133" s="22"/>
      <c r="H133" s="22"/>
      <c r="I133" s="22"/>
      <c r="J133" s="22"/>
      <c r="K133" s="22"/>
    </row>
    <row r="134" spans="1:11" x14ac:dyDescent="0.2">
      <c r="A134" s="22"/>
      <c r="B134" s="22"/>
      <c r="C134" s="22"/>
      <c r="D134" s="22"/>
      <c r="E134" s="22"/>
      <c r="F134" s="22"/>
      <c r="G134" s="22"/>
      <c r="H134" s="22"/>
      <c r="I134" s="22"/>
      <c r="J134" s="22"/>
      <c r="K134" s="22"/>
    </row>
    <row r="135" spans="1:11" x14ac:dyDescent="0.2">
      <c r="A135" s="22"/>
      <c r="B135" s="22"/>
      <c r="C135" s="22"/>
      <c r="D135" s="22"/>
      <c r="E135" s="22"/>
      <c r="F135" s="22"/>
      <c r="G135" s="22"/>
      <c r="H135" s="22"/>
      <c r="I135" s="22"/>
      <c r="J135" s="22"/>
      <c r="K135" s="22"/>
    </row>
    <row r="136" spans="1:11" x14ac:dyDescent="0.2">
      <c r="A136" s="22"/>
      <c r="B136" s="22"/>
      <c r="C136" s="22"/>
      <c r="D136" s="22"/>
      <c r="E136" s="22"/>
      <c r="F136" s="22"/>
      <c r="G136" s="22"/>
      <c r="H136" s="22"/>
      <c r="I136" s="22"/>
      <c r="J136" s="22"/>
      <c r="K136" s="22"/>
    </row>
    <row r="137" spans="1:11" x14ac:dyDescent="0.2">
      <c r="A137" s="22"/>
      <c r="B137" s="22"/>
      <c r="C137" s="22"/>
      <c r="D137" s="22"/>
      <c r="E137" s="22"/>
      <c r="F137" s="22"/>
      <c r="G137" s="22"/>
      <c r="H137" s="22"/>
      <c r="I137" s="22"/>
      <c r="J137" s="22"/>
      <c r="K137" s="22"/>
    </row>
    <row r="138" spans="1:11" x14ac:dyDescent="0.2">
      <c r="A138" s="22"/>
      <c r="B138" s="22"/>
      <c r="C138" s="22"/>
      <c r="D138" s="22"/>
      <c r="E138" s="22"/>
      <c r="F138" s="22"/>
      <c r="G138" s="22"/>
      <c r="H138" s="22"/>
      <c r="I138" s="22"/>
      <c r="J138" s="22"/>
      <c r="K138" s="22"/>
    </row>
    <row r="139" spans="1:11" x14ac:dyDescent="0.2">
      <c r="A139" s="22"/>
      <c r="B139" s="22"/>
      <c r="C139" s="22"/>
      <c r="D139" s="22"/>
      <c r="E139" s="22"/>
      <c r="F139" s="22"/>
      <c r="G139" s="22"/>
      <c r="H139" s="22"/>
      <c r="I139" s="22"/>
      <c r="J139" s="22"/>
      <c r="K139" s="22"/>
    </row>
    <row r="140" spans="1:11" x14ac:dyDescent="0.2">
      <c r="A140" s="22"/>
      <c r="B140" s="22"/>
      <c r="C140" s="22"/>
      <c r="D140" s="22"/>
      <c r="E140" s="22"/>
      <c r="F140" s="22"/>
      <c r="G140" s="22"/>
      <c r="H140" s="22"/>
      <c r="I140" s="22"/>
      <c r="J140" s="22"/>
      <c r="K140" s="22"/>
    </row>
    <row r="141" spans="1:11" x14ac:dyDescent="0.2">
      <c r="A141" s="22"/>
      <c r="B141" s="22"/>
      <c r="C141" s="22"/>
      <c r="D141" s="22"/>
      <c r="E141" s="22"/>
      <c r="F141" s="22"/>
      <c r="G141" s="22"/>
      <c r="H141" s="22"/>
      <c r="I141" s="22"/>
      <c r="J141" s="22"/>
      <c r="K141" s="22"/>
    </row>
    <row r="142" spans="1:11" x14ac:dyDescent="0.2">
      <c r="A142" s="22"/>
      <c r="B142" s="22"/>
      <c r="C142" s="22"/>
      <c r="D142" s="22"/>
      <c r="E142" s="22"/>
      <c r="F142" s="22"/>
      <c r="G142" s="22"/>
      <c r="H142" s="22"/>
      <c r="I142" s="22"/>
      <c r="J142" s="22"/>
      <c r="K142" s="22"/>
    </row>
    <row r="143" spans="1:11" x14ac:dyDescent="0.2">
      <c r="A143" s="22"/>
      <c r="B143" s="22"/>
      <c r="C143" s="22"/>
      <c r="D143" s="22"/>
      <c r="E143" s="22"/>
      <c r="F143" s="22"/>
      <c r="G143" s="22"/>
      <c r="H143" s="22"/>
      <c r="I143" s="22"/>
      <c r="J143" s="22"/>
      <c r="K143" s="22"/>
    </row>
    <row r="144" spans="1:11" x14ac:dyDescent="0.2">
      <c r="A144" s="22"/>
      <c r="B144" s="22"/>
      <c r="C144" s="22"/>
      <c r="D144" s="22"/>
      <c r="E144" s="22"/>
      <c r="F144" s="22"/>
      <c r="G144" s="22"/>
      <c r="H144" s="22"/>
      <c r="I144" s="22"/>
      <c r="J144" s="22"/>
      <c r="K144" s="22"/>
    </row>
    <row r="145" spans="1:11" x14ac:dyDescent="0.2">
      <c r="A145" s="22"/>
      <c r="B145" s="22"/>
      <c r="C145" s="22"/>
      <c r="D145" s="22"/>
      <c r="E145" s="22"/>
      <c r="F145" s="22"/>
      <c r="G145" s="22"/>
      <c r="H145" s="22"/>
      <c r="I145" s="22"/>
      <c r="J145" s="22"/>
      <c r="K145" s="22"/>
    </row>
    <row r="146" spans="1:11" x14ac:dyDescent="0.2">
      <c r="A146" s="22"/>
      <c r="B146" s="22"/>
      <c r="C146" s="22"/>
      <c r="D146" s="22"/>
      <c r="E146" s="22"/>
      <c r="F146" s="22"/>
      <c r="G146" s="22"/>
      <c r="H146" s="22"/>
      <c r="I146" s="22"/>
      <c r="J146" s="22"/>
      <c r="K146" s="22"/>
    </row>
    <row r="147" spans="1:11" x14ac:dyDescent="0.2">
      <c r="A147" s="22"/>
      <c r="B147" s="22"/>
      <c r="C147" s="22"/>
      <c r="D147" s="22"/>
      <c r="E147" s="22"/>
      <c r="F147" s="22"/>
      <c r="G147" s="22"/>
      <c r="H147" s="22"/>
      <c r="I147" s="22"/>
      <c r="J147" s="22"/>
      <c r="K147" s="22"/>
    </row>
    <row r="148" spans="1:11" x14ac:dyDescent="0.2">
      <c r="A148" s="22"/>
      <c r="B148" s="22"/>
      <c r="C148" s="22"/>
      <c r="D148" s="22"/>
      <c r="E148" s="22"/>
      <c r="F148" s="22"/>
      <c r="G148" s="22"/>
      <c r="H148" s="22"/>
      <c r="I148" s="22"/>
      <c r="J148" s="22"/>
      <c r="K148" s="22"/>
    </row>
    <row r="149" spans="1:11" x14ac:dyDescent="0.2">
      <c r="A149" s="22"/>
      <c r="B149" s="22"/>
      <c r="C149" s="22"/>
      <c r="D149" s="22"/>
      <c r="E149" s="22"/>
      <c r="F149" s="22"/>
      <c r="G149" s="22"/>
      <c r="H149" s="22"/>
      <c r="I149" s="22"/>
      <c r="J149" s="22"/>
      <c r="K149" s="22"/>
    </row>
    <row r="150" spans="1:11" x14ac:dyDescent="0.2">
      <c r="A150" s="22"/>
      <c r="B150" s="22"/>
      <c r="C150" s="22"/>
      <c r="D150" s="22"/>
      <c r="E150" s="22"/>
      <c r="F150" s="22"/>
      <c r="G150" s="22"/>
      <c r="H150" s="22"/>
      <c r="I150" s="22"/>
      <c r="J150" s="22"/>
      <c r="K150" s="22"/>
    </row>
    <row r="151" spans="1:11" x14ac:dyDescent="0.2">
      <c r="A151" s="22"/>
      <c r="B151" s="22"/>
      <c r="C151" s="22"/>
      <c r="D151" s="22"/>
      <c r="E151" s="22"/>
      <c r="F151" s="22"/>
      <c r="G151" s="22"/>
      <c r="H151" s="22"/>
      <c r="I151" s="22"/>
      <c r="J151" s="22"/>
      <c r="K151" s="22"/>
    </row>
    <row r="152" spans="1:11" x14ac:dyDescent="0.2">
      <c r="A152" s="22"/>
      <c r="B152" s="22"/>
      <c r="C152" s="22"/>
      <c r="D152" s="22"/>
      <c r="E152" s="22"/>
      <c r="F152" s="22"/>
      <c r="G152" s="22"/>
      <c r="H152" s="22"/>
      <c r="I152" s="22"/>
      <c r="J152" s="22"/>
      <c r="K152" s="22"/>
    </row>
    <row r="153" spans="1:11" x14ac:dyDescent="0.2">
      <c r="A153" s="22"/>
      <c r="B153" s="22"/>
      <c r="C153" s="22"/>
      <c r="D153" s="22"/>
      <c r="E153" s="22"/>
      <c r="F153" s="22"/>
      <c r="G153" s="22"/>
      <c r="H153" s="22"/>
      <c r="I153" s="22"/>
      <c r="J153" s="22"/>
      <c r="K153" s="22"/>
    </row>
    <row r="154" spans="1:11" x14ac:dyDescent="0.2">
      <c r="A154" s="22"/>
      <c r="B154" s="22"/>
      <c r="C154" s="22"/>
      <c r="D154" s="22"/>
      <c r="E154" s="22"/>
      <c r="F154" s="22"/>
      <c r="G154" s="22"/>
      <c r="H154" s="22"/>
      <c r="I154" s="22"/>
      <c r="J154" s="22"/>
      <c r="K154" s="22"/>
    </row>
    <row r="155" spans="1:11" x14ac:dyDescent="0.2">
      <c r="A155" s="22"/>
      <c r="B155" s="22"/>
      <c r="C155" s="22"/>
      <c r="D155" s="22"/>
      <c r="E155" s="22"/>
      <c r="F155" s="22"/>
      <c r="G155" s="22"/>
      <c r="H155" s="22"/>
      <c r="I155" s="22"/>
      <c r="J155" s="22"/>
      <c r="K155" s="22"/>
    </row>
    <row r="156" spans="1:11" x14ac:dyDescent="0.2">
      <c r="A156" s="22"/>
      <c r="B156" s="22"/>
      <c r="C156" s="22"/>
      <c r="D156" s="22"/>
      <c r="E156" s="22"/>
      <c r="F156" s="22"/>
      <c r="G156" s="22"/>
      <c r="H156" s="22"/>
      <c r="I156" s="22"/>
      <c r="J156" s="22"/>
      <c r="K156" s="22"/>
    </row>
    <row r="157" spans="1:11" x14ac:dyDescent="0.2">
      <c r="A157" s="22"/>
      <c r="B157" s="22"/>
      <c r="C157" s="22"/>
      <c r="D157" s="22"/>
      <c r="E157" s="22"/>
      <c r="F157" s="22"/>
      <c r="G157" s="22"/>
      <c r="H157" s="22"/>
      <c r="I157" s="22"/>
      <c r="J157" s="22"/>
      <c r="K157" s="22"/>
    </row>
    <row r="158" spans="1:11" x14ac:dyDescent="0.2">
      <c r="A158" s="22"/>
      <c r="B158" s="22"/>
      <c r="C158" s="22"/>
      <c r="D158" s="22"/>
      <c r="E158" s="22"/>
      <c r="F158" s="22"/>
      <c r="G158" s="22"/>
      <c r="H158" s="22"/>
      <c r="I158" s="22"/>
      <c r="J158" s="22"/>
      <c r="K158" s="22"/>
    </row>
    <row r="159" spans="1:11" x14ac:dyDescent="0.2">
      <c r="A159" s="22"/>
      <c r="B159" s="22"/>
      <c r="C159" s="22"/>
      <c r="D159" s="22"/>
      <c r="E159" s="22"/>
      <c r="F159" s="22"/>
      <c r="G159" s="22"/>
      <c r="H159" s="22"/>
      <c r="I159" s="22"/>
      <c r="J159" s="22"/>
      <c r="K159" s="22"/>
    </row>
    <row r="160" spans="1:11" x14ac:dyDescent="0.2">
      <c r="A160" s="22"/>
      <c r="B160" s="22"/>
      <c r="C160" s="22"/>
      <c r="D160" s="22"/>
      <c r="E160" s="22"/>
      <c r="F160" s="22"/>
      <c r="G160" s="22"/>
      <c r="H160" s="22"/>
      <c r="I160" s="22"/>
      <c r="J160" s="22"/>
      <c r="K160" s="22"/>
    </row>
    <row r="161" spans="1:11" x14ac:dyDescent="0.2">
      <c r="A161" s="22"/>
      <c r="B161" s="22"/>
      <c r="C161" s="22"/>
      <c r="D161" s="22"/>
      <c r="E161" s="22"/>
      <c r="F161" s="22"/>
      <c r="G161" s="22"/>
      <c r="H161" s="22"/>
      <c r="I161" s="22"/>
      <c r="J161" s="22"/>
      <c r="K161" s="22"/>
    </row>
    <row r="162" spans="1:11" x14ac:dyDescent="0.2">
      <c r="A162" s="22"/>
      <c r="B162" s="22"/>
      <c r="C162" s="22"/>
      <c r="D162" s="22"/>
      <c r="E162" s="22"/>
      <c r="F162" s="22"/>
      <c r="G162" s="22"/>
      <c r="H162" s="22"/>
      <c r="I162" s="22"/>
      <c r="J162" s="22"/>
      <c r="K162" s="22"/>
    </row>
    <row r="163" spans="1:11" x14ac:dyDescent="0.2">
      <c r="A163" s="22"/>
      <c r="B163" s="22"/>
      <c r="C163" s="22"/>
      <c r="D163" s="22"/>
      <c r="E163" s="22"/>
      <c r="F163" s="22"/>
      <c r="G163" s="22"/>
      <c r="H163" s="22"/>
      <c r="I163" s="22"/>
      <c r="J163" s="22"/>
      <c r="K163" s="22"/>
    </row>
    <row r="164" spans="1:11" x14ac:dyDescent="0.2">
      <c r="A164" s="22"/>
      <c r="B164" s="22"/>
      <c r="C164" s="22"/>
      <c r="D164" s="22"/>
      <c r="E164" s="22"/>
      <c r="F164" s="22"/>
      <c r="G164" s="22"/>
      <c r="H164" s="22"/>
      <c r="I164" s="22"/>
      <c r="J164" s="22"/>
      <c r="K164" s="22"/>
    </row>
    <row r="165" spans="1:11" x14ac:dyDescent="0.2">
      <c r="A165" s="22"/>
      <c r="B165" s="22"/>
      <c r="C165" s="22"/>
      <c r="D165" s="22"/>
      <c r="E165" s="22"/>
      <c r="F165" s="22"/>
      <c r="G165" s="22"/>
      <c r="H165" s="22"/>
      <c r="I165" s="22"/>
      <c r="J165" s="22"/>
      <c r="K165" s="22"/>
    </row>
    <row r="166" spans="1:11" x14ac:dyDescent="0.2">
      <c r="A166" s="22"/>
      <c r="B166" s="22"/>
      <c r="C166" s="22"/>
      <c r="D166" s="22"/>
      <c r="E166" s="22"/>
      <c r="F166" s="22"/>
      <c r="G166" s="22"/>
      <c r="H166" s="22"/>
      <c r="I166" s="22"/>
      <c r="J166" s="22"/>
      <c r="K166" s="22"/>
    </row>
    <row r="167" spans="1:11" x14ac:dyDescent="0.2">
      <c r="A167" s="22"/>
      <c r="B167" s="22"/>
      <c r="C167" s="22"/>
      <c r="D167" s="22"/>
      <c r="E167" s="22"/>
      <c r="F167" s="22"/>
      <c r="G167" s="22"/>
      <c r="H167" s="22"/>
      <c r="I167" s="22"/>
      <c r="J167" s="22"/>
      <c r="K167" s="22"/>
    </row>
    <row r="168" spans="1:11" x14ac:dyDescent="0.2">
      <c r="A168" s="22"/>
      <c r="B168" s="22"/>
      <c r="C168" s="22"/>
      <c r="D168" s="22"/>
      <c r="E168" s="22"/>
      <c r="F168" s="22"/>
      <c r="G168" s="22"/>
      <c r="H168" s="22"/>
      <c r="I168" s="22"/>
      <c r="J168" s="22"/>
      <c r="K168" s="22"/>
    </row>
    <row r="169" spans="1:11" x14ac:dyDescent="0.2">
      <c r="A169" s="22"/>
      <c r="B169" s="22"/>
      <c r="C169" s="22"/>
      <c r="D169" s="22"/>
      <c r="E169" s="22"/>
      <c r="F169" s="22"/>
      <c r="G169" s="22"/>
      <c r="H169" s="22"/>
      <c r="I169" s="22"/>
      <c r="J169" s="22"/>
      <c r="K169" s="22"/>
    </row>
    <row r="170" spans="1:11" x14ac:dyDescent="0.2">
      <c r="A170" s="22"/>
      <c r="B170" s="22"/>
      <c r="C170" s="22"/>
      <c r="D170" s="22"/>
      <c r="E170" s="22"/>
      <c r="F170" s="22"/>
      <c r="G170" s="22"/>
      <c r="H170" s="22"/>
      <c r="I170" s="22"/>
      <c r="J170" s="22"/>
      <c r="K170" s="22"/>
    </row>
    <row r="171" spans="1:11" x14ac:dyDescent="0.2">
      <c r="A171" s="22"/>
      <c r="B171" s="22"/>
      <c r="C171" s="22"/>
      <c r="D171" s="22"/>
      <c r="E171" s="22"/>
      <c r="F171" s="22"/>
      <c r="G171" s="22"/>
      <c r="H171" s="22"/>
      <c r="I171" s="22"/>
      <c r="J171" s="22"/>
      <c r="K171" s="22"/>
    </row>
    <row r="172" spans="1:11" x14ac:dyDescent="0.2">
      <c r="A172" s="22"/>
      <c r="B172" s="22"/>
      <c r="C172" s="22"/>
      <c r="D172" s="22"/>
      <c r="E172" s="22"/>
      <c r="F172" s="22"/>
      <c r="G172" s="22"/>
      <c r="H172" s="22"/>
      <c r="I172" s="22"/>
      <c r="J172" s="22"/>
      <c r="K172" s="22"/>
    </row>
    <row r="173" spans="1:11" x14ac:dyDescent="0.2">
      <c r="A173" s="22"/>
      <c r="B173" s="22"/>
      <c r="C173" s="22"/>
      <c r="D173" s="22"/>
      <c r="E173" s="22"/>
      <c r="F173" s="22"/>
      <c r="G173" s="22"/>
      <c r="H173" s="22"/>
      <c r="I173" s="22"/>
      <c r="J173" s="22"/>
      <c r="K173" s="22"/>
    </row>
    <row r="174" spans="1:11" x14ac:dyDescent="0.2">
      <c r="A174" s="22"/>
      <c r="B174" s="22"/>
      <c r="C174" s="22"/>
      <c r="D174" s="22"/>
      <c r="E174" s="22"/>
      <c r="F174" s="22"/>
      <c r="G174" s="22"/>
      <c r="H174" s="22"/>
      <c r="I174" s="22"/>
      <c r="J174" s="22"/>
      <c r="K174" s="22"/>
    </row>
    <row r="175" spans="1:11" x14ac:dyDescent="0.2">
      <c r="A175" s="22"/>
      <c r="B175" s="22"/>
      <c r="C175" s="22"/>
      <c r="D175" s="22"/>
      <c r="E175" s="22"/>
      <c r="F175" s="22"/>
      <c r="G175" s="22"/>
      <c r="H175" s="22"/>
      <c r="I175" s="22"/>
      <c r="J175" s="22"/>
      <c r="K175" s="22"/>
    </row>
    <row r="176" spans="1:11" x14ac:dyDescent="0.2">
      <c r="A176" s="22"/>
      <c r="B176" s="22"/>
      <c r="C176" s="22"/>
      <c r="D176" s="22"/>
      <c r="E176" s="22"/>
      <c r="F176" s="22"/>
      <c r="G176" s="22"/>
      <c r="H176" s="22"/>
      <c r="I176" s="22"/>
      <c r="J176" s="22"/>
      <c r="K176" s="22"/>
    </row>
    <row r="177" spans="1:11" x14ac:dyDescent="0.2">
      <c r="A177" s="22"/>
      <c r="B177" s="22"/>
      <c r="C177" s="22"/>
      <c r="D177" s="22"/>
      <c r="E177" s="22"/>
      <c r="F177" s="22"/>
      <c r="G177" s="22"/>
      <c r="H177" s="22"/>
      <c r="I177" s="22"/>
      <c r="J177" s="22"/>
      <c r="K177" s="22"/>
    </row>
    <row r="178" spans="1:11" x14ac:dyDescent="0.2">
      <c r="A178" s="22"/>
      <c r="B178" s="22"/>
      <c r="C178" s="22"/>
      <c r="D178" s="22"/>
      <c r="E178" s="22"/>
      <c r="F178" s="22"/>
      <c r="G178" s="22"/>
      <c r="H178" s="22"/>
      <c r="I178" s="22"/>
      <c r="J178" s="22"/>
      <c r="K178" s="22"/>
    </row>
    <row r="179" spans="1:11" x14ac:dyDescent="0.2">
      <c r="A179" s="22"/>
      <c r="B179" s="22"/>
      <c r="C179" s="22"/>
      <c r="D179" s="22"/>
      <c r="E179" s="22"/>
      <c r="F179" s="22"/>
      <c r="G179" s="22"/>
      <c r="H179" s="22"/>
      <c r="I179" s="22"/>
      <c r="J179" s="22"/>
      <c r="K179" s="22"/>
    </row>
    <row r="180" spans="1:11" x14ac:dyDescent="0.2">
      <c r="A180" s="22"/>
      <c r="B180" s="22"/>
      <c r="C180" s="22"/>
      <c r="D180" s="22"/>
      <c r="E180" s="22"/>
      <c r="F180" s="22"/>
      <c r="G180" s="22"/>
      <c r="H180" s="22"/>
      <c r="I180" s="22"/>
      <c r="J180" s="22"/>
      <c r="K180" s="22"/>
    </row>
    <row r="181" spans="1:11" x14ac:dyDescent="0.2">
      <c r="A181" s="22"/>
      <c r="B181" s="22"/>
      <c r="C181" s="22"/>
      <c r="D181" s="22"/>
      <c r="E181" s="22"/>
      <c r="F181" s="22"/>
      <c r="G181" s="22"/>
      <c r="H181" s="22"/>
      <c r="I181" s="22"/>
      <c r="J181" s="22"/>
      <c r="K181" s="22"/>
    </row>
    <row r="182" spans="1:11" x14ac:dyDescent="0.2">
      <c r="A182" s="22"/>
      <c r="B182" s="22"/>
      <c r="C182" s="22"/>
      <c r="D182" s="22"/>
      <c r="E182" s="22"/>
      <c r="F182" s="22"/>
      <c r="G182" s="22"/>
      <c r="H182" s="22"/>
      <c r="I182" s="22"/>
      <c r="J182" s="22"/>
      <c r="K182" s="22"/>
    </row>
    <row r="183" spans="1:11" x14ac:dyDescent="0.2">
      <c r="A183" s="22"/>
      <c r="B183" s="22"/>
      <c r="C183" s="22"/>
      <c r="D183" s="22"/>
      <c r="E183" s="22"/>
      <c r="F183" s="22"/>
      <c r="G183" s="22"/>
      <c r="H183" s="22"/>
      <c r="I183" s="22"/>
      <c r="J183" s="22"/>
      <c r="K183" s="22"/>
    </row>
    <row r="184" spans="1:11" x14ac:dyDescent="0.2">
      <c r="A184" s="22"/>
      <c r="B184" s="22"/>
      <c r="C184" s="22"/>
      <c r="D184" s="22"/>
      <c r="E184" s="22"/>
      <c r="F184" s="22"/>
      <c r="G184" s="22"/>
      <c r="H184" s="22"/>
      <c r="I184" s="22"/>
      <c r="J184" s="22"/>
      <c r="K184" s="22"/>
    </row>
    <row r="185" spans="1:11" x14ac:dyDescent="0.2">
      <c r="A185" s="22"/>
      <c r="B185" s="22"/>
      <c r="C185" s="22"/>
      <c r="D185" s="22"/>
      <c r="E185" s="22"/>
      <c r="F185" s="22"/>
      <c r="G185" s="22"/>
      <c r="H185" s="22"/>
      <c r="I185" s="22"/>
      <c r="J185" s="22"/>
      <c r="K185" s="22"/>
    </row>
    <row r="186" spans="1:11" x14ac:dyDescent="0.2">
      <c r="A186" s="22"/>
      <c r="B186" s="22"/>
      <c r="C186" s="22"/>
      <c r="D186" s="22"/>
      <c r="E186" s="22"/>
      <c r="F186" s="22"/>
      <c r="G186" s="22"/>
      <c r="H186" s="22"/>
      <c r="I186" s="22"/>
      <c r="J186" s="22"/>
      <c r="K186" s="22"/>
    </row>
    <row r="187" spans="1:11" x14ac:dyDescent="0.2">
      <c r="A187" s="22"/>
      <c r="B187" s="22"/>
      <c r="C187" s="22"/>
      <c r="D187" s="22"/>
      <c r="E187" s="22"/>
      <c r="F187" s="22"/>
      <c r="G187" s="22"/>
      <c r="H187" s="22"/>
      <c r="I187" s="22"/>
      <c r="J187" s="22"/>
      <c r="K187" s="22"/>
    </row>
    <row r="188" spans="1:11" x14ac:dyDescent="0.2">
      <c r="A188" s="22"/>
      <c r="B188" s="22"/>
      <c r="C188" s="22"/>
      <c r="D188" s="22"/>
      <c r="E188" s="22"/>
      <c r="F188" s="22"/>
      <c r="G188" s="22"/>
      <c r="H188" s="22"/>
      <c r="I188" s="22"/>
      <c r="J188" s="22"/>
      <c r="K188" s="22"/>
    </row>
    <row r="189" spans="1:11" x14ac:dyDescent="0.2">
      <c r="A189" s="22"/>
      <c r="B189" s="22"/>
      <c r="C189" s="22"/>
      <c r="D189" s="22"/>
      <c r="E189" s="22"/>
      <c r="F189" s="22"/>
      <c r="G189" s="22"/>
      <c r="H189" s="22"/>
      <c r="I189" s="22"/>
      <c r="J189" s="22"/>
      <c r="K189" s="22"/>
    </row>
    <row r="190" spans="1:11" x14ac:dyDescent="0.2">
      <c r="A190" s="22"/>
      <c r="B190" s="22"/>
      <c r="C190" s="22"/>
      <c r="D190" s="22"/>
      <c r="E190" s="22"/>
      <c r="F190" s="22"/>
      <c r="G190" s="22"/>
      <c r="H190" s="22"/>
      <c r="I190" s="22"/>
      <c r="J190" s="22"/>
      <c r="K190" s="22"/>
    </row>
    <row r="191" spans="1:11" x14ac:dyDescent="0.2">
      <c r="A191" s="22"/>
      <c r="B191" s="22"/>
      <c r="C191" s="22"/>
      <c r="D191" s="22"/>
      <c r="E191" s="22"/>
      <c r="F191" s="22"/>
      <c r="G191" s="22"/>
      <c r="H191" s="22"/>
      <c r="I191" s="22"/>
      <c r="J191" s="22"/>
      <c r="K191" s="22"/>
    </row>
    <row r="192" spans="1:11" x14ac:dyDescent="0.2">
      <c r="A192" s="22"/>
      <c r="B192" s="22"/>
      <c r="C192" s="22"/>
      <c r="D192" s="22"/>
      <c r="E192" s="22"/>
      <c r="F192" s="22"/>
      <c r="G192" s="22"/>
      <c r="H192" s="22"/>
      <c r="I192" s="22"/>
      <c r="J192" s="22"/>
      <c r="K192" s="22"/>
    </row>
    <row r="193" spans="1:11" x14ac:dyDescent="0.2">
      <c r="A193" s="22"/>
      <c r="B193" s="22"/>
      <c r="C193" s="22"/>
      <c r="D193" s="22"/>
      <c r="E193" s="22"/>
      <c r="F193" s="22"/>
      <c r="G193" s="22"/>
      <c r="H193" s="22"/>
      <c r="I193" s="22"/>
      <c r="J193" s="22"/>
      <c r="K193" s="22"/>
    </row>
    <row r="194" spans="1:11" x14ac:dyDescent="0.2">
      <c r="A194" s="22"/>
      <c r="B194" s="22"/>
      <c r="C194" s="22"/>
      <c r="D194" s="22"/>
      <c r="E194" s="22"/>
      <c r="F194" s="22"/>
      <c r="G194" s="22"/>
      <c r="H194" s="22"/>
      <c r="I194" s="22"/>
      <c r="J194" s="22"/>
      <c r="K194" s="22"/>
    </row>
    <row r="195" spans="1:11" x14ac:dyDescent="0.2">
      <c r="A195" s="22"/>
      <c r="B195" s="22"/>
      <c r="C195" s="22"/>
      <c r="D195" s="22"/>
      <c r="E195" s="22"/>
      <c r="F195" s="22"/>
      <c r="G195" s="22"/>
      <c r="H195" s="22"/>
      <c r="I195" s="22"/>
      <c r="J195" s="22"/>
      <c r="K195" s="22"/>
    </row>
    <row r="196" spans="1:11" x14ac:dyDescent="0.2">
      <c r="A196" s="22"/>
      <c r="B196" s="22"/>
      <c r="C196" s="22"/>
      <c r="D196" s="22"/>
      <c r="E196" s="22"/>
      <c r="F196" s="22"/>
      <c r="G196" s="22"/>
      <c r="H196" s="22"/>
      <c r="I196" s="22"/>
      <c r="J196" s="22"/>
      <c r="K196" s="22"/>
    </row>
    <row r="197" spans="1:11" x14ac:dyDescent="0.2">
      <c r="A197" s="22"/>
      <c r="B197" s="22"/>
      <c r="C197" s="22"/>
      <c r="D197" s="22"/>
      <c r="E197" s="22"/>
      <c r="F197" s="22"/>
      <c r="G197" s="22"/>
      <c r="H197" s="22"/>
      <c r="I197" s="22"/>
      <c r="J197" s="22"/>
      <c r="K197" s="22"/>
    </row>
    <row r="198" spans="1:11" x14ac:dyDescent="0.2">
      <c r="A198" s="22"/>
      <c r="B198" s="22"/>
      <c r="C198" s="22"/>
      <c r="D198" s="22"/>
      <c r="E198" s="22"/>
      <c r="F198" s="22"/>
      <c r="G198" s="22"/>
      <c r="H198" s="22"/>
      <c r="I198" s="22"/>
      <c r="J198" s="22"/>
      <c r="K198" s="22"/>
    </row>
    <row r="199" spans="1:11" x14ac:dyDescent="0.2">
      <c r="A199" s="22"/>
      <c r="B199" s="22"/>
      <c r="C199" s="22"/>
      <c r="D199" s="22"/>
      <c r="E199" s="22"/>
      <c r="F199" s="22"/>
      <c r="G199" s="22"/>
      <c r="H199" s="22"/>
      <c r="I199" s="22"/>
      <c r="J199" s="22"/>
      <c r="K199" s="22"/>
    </row>
    <row r="200" spans="1:11" x14ac:dyDescent="0.2">
      <c r="A200" s="22"/>
      <c r="B200" s="22"/>
      <c r="C200" s="22"/>
      <c r="D200" s="22"/>
      <c r="E200" s="22"/>
      <c r="F200" s="22"/>
      <c r="G200" s="22"/>
      <c r="H200" s="22"/>
      <c r="I200" s="22"/>
      <c r="J200" s="22"/>
      <c r="K200" s="22"/>
    </row>
    <row r="201" spans="1:11" x14ac:dyDescent="0.2">
      <c r="A201" s="22"/>
      <c r="B201" s="22"/>
      <c r="C201" s="22"/>
      <c r="D201" s="22"/>
      <c r="E201" s="22"/>
      <c r="F201" s="22"/>
      <c r="G201" s="22"/>
      <c r="H201" s="22"/>
      <c r="I201" s="22"/>
      <c r="J201" s="22"/>
      <c r="K201" s="22"/>
    </row>
    <row r="202" spans="1:11" x14ac:dyDescent="0.2">
      <c r="A202" s="22"/>
      <c r="B202" s="22"/>
      <c r="C202" s="22"/>
      <c r="D202" s="22"/>
      <c r="E202" s="22"/>
      <c r="F202" s="22"/>
      <c r="G202" s="22"/>
      <c r="H202" s="22"/>
      <c r="I202" s="22"/>
      <c r="J202" s="22"/>
      <c r="K202" s="22"/>
    </row>
    <row r="203" spans="1:11" x14ac:dyDescent="0.2">
      <c r="A203" s="22"/>
      <c r="B203" s="22"/>
      <c r="C203" s="22"/>
      <c r="D203" s="22"/>
      <c r="E203" s="22"/>
      <c r="F203" s="22"/>
      <c r="G203" s="22"/>
      <c r="H203" s="22"/>
      <c r="I203" s="22"/>
      <c r="J203" s="22"/>
      <c r="K203" s="22"/>
    </row>
    <row r="204" spans="1:11" x14ac:dyDescent="0.2">
      <c r="A204" s="22"/>
      <c r="B204" s="22"/>
      <c r="C204" s="22"/>
      <c r="D204" s="22"/>
      <c r="E204" s="22"/>
      <c r="F204" s="22"/>
      <c r="G204" s="22"/>
      <c r="H204" s="22"/>
      <c r="I204" s="22"/>
      <c r="J204" s="22"/>
      <c r="K204" s="22"/>
    </row>
    <row r="205" spans="1:11" x14ac:dyDescent="0.2">
      <c r="A205" s="22"/>
      <c r="B205" s="22"/>
      <c r="C205" s="22"/>
      <c r="D205" s="22"/>
      <c r="E205" s="22"/>
      <c r="F205" s="22"/>
      <c r="G205" s="22"/>
      <c r="H205" s="22"/>
      <c r="I205" s="22"/>
      <c r="J205" s="22"/>
      <c r="K205" s="22"/>
    </row>
    <row r="206" spans="1:11" x14ac:dyDescent="0.2">
      <c r="A206" s="22"/>
      <c r="B206" s="22"/>
      <c r="C206" s="22"/>
      <c r="D206" s="22"/>
      <c r="E206" s="22"/>
      <c r="F206" s="22"/>
      <c r="G206" s="22"/>
      <c r="H206" s="22"/>
      <c r="I206" s="22"/>
      <c r="J206" s="22"/>
      <c r="K206" s="22"/>
    </row>
    <row r="207" spans="1:11" x14ac:dyDescent="0.2">
      <c r="A207" s="22"/>
      <c r="B207" s="22"/>
      <c r="C207" s="22"/>
      <c r="D207" s="22"/>
      <c r="E207" s="22"/>
      <c r="F207" s="22"/>
      <c r="G207" s="22"/>
      <c r="H207" s="22"/>
      <c r="I207" s="22"/>
      <c r="J207" s="22"/>
      <c r="K207" s="22"/>
    </row>
    <row r="208" spans="1:11" x14ac:dyDescent="0.2">
      <c r="A208" s="22"/>
      <c r="B208" s="22"/>
      <c r="C208" s="22"/>
      <c r="D208" s="22"/>
      <c r="E208" s="22"/>
      <c r="F208" s="22"/>
      <c r="G208" s="22"/>
      <c r="H208" s="22"/>
      <c r="I208" s="22"/>
      <c r="J208" s="22"/>
      <c r="K208" s="22"/>
    </row>
    <row r="209" spans="1:11" x14ac:dyDescent="0.2">
      <c r="A209" s="22"/>
      <c r="B209" s="22"/>
      <c r="C209" s="22"/>
      <c r="D209" s="22"/>
      <c r="E209" s="22"/>
      <c r="F209" s="22"/>
      <c r="G209" s="22"/>
      <c r="H209" s="22"/>
      <c r="I209" s="22"/>
      <c r="J209" s="22"/>
      <c r="K209" s="22"/>
    </row>
    <row r="210" spans="1:11" x14ac:dyDescent="0.2">
      <c r="A210" s="22"/>
      <c r="B210" s="22"/>
      <c r="C210" s="22"/>
      <c r="D210" s="22"/>
      <c r="E210" s="22"/>
      <c r="F210" s="22"/>
      <c r="G210" s="22"/>
      <c r="H210" s="22"/>
      <c r="I210" s="22"/>
      <c r="J210" s="22"/>
      <c r="K210" s="22"/>
    </row>
    <row r="211" spans="1:11" x14ac:dyDescent="0.2">
      <c r="A211" s="22"/>
      <c r="B211" s="22"/>
      <c r="C211" s="22"/>
      <c r="D211" s="22"/>
      <c r="E211" s="22"/>
      <c r="F211" s="22"/>
      <c r="G211" s="22"/>
      <c r="H211" s="22"/>
      <c r="I211" s="22"/>
      <c r="J211" s="22"/>
      <c r="K211" s="22"/>
    </row>
    <row r="212" spans="1:11" x14ac:dyDescent="0.2">
      <c r="A212" s="22"/>
      <c r="B212" s="22"/>
      <c r="C212" s="22"/>
      <c r="D212" s="22"/>
      <c r="E212" s="22"/>
      <c r="F212" s="22"/>
      <c r="G212" s="22"/>
      <c r="H212" s="22"/>
      <c r="I212" s="22"/>
      <c r="J212" s="22"/>
      <c r="K212" s="22"/>
    </row>
    <row r="213" spans="1:11" x14ac:dyDescent="0.2">
      <c r="A213" s="22"/>
      <c r="B213" s="22"/>
      <c r="C213" s="22"/>
      <c r="D213" s="22"/>
      <c r="E213" s="22"/>
      <c r="F213" s="22"/>
      <c r="G213" s="22"/>
      <c r="H213" s="22"/>
      <c r="I213" s="22"/>
      <c r="J213" s="22"/>
      <c r="K213" s="22"/>
    </row>
    <row r="214" spans="1:11" x14ac:dyDescent="0.2">
      <c r="A214" s="22"/>
      <c r="B214" s="22"/>
      <c r="C214" s="22"/>
      <c r="D214" s="22"/>
      <c r="E214" s="22"/>
      <c r="F214" s="22"/>
      <c r="G214" s="22"/>
      <c r="H214" s="22"/>
      <c r="I214" s="22"/>
      <c r="J214" s="22"/>
      <c r="K214" s="22"/>
    </row>
    <row r="215" spans="1:11" x14ac:dyDescent="0.2">
      <c r="A215" s="22"/>
      <c r="B215" s="22"/>
      <c r="C215" s="22"/>
      <c r="D215" s="22"/>
      <c r="E215" s="22"/>
      <c r="F215" s="22"/>
      <c r="G215" s="22"/>
      <c r="H215" s="22"/>
      <c r="I215" s="22"/>
      <c r="J215" s="22"/>
      <c r="K215" s="22"/>
    </row>
    <row r="216" spans="1:11" x14ac:dyDescent="0.2">
      <c r="A216" s="22"/>
      <c r="B216" s="22"/>
      <c r="C216" s="22"/>
      <c r="D216" s="22"/>
      <c r="E216" s="22"/>
      <c r="F216" s="22"/>
      <c r="G216" s="22"/>
      <c r="H216" s="22"/>
      <c r="I216" s="22"/>
      <c r="J216" s="22"/>
      <c r="K216" s="22"/>
    </row>
    <row r="217" spans="1:11" x14ac:dyDescent="0.2">
      <c r="A217" s="22"/>
      <c r="B217" s="22"/>
      <c r="C217" s="22"/>
      <c r="D217" s="22"/>
      <c r="E217" s="22"/>
      <c r="F217" s="22"/>
      <c r="G217" s="22"/>
      <c r="H217" s="22"/>
      <c r="I217" s="22"/>
      <c r="J217" s="22"/>
      <c r="K217" s="22"/>
    </row>
    <row r="218" spans="1:11" x14ac:dyDescent="0.2">
      <c r="A218" s="22"/>
      <c r="B218" s="22"/>
      <c r="C218" s="22"/>
      <c r="D218" s="22"/>
      <c r="E218" s="22"/>
      <c r="F218" s="22"/>
      <c r="G218" s="22"/>
      <c r="H218" s="22"/>
      <c r="I218" s="22"/>
      <c r="J218" s="22"/>
      <c r="K218" s="22"/>
    </row>
    <row r="219" spans="1:11" x14ac:dyDescent="0.2">
      <c r="A219" s="22"/>
      <c r="B219" s="22"/>
      <c r="C219" s="22"/>
      <c r="D219" s="22"/>
      <c r="E219" s="22"/>
      <c r="F219" s="22"/>
      <c r="G219" s="22"/>
      <c r="H219" s="22"/>
      <c r="I219" s="22"/>
      <c r="J219" s="22"/>
      <c r="K219" s="22"/>
    </row>
    <row r="220" spans="1:11" x14ac:dyDescent="0.2">
      <c r="A220" s="22"/>
      <c r="B220" s="22"/>
      <c r="C220" s="22"/>
      <c r="D220" s="22"/>
      <c r="E220" s="22"/>
      <c r="F220" s="22"/>
      <c r="G220" s="22"/>
      <c r="H220" s="22"/>
      <c r="I220" s="22"/>
      <c r="J220" s="22"/>
      <c r="K220" s="22"/>
    </row>
    <row r="221" spans="1:11" x14ac:dyDescent="0.2">
      <c r="A221" s="22"/>
      <c r="B221" s="22"/>
      <c r="C221" s="22"/>
      <c r="D221" s="22"/>
      <c r="E221" s="22"/>
      <c r="F221" s="22"/>
      <c r="G221" s="22"/>
      <c r="H221" s="22"/>
      <c r="I221" s="22"/>
      <c r="J221" s="22"/>
      <c r="K221" s="22"/>
    </row>
    <row r="222" spans="1:11" x14ac:dyDescent="0.2">
      <c r="A222" s="22"/>
      <c r="B222" s="22"/>
      <c r="C222" s="22"/>
      <c r="D222" s="22"/>
      <c r="E222" s="22"/>
      <c r="F222" s="22"/>
      <c r="G222" s="22"/>
      <c r="H222" s="22"/>
      <c r="I222" s="22"/>
      <c r="J222" s="22"/>
      <c r="K222" s="22"/>
    </row>
    <row r="223" spans="1:11" x14ac:dyDescent="0.2">
      <c r="A223" s="22"/>
      <c r="B223" s="22"/>
      <c r="C223" s="22"/>
      <c r="D223" s="22"/>
      <c r="E223" s="22"/>
      <c r="F223" s="22"/>
      <c r="G223" s="22"/>
      <c r="H223" s="22"/>
      <c r="I223" s="22"/>
      <c r="J223" s="22"/>
      <c r="K223" s="22"/>
    </row>
    <row r="224" spans="1:11" x14ac:dyDescent="0.2">
      <c r="A224" s="22"/>
      <c r="B224" s="22"/>
      <c r="C224" s="22"/>
      <c r="D224" s="22"/>
      <c r="E224" s="22"/>
      <c r="F224" s="22"/>
      <c r="G224" s="22"/>
      <c r="H224" s="22"/>
      <c r="I224" s="22"/>
      <c r="J224" s="22"/>
      <c r="K224" s="22"/>
    </row>
    <row r="225" spans="1:11" x14ac:dyDescent="0.2">
      <c r="A225" s="22"/>
      <c r="B225" s="22"/>
      <c r="C225" s="22"/>
      <c r="D225" s="22"/>
      <c r="E225" s="22"/>
      <c r="F225" s="22"/>
      <c r="G225" s="22"/>
      <c r="H225" s="22"/>
      <c r="I225" s="22"/>
      <c r="J225" s="22"/>
      <c r="K225" s="22"/>
    </row>
    <row r="226" spans="1:11" x14ac:dyDescent="0.2">
      <c r="A226" s="22"/>
      <c r="B226" s="22"/>
      <c r="C226" s="22"/>
      <c r="D226" s="22"/>
      <c r="E226" s="22"/>
      <c r="F226" s="22"/>
      <c r="G226" s="22"/>
      <c r="H226" s="22"/>
      <c r="I226" s="22"/>
      <c r="J226" s="22"/>
      <c r="K226" s="22"/>
    </row>
    <row r="227" spans="1:11" x14ac:dyDescent="0.2">
      <c r="A227" s="22"/>
      <c r="B227" s="22"/>
      <c r="C227" s="22"/>
      <c r="D227" s="22"/>
      <c r="E227" s="22"/>
      <c r="F227" s="22"/>
      <c r="G227" s="22"/>
      <c r="H227" s="22"/>
      <c r="I227" s="22"/>
      <c r="J227" s="22"/>
      <c r="K227" s="22"/>
    </row>
    <row r="228" spans="1:11" x14ac:dyDescent="0.2">
      <c r="A228" s="22"/>
      <c r="B228" s="22"/>
      <c r="C228" s="22"/>
      <c r="D228" s="22"/>
      <c r="E228" s="22"/>
      <c r="F228" s="22"/>
      <c r="G228" s="22"/>
      <c r="H228" s="22"/>
      <c r="I228" s="22"/>
      <c r="J228" s="22"/>
      <c r="K228" s="22"/>
    </row>
    <row r="229" spans="1:11" x14ac:dyDescent="0.2">
      <c r="A229" s="22"/>
      <c r="B229" s="22"/>
      <c r="C229" s="22"/>
      <c r="D229" s="22"/>
      <c r="E229" s="22"/>
      <c r="F229" s="22"/>
      <c r="G229" s="22"/>
      <c r="H229" s="22"/>
      <c r="I229" s="22"/>
      <c r="J229" s="22"/>
      <c r="K229" s="22"/>
    </row>
    <row r="230" spans="1:11" x14ac:dyDescent="0.2">
      <c r="A230" s="22"/>
      <c r="B230" s="22"/>
      <c r="C230" s="22"/>
      <c r="D230" s="22"/>
      <c r="E230" s="22"/>
      <c r="F230" s="22"/>
      <c r="G230" s="22"/>
      <c r="H230" s="22"/>
      <c r="I230" s="22"/>
      <c r="J230" s="22"/>
      <c r="K230" s="22"/>
    </row>
    <row r="231" spans="1:11" x14ac:dyDescent="0.2">
      <c r="A231" s="22"/>
      <c r="B231" s="22"/>
      <c r="C231" s="22"/>
      <c r="D231" s="22"/>
      <c r="E231" s="22"/>
      <c r="F231" s="22"/>
      <c r="G231" s="22"/>
      <c r="H231" s="22"/>
      <c r="I231" s="22"/>
      <c r="J231" s="22"/>
      <c r="K231" s="22"/>
    </row>
    <row r="232" spans="1:11" x14ac:dyDescent="0.2">
      <c r="A232" s="22"/>
      <c r="B232" s="22"/>
      <c r="C232" s="22"/>
      <c r="D232" s="22"/>
      <c r="E232" s="22"/>
      <c r="F232" s="22"/>
      <c r="G232" s="22"/>
      <c r="H232" s="22"/>
      <c r="I232" s="22"/>
      <c r="J232" s="22"/>
      <c r="K232" s="22"/>
    </row>
    <row r="233" spans="1:11" x14ac:dyDescent="0.2">
      <c r="A233" s="22"/>
      <c r="B233" s="22"/>
      <c r="C233" s="22"/>
      <c r="D233" s="22"/>
      <c r="E233" s="22"/>
      <c r="F233" s="22"/>
      <c r="G233" s="22"/>
      <c r="H233" s="22"/>
      <c r="I233" s="22"/>
      <c r="J233" s="22"/>
      <c r="K233" s="22"/>
    </row>
    <row r="234" spans="1:11" x14ac:dyDescent="0.2">
      <c r="A234" s="22"/>
      <c r="B234" s="22"/>
      <c r="C234" s="22"/>
      <c r="D234" s="22"/>
      <c r="E234" s="22"/>
      <c r="F234" s="22"/>
      <c r="G234" s="22"/>
      <c r="H234" s="22"/>
      <c r="I234" s="22"/>
      <c r="J234" s="22"/>
      <c r="K234" s="22"/>
    </row>
    <row r="235" spans="1:11" x14ac:dyDescent="0.2">
      <c r="A235" s="22"/>
      <c r="B235" s="22"/>
      <c r="C235" s="22"/>
      <c r="D235" s="22"/>
      <c r="E235" s="22"/>
      <c r="F235" s="22"/>
      <c r="G235" s="22"/>
      <c r="H235" s="22"/>
      <c r="I235" s="22"/>
      <c r="J235" s="22"/>
      <c r="K235" s="22"/>
    </row>
    <row r="236" spans="1:11" x14ac:dyDescent="0.2">
      <c r="A236" s="22"/>
      <c r="B236" s="22"/>
      <c r="C236" s="22"/>
      <c r="D236" s="22"/>
      <c r="E236" s="22"/>
      <c r="F236" s="22"/>
      <c r="G236" s="22"/>
      <c r="H236" s="22"/>
      <c r="I236" s="22"/>
      <c r="J236" s="22"/>
      <c r="K236" s="22"/>
    </row>
    <row r="237" spans="1:11" x14ac:dyDescent="0.2">
      <c r="A237" s="22"/>
      <c r="B237" s="22"/>
      <c r="C237" s="22"/>
      <c r="D237" s="22"/>
      <c r="E237" s="22"/>
      <c r="F237" s="22"/>
      <c r="G237" s="22"/>
      <c r="H237" s="22"/>
      <c r="I237" s="22"/>
      <c r="J237" s="22"/>
      <c r="K237" s="22"/>
    </row>
    <row r="238" spans="1:11" x14ac:dyDescent="0.2">
      <c r="A238" s="22"/>
      <c r="B238" s="22"/>
      <c r="C238" s="22"/>
      <c r="D238" s="22"/>
      <c r="E238" s="22"/>
      <c r="F238" s="22"/>
      <c r="G238" s="22"/>
      <c r="H238" s="22"/>
      <c r="I238" s="22"/>
      <c r="J238" s="22"/>
      <c r="K238" s="22"/>
    </row>
    <row r="239" spans="1:11" x14ac:dyDescent="0.2">
      <c r="A239" s="22"/>
      <c r="B239" s="22"/>
      <c r="C239" s="22"/>
      <c r="D239" s="22"/>
      <c r="E239" s="22"/>
      <c r="F239" s="22"/>
      <c r="G239" s="22"/>
      <c r="H239" s="22"/>
      <c r="I239" s="22"/>
      <c r="J239" s="22"/>
      <c r="K239" s="22"/>
    </row>
    <row r="240" spans="1:11" x14ac:dyDescent="0.2">
      <c r="A240" s="22"/>
      <c r="B240" s="22"/>
      <c r="C240" s="22"/>
      <c r="D240" s="22"/>
      <c r="E240" s="22"/>
      <c r="F240" s="22"/>
      <c r="G240" s="22"/>
      <c r="H240" s="22"/>
      <c r="I240" s="22"/>
      <c r="J240" s="22"/>
      <c r="K240" s="22"/>
    </row>
    <row r="241" spans="1:11" x14ac:dyDescent="0.2">
      <c r="A241" s="22"/>
      <c r="B241" s="22"/>
      <c r="C241" s="22"/>
      <c r="D241" s="22"/>
      <c r="E241" s="22"/>
      <c r="F241" s="22"/>
      <c r="G241" s="22"/>
      <c r="H241" s="22"/>
      <c r="I241" s="22"/>
      <c r="J241" s="22"/>
      <c r="K241" s="22"/>
    </row>
    <row r="242" spans="1:11" x14ac:dyDescent="0.2">
      <c r="A242" s="22"/>
      <c r="B242" s="22"/>
      <c r="C242" s="22"/>
      <c r="D242" s="22"/>
      <c r="E242" s="22"/>
      <c r="F242" s="22"/>
      <c r="G242" s="22"/>
      <c r="H242" s="22"/>
      <c r="I242" s="22"/>
      <c r="J242" s="22"/>
      <c r="K242" s="22"/>
    </row>
    <row r="243" spans="1:11" x14ac:dyDescent="0.2">
      <c r="A243" s="22"/>
      <c r="B243" s="22"/>
      <c r="C243" s="22"/>
      <c r="D243" s="22"/>
      <c r="E243" s="22"/>
      <c r="F243" s="22"/>
      <c r="G243" s="22"/>
      <c r="H243" s="22"/>
      <c r="I243" s="22"/>
      <c r="J243" s="22"/>
      <c r="K243" s="22"/>
    </row>
    <row r="244" spans="1:11" x14ac:dyDescent="0.2">
      <c r="A244" s="22"/>
      <c r="B244" s="22"/>
      <c r="C244" s="22"/>
      <c r="D244" s="22"/>
      <c r="E244" s="22"/>
      <c r="F244" s="22"/>
      <c r="G244" s="22"/>
      <c r="H244" s="22"/>
      <c r="I244" s="22"/>
      <c r="J244" s="22"/>
      <c r="K244" s="22"/>
    </row>
    <row r="245" spans="1:11" x14ac:dyDescent="0.2">
      <c r="A245" s="22"/>
      <c r="B245" s="22"/>
      <c r="C245" s="22"/>
      <c r="D245" s="22"/>
      <c r="E245" s="22"/>
      <c r="F245" s="22"/>
      <c r="G245" s="22"/>
      <c r="H245" s="22"/>
      <c r="I245" s="22"/>
      <c r="J245" s="22"/>
      <c r="K245" s="22"/>
    </row>
    <row r="246" spans="1:11" x14ac:dyDescent="0.2">
      <c r="A246" s="22"/>
      <c r="B246" s="22"/>
      <c r="C246" s="22"/>
      <c r="D246" s="22"/>
      <c r="E246" s="22"/>
      <c r="F246" s="22"/>
      <c r="G246" s="22"/>
      <c r="H246" s="22"/>
      <c r="I246" s="22"/>
      <c r="J246" s="22"/>
      <c r="K246" s="22"/>
    </row>
    <row r="247" spans="1:11" x14ac:dyDescent="0.2">
      <c r="A247" s="22"/>
      <c r="B247" s="22"/>
      <c r="C247" s="22"/>
      <c r="D247" s="22"/>
      <c r="E247" s="22"/>
      <c r="F247" s="22"/>
      <c r="G247" s="22"/>
      <c r="H247" s="22"/>
      <c r="I247" s="22"/>
      <c r="J247" s="22"/>
      <c r="K247" s="22"/>
    </row>
    <row r="248" spans="1:11" x14ac:dyDescent="0.2">
      <c r="A248" s="22"/>
      <c r="B248" s="22"/>
      <c r="C248" s="22"/>
      <c r="D248" s="22"/>
      <c r="E248" s="22"/>
      <c r="F248" s="22"/>
      <c r="G248" s="22"/>
      <c r="H248" s="22"/>
      <c r="I248" s="22"/>
      <c r="J248" s="22"/>
      <c r="K248" s="22"/>
    </row>
    <row r="249" spans="1:11" x14ac:dyDescent="0.2">
      <c r="A249" s="22"/>
      <c r="B249" s="22"/>
      <c r="C249" s="22"/>
      <c r="D249" s="22"/>
      <c r="E249" s="22"/>
      <c r="F249" s="22"/>
      <c r="G249" s="22"/>
      <c r="H249" s="22"/>
      <c r="I249" s="22"/>
      <c r="J249" s="22"/>
      <c r="K249" s="22"/>
    </row>
    <row r="250" spans="1:11" x14ac:dyDescent="0.2">
      <c r="A250" s="22"/>
      <c r="B250" s="22"/>
      <c r="C250" s="22"/>
      <c r="D250" s="22"/>
      <c r="E250" s="22"/>
      <c r="F250" s="22"/>
      <c r="G250" s="22"/>
      <c r="H250" s="22"/>
      <c r="I250" s="22"/>
      <c r="J250" s="22"/>
      <c r="K250" s="22"/>
    </row>
    <row r="251" spans="1:11" x14ac:dyDescent="0.2">
      <c r="A251" s="22"/>
      <c r="B251" s="22"/>
      <c r="C251" s="22"/>
      <c r="D251" s="22"/>
      <c r="E251" s="22"/>
      <c r="F251" s="22"/>
      <c r="G251" s="22"/>
      <c r="H251" s="22"/>
      <c r="I251" s="22"/>
      <c r="J251" s="22"/>
      <c r="K251" s="22"/>
    </row>
    <row r="252" spans="1:11" x14ac:dyDescent="0.2">
      <c r="A252" s="22"/>
      <c r="B252" s="22"/>
      <c r="C252" s="22"/>
      <c r="D252" s="22"/>
      <c r="E252" s="22"/>
      <c r="F252" s="22"/>
      <c r="G252" s="22"/>
      <c r="H252" s="22"/>
      <c r="I252" s="22"/>
      <c r="J252" s="22"/>
      <c r="K252" s="22"/>
    </row>
    <row r="253" spans="1:11" x14ac:dyDescent="0.2">
      <c r="A253" s="22"/>
      <c r="B253" s="22"/>
      <c r="C253" s="22"/>
      <c r="D253" s="22"/>
      <c r="E253" s="22"/>
      <c r="F253" s="22"/>
      <c r="G253" s="22"/>
      <c r="H253" s="22"/>
      <c r="I253" s="22"/>
      <c r="J253" s="22"/>
      <c r="K253" s="22"/>
    </row>
    <row r="254" spans="1:11" x14ac:dyDescent="0.2">
      <c r="A254" s="22"/>
      <c r="B254" s="22"/>
      <c r="C254" s="22"/>
      <c r="D254" s="22"/>
      <c r="E254" s="22"/>
      <c r="F254" s="22"/>
      <c r="G254" s="22"/>
      <c r="H254" s="22"/>
      <c r="I254" s="22"/>
      <c r="J254" s="22"/>
      <c r="K254" s="22"/>
    </row>
    <row r="255" spans="1:11" x14ac:dyDescent="0.2">
      <c r="A255" s="22"/>
      <c r="B255" s="22"/>
      <c r="C255" s="22"/>
      <c r="D255" s="22"/>
      <c r="E255" s="22"/>
      <c r="F255" s="22"/>
      <c r="G255" s="22"/>
      <c r="H255" s="22"/>
      <c r="I255" s="22"/>
      <c r="J255" s="22"/>
      <c r="K255" s="22"/>
    </row>
    <row r="256" spans="1:11" x14ac:dyDescent="0.2">
      <c r="A256" s="22"/>
      <c r="B256" s="22"/>
      <c r="C256" s="22"/>
      <c r="D256" s="22"/>
      <c r="E256" s="22"/>
      <c r="F256" s="22"/>
      <c r="G256" s="22"/>
      <c r="H256" s="22"/>
      <c r="I256" s="22"/>
      <c r="J256" s="22"/>
      <c r="K256" s="22"/>
    </row>
    <row r="257" spans="1:11" x14ac:dyDescent="0.2">
      <c r="A257" s="22"/>
      <c r="B257" s="22"/>
      <c r="C257" s="22"/>
      <c r="D257" s="22"/>
      <c r="E257" s="22"/>
      <c r="F257" s="22"/>
      <c r="G257" s="22"/>
      <c r="H257" s="22"/>
      <c r="I257" s="22"/>
      <c r="J257" s="22"/>
      <c r="K257" s="22"/>
    </row>
    <row r="258" spans="1:11" x14ac:dyDescent="0.2">
      <c r="A258" s="22"/>
      <c r="B258" s="22"/>
      <c r="C258" s="22"/>
      <c r="D258" s="22"/>
      <c r="E258" s="22"/>
      <c r="F258" s="22"/>
      <c r="G258" s="22"/>
      <c r="H258" s="22"/>
      <c r="I258" s="22"/>
      <c r="J258" s="22"/>
      <c r="K258" s="22"/>
    </row>
    <row r="259" spans="1:11" x14ac:dyDescent="0.2">
      <c r="A259" s="22"/>
      <c r="B259" s="22"/>
      <c r="C259" s="22"/>
      <c r="D259" s="22"/>
      <c r="E259" s="22"/>
      <c r="F259" s="22"/>
      <c r="G259" s="22"/>
      <c r="H259" s="22"/>
      <c r="I259" s="22"/>
      <c r="J259" s="22"/>
      <c r="K259" s="22"/>
    </row>
    <row r="260" spans="1:11" x14ac:dyDescent="0.2">
      <c r="A260" s="22"/>
      <c r="B260" s="22"/>
      <c r="C260" s="22"/>
      <c r="D260" s="22"/>
      <c r="E260" s="22"/>
      <c r="F260" s="22"/>
      <c r="G260" s="22"/>
      <c r="H260" s="22"/>
      <c r="I260" s="22"/>
      <c r="J260" s="22"/>
      <c r="K260" s="22"/>
    </row>
    <row r="261" spans="1:11" x14ac:dyDescent="0.2">
      <c r="A261" s="22"/>
      <c r="B261" s="22"/>
      <c r="C261" s="22"/>
      <c r="D261" s="22"/>
      <c r="E261" s="22"/>
      <c r="F261" s="22"/>
      <c r="G261" s="22"/>
      <c r="H261" s="22"/>
      <c r="I261" s="22"/>
      <c r="J261" s="22"/>
      <c r="K261" s="22"/>
    </row>
    <row r="262" spans="1:11" x14ac:dyDescent="0.2">
      <c r="A262" s="22"/>
      <c r="B262" s="22"/>
      <c r="C262" s="22"/>
      <c r="D262" s="22"/>
      <c r="E262" s="22"/>
      <c r="F262" s="22"/>
      <c r="G262" s="22"/>
      <c r="H262" s="22"/>
      <c r="I262" s="22"/>
      <c r="J262" s="22"/>
      <c r="K262" s="22"/>
    </row>
    <row r="263" spans="1:11" x14ac:dyDescent="0.2">
      <c r="A263" s="22"/>
      <c r="B263" s="22"/>
      <c r="C263" s="22"/>
      <c r="D263" s="22"/>
      <c r="E263" s="22"/>
      <c r="F263" s="22"/>
      <c r="G263" s="22"/>
      <c r="H263" s="22"/>
      <c r="I263" s="22"/>
      <c r="J263" s="22"/>
      <c r="K263" s="22"/>
    </row>
    <row r="264" spans="1:11" x14ac:dyDescent="0.2">
      <c r="A264" s="22"/>
      <c r="B264" s="22"/>
      <c r="C264" s="22"/>
      <c r="D264" s="22"/>
      <c r="E264" s="22"/>
      <c r="F264" s="22"/>
      <c r="G264" s="22"/>
      <c r="H264" s="22"/>
      <c r="I264" s="22"/>
      <c r="J264" s="22"/>
      <c r="K264" s="22"/>
    </row>
    <row r="265" spans="1:11" x14ac:dyDescent="0.2">
      <c r="A265" s="22"/>
      <c r="B265" s="22"/>
      <c r="C265" s="22"/>
      <c r="D265" s="22"/>
      <c r="E265" s="22"/>
      <c r="F265" s="22"/>
      <c r="G265" s="22"/>
      <c r="H265" s="22"/>
      <c r="I265" s="22"/>
      <c r="J265" s="22"/>
      <c r="K265" s="22"/>
    </row>
    <row r="266" spans="1:11" x14ac:dyDescent="0.2">
      <c r="A266" s="22"/>
      <c r="B266" s="22"/>
      <c r="C266" s="22"/>
      <c r="D266" s="22"/>
      <c r="E266" s="22"/>
      <c r="F266" s="22"/>
      <c r="G266" s="22"/>
      <c r="H266" s="22"/>
      <c r="I266" s="22"/>
      <c r="J266" s="22"/>
      <c r="K266" s="22"/>
    </row>
    <row r="267" spans="1:11" x14ac:dyDescent="0.2">
      <c r="A267" s="22"/>
      <c r="B267" s="22"/>
      <c r="C267" s="22"/>
      <c r="D267" s="22"/>
      <c r="E267" s="22"/>
      <c r="F267" s="22"/>
      <c r="G267" s="22"/>
      <c r="H267" s="22"/>
      <c r="I267" s="22"/>
      <c r="J267" s="22"/>
      <c r="K267" s="22"/>
    </row>
    <row r="268" spans="1:11" x14ac:dyDescent="0.2">
      <c r="A268" s="22"/>
      <c r="B268" s="22"/>
      <c r="C268" s="22"/>
      <c r="D268" s="22"/>
      <c r="E268" s="22"/>
      <c r="F268" s="22"/>
      <c r="G268" s="22"/>
      <c r="H268" s="22"/>
      <c r="I268" s="22"/>
      <c r="J268" s="22"/>
      <c r="K268" s="22"/>
    </row>
    <row r="269" spans="1:11" x14ac:dyDescent="0.2">
      <c r="A269" s="22"/>
      <c r="B269" s="22"/>
      <c r="C269" s="22"/>
      <c r="D269" s="22"/>
      <c r="E269" s="22"/>
      <c r="F269" s="22"/>
      <c r="G269" s="22"/>
      <c r="H269" s="22"/>
      <c r="I269" s="22"/>
      <c r="J269" s="22"/>
      <c r="K269" s="22"/>
    </row>
    <row r="270" spans="1:11" x14ac:dyDescent="0.2">
      <c r="A270" s="22"/>
      <c r="B270" s="22"/>
      <c r="C270" s="22"/>
      <c r="D270" s="22"/>
      <c r="E270" s="22"/>
      <c r="F270" s="22"/>
      <c r="G270" s="22"/>
      <c r="H270" s="22"/>
      <c r="I270" s="22"/>
      <c r="J270" s="22"/>
      <c r="K270" s="22"/>
    </row>
    <row r="271" spans="1:11" x14ac:dyDescent="0.2">
      <c r="A271" s="22"/>
      <c r="B271" s="22"/>
      <c r="C271" s="22"/>
      <c r="D271" s="22"/>
      <c r="E271" s="22"/>
      <c r="F271" s="22"/>
      <c r="G271" s="22"/>
      <c r="H271" s="22"/>
      <c r="I271" s="22"/>
      <c r="J271" s="22"/>
      <c r="K271" s="22"/>
    </row>
    <row r="272" spans="1:11" x14ac:dyDescent="0.2">
      <c r="A272" s="22"/>
      <c r="B272" s="22"/>
      <c r="C272" s="22"/>
      <c r="D272" s="22"/>
      <c r="E272" s="22"/>
      <c r="F272" s="22"/>
      <c r="G272" s="22"/>
      <c r="H272" s="22"/>
      <c r="I272" s="22"/>
      <c r="J272" s="22"/>
      <c r="K272" s="22"/>
    </row>
    <row r="273" spans="1:11" x14ac:dyDescent="0.2">
      <c r="A273" s="22"/>
      <c r="B273" s="22"/>
      <c r="C273" s="22"/>
      <c r="D273" s="22"/>
      <c r="E273" s="22"/>
      <c r="F273" s="22"/>
      <c r="G273" s="22"/>
      <c r="H273" s="22"/>
      <c r="I273" s="22"/>
      <c r="J273" s="22"/>
      <c r="K273" s="22"/>
    </row>
    <row r="274" spans="1:11" x14ac:dyDescent="0.2">
      <c r="A274" s="22"/>
      <c r="B274" s="22"/>
      <c r="C274" s="22"/>
      <c r="D274" s="22"/>
      <c r="E274" s="22"/>
      <c r="F274" s="22"/>
      <c r="G274" s="22"/>
      <c r="H274" s="22"/>
      <c r="I274" s="22"/>
      <c r="J274" s="22"/>
      <c r="K274" s="22"/>
    </row>
    <row r="275" spans="1:11" x14ac:dyDescent="0.2">
      <c r="A275" s="22"/>
      <c r="B275" s="22"/>
      <c r="C275" s="22"/>
      <c r="D275" s="22"/>
      <c r="E275" s="22"/>
      <c r="F275" s="22"/>
      <c r="G275" s="22"/>
      <c r="H275" s="22"/>
      <c r="I275" s="22"/>
      <c r="J275" s="22"/>
      <c r="K275" s="22"/>
    </row>
    <row r="276" spans="1:11" x14ac:dyDescent="0.2">
      <c r="A276" s="22"/>
      <c r="B276" s="22"/>
      <c r="C276" s="22"/>
      <c r="D276" s="22"/>
      <c r="E276" s="22"/>
      <c r="F276" s="22"/>
      <c r="G276" s="22"/>
      <c r="H276" s="22"/>
      <c r="I276" s="22"/>
      <c r="J276" s="22"/>
      <c r="K276" s="22"/>
    </row>
    <row r="277" spans="1:11" x14ac:dyDescent="0.2">
      <c r="A277" s="22"/>
      <c r="B277" s="22"/>
      <c r="C277" s="22"/>
      <c r="D277" s="22"/>
      <c r="E277" s="22"/>
      <c r="F277" s="22"/>
      <c r="G277" s="22"/>
      <c r="H277" s="22"/>
      <c r="I277" s="22"/>
      <c r="J277" s="22"/>
      <c r="K277" s="22"/>
    </row>
    <row r="278" spans="1:11" x14ac:dyDescent="0.2">
      <c r="A278" s="22"/>
      <c r="B278" s="22"/>
      <c r="C278" s="22"/>
      <c r="D278" s="22"/>
      <c r="E278" s="22"/>
      <c r="F278" s="22"/>
      <c r="G278" s="22"/>
      <c r="H278" s="22"/>
      <c r="I278" s="22"/>
      <c r="J278" s="22"/>
      <c r="K278" s="22"/>
    </row>
    <row r="279" spans="1:11" x14ac:dyDescent="0.2">
      <c r="A279" s="22"/>
      <c r="B279" s="22"/>
      <c r="C279" s="22"/>
      <c r="D279" s="22"/>
      <c r="E279" s="22"/>
      <c r="F279" s="22"/>
      <c r="G279" s="22"/>
      <c r="H279" s="22"/>
      <c r="I279" s="22"/>
      <c r="J279" s="22"/>
      <c r="K279" s="22"/>
    </row>
    <row r="280" spans="1:11" x14ac:dyDescent="0.2">
      <c r="A280" s="22"/>
      <c r="B280" s="22"/>
      <c r="C280" s="22"/>
      <c r="D280" s="22"/>
      <c r="E280" s="22"/>
      <c r="F280" s="22"/>
      <c r="G280" s="22"/>
      <c r="H280" s="22"/>
      <c r="I280" s="22"/>
      <c r="J280" s="22"/>
      <c r="K280" s="22"/>
    </row>
    <row r="281" spans="1:11" x14ac:dyDescent="0.2">
      <c r="A281" s="22"/>
      <c r="B281" s="22"/>
      <c r="C281" s="22"/>
      <c r="D281" s="22"/>
      <c r="E281" s="22"/>
      <c r="F281" s="22"/>
      <c r="G281" s="22"/>
      <c r="H281" s="22"/>
      <c r="I281" s="22"/>
      <c r="J281" s="22"/>
      <c r="K281" s="22"/>
    </row>
    <row r="282" spans="1:11" x14ac:dyDescent="0.2">
      <c r="A282" s="22"/>
      <c r="B282" s="22"/>
      <c r="C282" s="22"/>
      <c r="D282" s="22"/>
      <c r="E282" s="22"/>
      <c r="F282" s="22"/>
      <c r="G282" s="22"/>
      <c r="H282" s="22"/>
      <c r="I282" s="22"/>
      <c r="J282" s="22"/>
      <c r="K282" s="22"/>
    </row>
    <row r="283" spans="1:11" x14ac:dyDescent="0.2">
      <c r="A283" s="22"/>
      <c r="B283" s="22"/>
      <c r="C283" s="22"/>
      <c r="D283" s="22"/>
      <c r="E283" s="22"/>
      <c r="F283" s="22"/>
      <c r="G283" s="22"/>
      <c r="H283" s="22"/>
      <c r="I283" s="22"/>
      <c r="J283" s="22"/>
      <c r="K283" s="22"/>
    </row>
    <row r="284" spans="1:11" x14ac:dyDescent="0.2">
      <c r="A284" s="22"/>
      <c r="B284" s="22"/>
      <c r="C284" s="22"/>
      <c r="D284" s="22"/>
      <c r="E284" s="22"/>
      <c r="F284" s="22"/>
      <c r="G284" s="22"/>
      <c r="H284" s="22"/>
      <c r="I284" s="22"/>
      <c r="J284" s="22"/>
      <c r="K284" s="22"/>
    </row>
    <row r="285" spans="1:11" x14ac:dyDescent="0.2">
      <c r="A285" s="22"/>
      <c r="B285" s="22"/>
      <c r="C285" s="22"/>
      <c r="D285" s="22"/>
      <c r="E285" s="22"/>
      <c r="F285" s="22"/>
      <c r="G285" s="22"/>
      <c r="H285" s="22"/>
      <c r="I285" s="22"/>
      <c r="J285" s="22"/>
      <c r="K285" s="22"/>
    </row>
    <row r="286" spans="1:11" x14ac:dyDescent="0.2">
      <c r="A286" s="22"/>
      <c r="B286" s="22"/>
      <c r="C286" s="22"/>
      <c r="D286" s="22"/>
      <c r="E286" s="22"/>
      <c r="F286" s="22"/>
      <c r="G286" s="22"/>
      <c r="H286" s="22"/>
      <c r="I286" s="22"/>
      <c r="J286" s="22"/>
      <c r="K286" s="22"/>
    </row>
    <row r="287" spans="1:11" x14ac:dyDescent="0.2">
      <c r="A287" s="22"/>
      <c r="B287" s="22"/>
      <c r="C287" s="22"/>
      <c r="D287" s="22"/>
      <c r="E287" s="22"/>
      <c r="F287" s="22"/>
      <c r="G287" s="22"/>
      <c r="H287" s="22"/>
      <c r="I287" s="22"/>
      <c r="J287" s="22"/>
      <c r="K287" s="22"/>
    </row>
    <row r="288" spans="1:11" x14ac:dyDescent="0.2">
      <c r="A288" s="22"/>
      <c r="B288" s="22"/>
      <c r="C288" s="22"/>
      <c r="D288" s="22"/>
      <c r="E288" s="22"/>
      <c r="F288" s="22"/>
      <c r="G288" s="22"/>
      <c r="H288" s="22"/>
      <c r="I288" s="22"/>
      <c r="J288" s="22"/>
      <c r="K288" s="22"/>
    </row>
    <row r="289" spans="1:11" x14ac:dyDescent="0.2">
      <c r="A289" s="22"/>
      <c r="B289" s="22"/>
      <c r="C289" s="22"/>
      <c r="D289" s="22"/>
      <c r="E289" s="22"/>
      <c r="F289" s="22"/>
      <c r="G289" s="22"/>
      <c r="H289" s="22"/>
      <c r="I289" s="22"/>
      <c r="J289" s="22"/>
      <c r="K289" s="22"/>
    </row>
    <row r="290" spans="1:11" x14ac:dyDescent="0.2">
      <c r="A290" s="22"/>
      <c r="B290" s="22"/>
      <c r="C290" s="22"/>
      <c r="D290" s="22"/>
      <c r="E290" s="22"/>
      <c r="F290" s="22"/>
      <c r="G290" s="22"/>
      <c r="H290" s="22"/>
      <c r="I290" s="22"/>
      <c r="J290" s="22"/>
      <c r="K290" s="22"/>
    </row>
    <row r="291" spans="1:11" x14ac:dyDescent="0.2">
      <c r="A291" s="22"/>
      <c r="B291" s="22"/>
      <c r="C291" s="22"/>
      <c r="D291" s="22"/>
      <c r="E291" s="22"/>
      <c r="F291" s="22"/>
      <c r="G291" s="22"/>
      <c r="H291" s="22"/>
      <c r="I291" s="22"/>
      <c r="J291" s="22"/>
      <c r="K291" s="22"/>
    </row>
    <row r="292" spans="1:11" x14ac:dyDescent="0.2">
      <c r="A292" s="22"/>
      <c r="B292" s="22"/>
      <c r="C292" s="22"/>
      <c r="D292" s="22"/>
      <c r="E292" s="22"/>
      <c r="F292" s="22"/>
      <c r="G292" s="22"/>
      <c r="H292" s="22"/>
      <c r="I292" s="22"/>
      <c r="J292" s="22"/>
      <c r="K292" s="22"/>
    </row>
    <row r="293" spans="1:11" x14ac:dyDescent="0.2">
      <c r="A293" s="22"/>
      <c r="B293" s="22"/>
      <c r="C293" s="22"/>
      <c r="D293" s="22"/>
      <c r="E293" s="22"/>
      <c r="F293" s="22"/>
      <c r="G293" s="22"/>
      <c r="H293" s="22"/>
      <c r="I293" s="22"/>
      <c r="J293" s="22"/>
      <c r="K293" s="22"/>
    </row>
    <row r="294" spans="1:11" x14ac:dyDescent="0.2">
      <c r="A294" s="22"/>
      <c r="B294" s="22"/>
      <c r="C294" s="22"/>
      <c r="D294" s="22"/>
      <c r="E294" s="22"/>
      <c r="F294" s="22"/>
      <c r="G294" s="22"/>
      <c r="H294" s="22"/>
      <c r="I294" s="22"/>
      <c r="J294" s="22"/>
      <c r="K294" s="22"/>
    </row>
    <row r="295" spans="1:11" x14ac:dyDescent="0.2">
      <c r="A295" s="22"/>
      <c r="B295" s="22"/>
      <c r="C295" s="22"/>
      <c r="D295" s="22"/>
      <c r="E295" s="22"/>
      <c r="F295" s="22"/>
      <c r="G295" s="22"/>
      <c r="H295" s="22"/>
      <c r="I295" s="22"/>
      <c r="J295" s="22"/>
      <c r="K295" s="22"/>
    </row>
    <row r="296" spans="1:11" x14ac:dyDescent="0.2">
      <c r="A296" s="22"/>
      <c r="B296" s="22"/>
      <c r="C296" s="22"/>
      <c r="D296" s="22"/>
      <c r="E296" s="22"/>
      <c r="F296" s="22"/>
      <c r="G296" s="22"/>
      <c r="H296" s="22"/>
      <c r="I296" s="22"/>
      <c r="J296" s="22"/>
      <c r="K296" s="22"/>
    </row>
    <row r="297" spans="1:11" x14ac:dyDescent="0.2">
      <c r="A297" s="22"/>
      <c r="B297" s="22"/>
      <c r="C297" s="22"/>
      <c r="D297" s="22"/>
      <c r="E297" s="22"/>
      <c r="F297" s="22"/>
      <c r="G297" s="22"/>
      <c r="H297" s="22"/>
      <c r="I297" s="22"/>
      <c r="J297" s="22"/>
      <c r="K297" s="22"/>
    </row>
    <row r="298" spans="1:11" x14ac:dyDescent="0.2">
      <c r="A298" s="22"/>
      <c r="B298" s="22"/>
      <c r="C298" s="22"/>
      <c r="D298" s="22"/>
      <c r="E298" s="22"/>
      <c r="F298" s="22"/>
      <c r="G298" s="22"/>
      <c r="H298" s="22"/>
      <c r="I298" s="22"/>
      <c r="J298" s="22"/>
      <c r="K298" s="22"/>
    </row>
    <row r="299" spans="1:11" x14ac:dyDescent="0.2">
      <c r="A299" s="22"/>
      <c r="B299" s="22"/>
      <c r="C299" s="22"/>
      <c r="D299" s="22"/>
      <c r="E299" s="22"/>
      <c r="F299" s="22"/>
      <c r="G299" s="22"/>
      <c r="H299" s="22"/>
      <c r="I299" s="22"/>
      <c r="J299" s="22"/>
      <c r="K299" s="22"/>
    </row>
    <row r="300" spans="1:11" x14ac:dyDescent="0.2">
      <c r="A300" s="22"/>
      <c r="B300" s="22"/>
      <c r="C300" s="22"/>
      <c r="D300" s="22"/>
      <c r="E300" s="22"/>
      <c r="F300" s="22"/>
      <c r="G300" s="22"/>
      <c r="H300" s="22"/>
      <c r="I300" s="22"/>
      <c r="J300" s="22"/>
      <c r="K300" s="22"/>
    </row>
    <row r="301" spans="1:11" x14ac:dyDescent="0.2">
      <c r="A301" s="22"/>
      <c r="B301" s="22"/>
      <c r="C301" s="22"/>
      <c r="D301" s="22"/>
      <c r="E301" s="22"/>
      <c r="F301" s="22"/>
      <c r="G301" s="22"/>
      <c r="H301" s="22"/>
      <c r="I301" s="22"/>
      <c r="J301" s="22"/>
      <c r="K301" s="22"/>
    </row>
    <row r="302" spans="1:11" x14ac:dyDescent="0.2">
      <c r="A302" s="22"/>
      <c r="B302" s="22"/>
      <c r="C302" s="22"/>
      <c r="D302" s="22"/>
      <c r="E302" s="22"/>
      <c r="F302" s="22"/>
      <c r="G302" s="22"/>
      <c r="H302" s="22"/>
      <c r="I302" s="22"/>
      <c r="J302" s="22"/>
      <c r="K302" s="22"/>
    </row>
    <row r="303" spans="1:11" x14ac:dyDescent="0.2">
      <c r="A303" s="22"/>
      <c r="B303" s="22"/>
      <c r="C303" s="22"/>
      <c r="D303" s="22"/>
      <c r="E303" s="22"/>
      <c r="F303" s="22"/>
      <c r="G303" s="22"/>
      <c r="H303" s="22"/>
      <c r="I303" s="22"/>
      <c r="J303" s="22"/>
      <c r="K303" s="22"/>
    </row>
    <row r="304" spans="1:11" x14ac:dyDescent="0.2">
      <c r="A304" s="22"/>
      <c r="B304" s="22"/>
      <c r="C304" s="22"/>
      <c r="D304" s="22"/>
      <c r="E304" s="22"/>
      <c r="F304" s="22"/>
      <c r="G304" s="22"/>
      <c r="H304" s="22"/>
      <c r="I304" s="22"/>
      <c r="J304" s="22"/>
      <c r="K304" s="22"/>
    </row>
    <row r="305" spans="1:11" x14ac:dyDescent="0.2">
      <c r="A305" s="22"/>
      <c r="B305" s="22"/>
      <c r="C305" s="22"/>
      <c r="D305" s="22"/>
      <c r="E305" s="22"/>
      <c r="F305" s="22"/>
      <c r="G305" s="22"/>
      <c r="H305" s="22"/>
      <c r="I305" s="22"/>
      <c r="J305" s="22"/>
      <c r="K305" s="22"/>
    </row>
    <row r="306" spans="1:11" x14ac:dyDescent="0.2">
      <c r="A306" s="22"/>
      <c r="B306" s="22"/>
      <c r="C306" s="22"/>
      <c r="D306" s="22"/>
      <c r="E306" s="22"/>
      <c r="F306" s="22"/>
      <c r="G306" s="22"/>
      <c r="H306" s="22"/>
      <c r="I306" s="22"/>
      <c r="J306" s="22"/>
      <c r="K306" s="22"/>
    </row>
    <row r="307" spans="1:11" x14ac:dyDescent="0.2">
      <c r="A307" s="22"/>
      <c r="B307" s="22"/>
      <c r="C307" s="22"/>
      <c r="D307" s="22"/>
      <c r="E307" s="22"/>
      <c r="F307" s="22"/>
      <c r="G307" s="22"/>
      <c r="H307" s="22"/>
      <c r="I307" s="22"/>
      <c r="J307" s="22"/>
      <c r="K307" s="22"/>
    </row>
    <row r="308" spans="1:11" x14ac:dyDescent="0.2">
      <c r="A308" s="22"/>
      <c r="B308" s="22"/>
      <c r="C308" s="22"/>
      <c r="D308" s="22"/>
      <c r="E308" s="22"/>
      <c r="F308" s="22"/>
      <c r="G308" s="22"/>
      <c r="H308" s="22"/>
      <c r="I308" s="22"/>
      <c r="J308" s="22"/>
      <c r="K308" s="22"/>
    </row>
    <row r="309" spans="1:11" x14ac:dyDescent="0.2">
      <c r="A309" s="22"/>
      <c r="B309" s="22"/>
      <c r="C309" s="22"/>
      <c r="D309" s="22"/>
      <c r="E309" s="22"/>
      <c r="F309" s="22"/>
      <c r="G309" s="22"/>
      <c r="H309" s="22"/>
      <c r="I309" s="22"/>
      <c r="J309" s="22"/>
      <c r="K309" s="22"/>
    </row>
    <row r="310" spans="1:11" x14ac:dyDescent="0.2">
      <c r="A310" s="22"/>
      <c r="B310" s="22"/>
      <c r="C310" s="22"/>
      <c r="D310" s="22"/>
      <c r="E310" s="22"/>
      <c r="F310" s="22"/>
      <c r="G310" s="22"/>
      <c r="H310" s="22"/>
      <c r="I310" s="22"/>
      <c r="J310" s="22"/>
      <c r="K310" s="22"/>
    </row>
    <row r="311" spans="1:11" x14ac:dyDescent="0.2">
      <c r="A311" s="22"/>
      <c r="B311" s="22"/>
      <c r="C311" s="22"/>
      <c r="D311" s="22"/>
      <c r="E311" s="22"/>
      <c r="F311" s="22"/>
      <c r="G311" s="22"/>
      <c r="H311" s="22"/>
      <c r="I311" s="22"/>
      <c r="J311" s="22"/>
      <c r="K311" s="22"/>
    </row>
    <row r="312" spans="1:11" x14ac:dyDescent="0.2">
      <c r="A312" s="22"/>
      <c r="B312" s="22"/>
      <c r="C312" s="22"/>
      <c r="D312" s="22"/>
      <c r="E312" s="22"/>
      <c r="F312" s="22"/>
      <c r="G312" s="22"/>
      <c r="H312" s="22"/>
      <c r="I312" s="22"/>
      <c r="J312" s="22"/>
      <c r="K312" s="22"/>
    </row>
    <row r="313" spans="1:11" x14ac:dyDescent="0.2">
      <c r="A313" s="22"/>
      <c r="B313" s="22"/>
      <c r="C313" s="22"/>
      <c r="D313" s="22"/>
      <c r="E313" s="22"/>
      <c r="F313" s="22"/>
      <c r="G313" s="22"/>
      <c r="H313" s="22"/>
      <c r="I313" s="22"/>
      <c r="J313" s="22"/>
      <c r="K313" s="22"/>
    </row>
    <row r="314" spans="1:11" x14ac:dyDescent="0.2">
      <c r="A314" s="22"/>
      <c r="B314" s="22"/>
      <c r="C314" s="22"/>
      <c r="D314" s="22"/>
      <c r="E314" s="22"/>
      <c r="F314" s="22"/>
      <c r="G314" s="22"/>
      <c r="H314" s="22"/>
      <c r="I314" s="22"/>
      <c r="J314" s="22"/>
      <c r="K314" s="22"/>
    </row>
    <row r="315" spans="1:11" x14ac:dyDescent="0.2">
      <c r="A315" s="22"/>
      <c r="B315" s="22"/>
      <c r="C315" s="22"/>
      <c r="D315" s="22"/>
      <c r="E315" s="22"/>
      <c r="F315" s="22"/>
      <c r="G315" s="22"/>
      <c r="H315" s="22"/>
      <c r="I315" s="22"/>
      <c r="J315" s="22"/>
      <c r="K315" s="22"/>
    </row>
    <row r="316" spans="1:11" x14ac:dyDescent="0.2">
      <c r="A316" s="22"/>
      <c r="B316" s="22"/>
      <c r="C316" s="22"/>
      <c r="D316" s="22"/>
      <c r="E316" s="22"/>
      <c r="F316" s="22"/>
      <c r="G316" s="22"/>
      <c r="H316" s="22"/>
      <c r="I316" s="22"/>
      <c r="J316" s="22"/>
      <c r="K316" s="22"/>
    </row>
    <row r="317" spans="1:11" x14ac:dyDescent="0.2">
      <c r="A317" s="22"/>
      <c r="B317" s="22"/>
      <c r="C317" s="22"/>
      <c r="D317" s="22"/>
      <c r="E317" s="22"/>
      <c r="F317" s="22"/>
      <c r="G317" s="22"/>
      <c r="H317" s="22"/>
      <c r="I317" s="22"/>
      <c r="J317" s="22"/>
      <c r="K317" s="22"/>
    </row>
    <row r="318" spans="1:11" x14ac:dyDescent="0.2">
      <c r="A318" s="22"/>
      <c r="B318" s="22"/>
      <c r="C318" s="22"/>
      <c r="D318" s="22"/>
      <c r="E318" s="22"/>
      <c r="F318" s="22"/>
      <c r="G318" s="22"/>
      <c r="H318" s="22"/>
      <c r="I318" s="22"/>
      <c r="J318" s="22"/>
      <c r="K318" s="22"/>
    </row>
    <row r="319" spans="1:11" x14ac:dyDescent="0.2">
      <c r="A319" s="22"/>
      <c r="B319" s="22"/>
      <c r="C319" s="22"/>
      <c r="D319" s="22"/>
      <c r="E319" s="22"/>
      <c r="F319" s="22"/>
      <c r="G319" s="22"/>
      <c r="H319" s="22"/>
      <c r="I319" s="22"/>
      <c r="J319" s="22"/>
      <c r="K319" s="22"/>
    </row>
    <row r="320" spans="1:11" x14ac:dyDescent="0.2">
      <c r="A320" s="22"/>
      <c r="B320" s="22"/>
      <c r="C320" s="22"/>
      <c r="D320" s="22"/>
      <c r="E320" s="22"/>
      <c r="F320" s="22"/>
      <c r="G320" s="22"/>
      <c r="H320" s="22"/>
      <c r="I320" s="22"/>
      <c r="J320" s="22"/>
      <c r="K320" s="22"/>
    </row>
    <row r="321" spans="1:11" x14ac:dyDescent="0.2">
      <c r="A321" s="22"/>
      <c r="B321" s="22"/>
      <c r="C321" s="22"/>
      <c r="D321" s="22"/>
      <c r="E321" s="22"/>
      <c r="F321" s="22"/>
      <c r="G321" s="22"/>
      <c r="H321" s="22"/>
      <c r="I321" s="22"/>
      <c r="J321" s="22"/>
      <c r="K321" s="22"/>
    </row>
    <row r="322" spans="1:11" x14ac:dyDescent="0.2">
      <c r="A322" s="22"/>
      <c r="B322" s="22"/>
      <c r="C322" s="22"/>
      <c r="D322" s="22"/>
      <c r="E322" s="22"/>
      <c r="F322" s="22"/>
      <c r="G322" s="22"/>
      <c r="H322" s="22"/>
      <c r="I322" s="22"/>
      <c r="J322" s="22"/>
      <c r="K322" s="22"/>
    </row>
    <row r="323" spans="1:11" x14ac:dyDescent="0.2">
      <c r="A323" s="22"/>
      <c r="B323" s="22"/>
      <c r="C323" s="22"/>
      <c r="D323" s="22"/>
      <c r="E323" s="22"/>
      <c r="F323" s="22"/>
      <c r="G323" s="22"/>
      <c r="H323" s="22"/>
      <c r="I323" s="22"/>
      <c r="J323" s="22"/>
      <c r="K323" s="22"/>
    </row>
    <row r="324" spans="1:11" x14ac:dyDescent="0.2">
      <c r="A324" s="22"/>
      <c r="B324" s="22"/>
      <c r="C324" s="22"/>
      <c r="D324" s="22"/>
      <c r="E324" s="22"/>
      <c r="F324" s="22"/>
      <c r="G324" s="22"/>
      <c r="H324" s="22"/>
      <c r="I324" s="22"/>
      <c r="J324" s="22"/>
      <c r="K324" s="22"/>
    </row>
    <row r="325" spans="1:11" x14ac:dyDescent="0.2">
      <c r="A325" s="22"/>
      <c r="B325" s="22"/>
      <c r="C325" s="22"/>
      <c r="D325" s="22"/>
      <c r="E325" s="22"/>
      <c r="F325" s="22"/>
      <c r="G325" s="22"/>
      <c r="H325" s="22"/>
      <c r="I325" s="22"/>
      <c r="J325" s="22"/>
      <c r="K325" s="22"/>
    </row>
    <row r="326" spans="1:11" x14ac:dyDescent="0.2">
      <c r="A326" s="22"/>
      <c r="B326" s="22"/>
      <c r="C326" s="22"/>
      <c r="D326" s="22"/>
      <c r="E326" s="22"/>
      <c r="F326" s="22"/>
      <c r="G326" s="22"/>
      <c r="H326" s="22"/>
      <c r="I326" s="22"/>
      <c r="J326" s="22"/>
      <c r="K326" s="22"/>
    </row>
    <row r="327" spans="1:11" x14ac:dyDescent="0.2">
      <c r="A327" s="22"/>
      <c r="B327" s="22"/>
      <c r="C327" s="22"/>
      <c r="D327" s="22"/>
      <c r="E327" s="22"/>
      <c r="F327" s="22"/>
      <c r="G327" s="22"/>
      <c r="H327" s="22"/>
      <c r="I327" s="22"/>
      <c r="J327" s="22"/>
      <c r="K327" s="22"/>
    </row>
    <row r="328" spans="1:11" x14ac:dyDescent="0.2">
      <c r="A328" s="22"/>
      <c r="B328" s="22"/>
      <c r="C328" s="22"/>
      <c r="D328" s="22"/>
      <c r="E328" s="22"/>
      <c r="F328" s="22"/>
      <c r="G328" s="22"/>
      <c r="H328" s="22"/>
      <c r="I328" s="22"/>
      <c r="J328" s="22"/>
      <c r="K328" s="22"/>
    </row>
    <row r="329" spans="1:11" x14ac:dyDescent="0.2">
      <c r="A329" s="22"/>
      <c r="B329" s="22"/>
      <c r="C329" s="22"/>
      <c r="D329" s="22"/>
      <c r="E329" s="22"/>
      <c r="F329" s="22"/>
      <c r="G329" s="22"/>
      <c r="H329" s="22"/>
      <c r="I329" s="22"/>
      <c r="J329" s="22"/>
      <c r="K329" s="22"/>
    </row>
    <row r="330" spans="1:11" x14ac:dyDescent="0.2">
      <c r="A330" s="22"/>
      <c r="B330" s="22"/>
      <c r="C330" s="22"/>
      <c r="D330" s="22"/>
      <c r="E330" s="22"/>
      <c r="F330" s="22"/>
      <c r="G330" s="22"/>
      <c r="H330" s="22"/>
      <c r="I330" s="22"/>
      <c r="J330" s="22"/>
      <c r="K330" s="22"/>
    </row>
    <row r="331" spans="1:11" x14ac:dyDescent="0.2">
      <c r="A331" s="22"/>
      <c r="B331" s="22"/>
      <c r="C331" s="22"/>
      <c r="D331" s="22"/>
      <c r="E331" s="22"/>
      <c r="F331" s="22"/>
      <c r="G331" s="22"/>
      <c r="H331" s="22"/>
      <c r="I331" s="22"/>
      <c r="J331" s="22"/>
      <c r="K331" s="22"/>
    </row>
    <row r="332" spans="1:11" x14ac:dyDescent="0.2">
      <c r="A332" s="22"/>
      <c r="B332" s="22"/>
      <c r="C332" s="22"/>
      <c r="D332" s="22"/>
      <c r="E332" s="22"/>
      <c r="F332" s="22"/>
      <c r="G332" s="22"/>
      <c r="H332" s="22"/>
      <c r="I332" s="22"/>
      <c r="J332" s="22"/>
      <c r="K332" s="22"/>
    </row>
    <row r="333" spans="1:11" x14ac:dyDescent="0.2">
      <c r="A333" s="22"/>
      <c r="B333" s="22"/>
      <c r="C333" s="22"/>
      <c r="D333" s="22"/>
      <c r="E333" s="22"/>
      <c r="F333" s="22"/>
      <c r="G333" s="22"/>
      <c r="H333" s="22"/>
      <c r="I333" s="22"/>
      <c r="J333" s="22"/>
      <c r="K333" s="22"/>
    </row>
    <row r="334" spans="1:11" x14ac:dyDescent="0.2">
      <c r="A334" s="22"/>
      <c r="B334" s="22"/>
      <c r="C334" s="22"/>
      <c r="D334" s="22"/>
      <c r="E334" s="22"/>
      <c r="F334" s="22"/>
      <c r="G334" s="22"/>
      <c r="H334" s="22"/>
      <c r="I334" s="22"/>
      <c r="J334" s="22"/>
      <c r="K334" s="22"/>
    </row>
    <row r="335" spans="1:11" x14ac:dyDescent="0.2">
      <c r="A335" s="22"/>
      <c r="B335" s="22"/>
      <c r="C335" s="22"/>
      <c r="D335" s="22"/>
      <c r="E335" s="22"/>
      <c r="F335" s="22"/>
      <c r="G335" s="22"/>
      <c r="H335" s="22"/>
      <c r="I335" s="22"/>
      <c r="J335" s="22"/>
      <c r="K335" s="22"/>
    </row>
    <row r="336" spans="1:11" x14ac:dyDescent="0.2">
      <c r="A336" s="22"/>
      <c r="B336" s="22"/>
      <c r="C336" s="22"/>
      <c r="D336" s="22"/>
      <c r="E336" s="22"/>
      <c r="F336" s="22"/>
      <c r="G336" s="22"/>
      <c r="H336" s="22"/>
      <c r="I336" s="22"/>
      <c r="J336" s="22"/>
      <c r="K336" s="22"/>
    </row>
    <row r="337" spans="1:11" x14ac:dyDescent="0.2">
      <c r="A337" s="22"/>
      <c r="B337" s="22"/>
      <c r="C337" s="22"/>
      <c r="D337" s="22"/>
      <c r="E337" s="22"/>
      <c r="F337" s="22"/>
      <c r="G337" s="22"/>
      <c r="H337" s="22"/>
      <c r="I337" s="22"/>
      <c r="J337" s="22"/>
      <c r="K337" s="22"/>
    </row>
    <row r="338" spans="1:11" x14ac:dyDescent="0.2">
      <c r="A338" s="22"/>
      <c r="B338" s="22"/>
      <c r="C338" s="22"/>
      <c r="D338" s="22"/>
      <c r="E338" s="22"/>
      <c r="F338" s="22"/>
      <c r="G338" s="22"/>
      <c r="H338" s="22"/>
      <c r="I338" s="22"/>
      <c r="J338" s="22"/>
      <c r="K338" s="22"/>
    </row>
    <row r="339" spans="1:11" x14ac:dyDescent="0.2">
      <c r="A339" s="22"/>
      <c r="B339" s="22"/>
      <c r="C339" s="22"/>
      <c r="D339" s="22"/>
      <c r="E339" s="22"/>
      <c r="F339" s="22"/>
      <c r="G339" s="22"/>
      <c r="H339" s="22"/>
      <c r="I339" s="22"/>
      <c r="J339" s="22"/>
      <c r="K339" s="22"/>
    </row>
    <row r="340" spans="1:11" x14ac:dyDescent="0.2">
      <c r="A340" s="22"/>
      <c r="B340" s="22"/>
      <c r="C340" s="22"/>
      <c r="D340" s="22"/>
      <c r="E340" s="22"/>
      <c r="F340" s="22"/>
      <c r="G340" s="22"/>
      <c r="H340" s="22"/>
      <c r="I340" s="22"/>
      <c r="J340" s="22"/>
      <c r="K340" s="22"/>
    </row>
    <row r="341" spans="1:11" x14ac:dyDescent="0.2">
      <c r="A341" s="22"/>
      <c r="B341" s="22"/>
      <c r="C341" s="22"/>
      <c r="D341" s="22"/>
      <c r="E341" s="22"/>
      <c r="F341" s="22"/>
      <c r="G341" s="22"/>
      <c r="H341" s="22"/>
      <c r="I341" s="22"/>
      <c r="J341" s="22"/>
      <c r="K341" s="22"/>
    </row>
    <row r="342" spans="1:11" x14ac:dyDescent="0.2">
      <c r="A342" s="22"/>
      <c r="B342" s="22"/>
      <c r="C342" s="22"/>
      <c r="D342" s="22"/>
      <c r="E342" s="22"/>
      <c r="F342" s="22"/>
      <c r="G342" s="22"/>
      <c r="H342" s="22"/>
      <c r="I342" s="22"/>
      <c r="J342" s="22"/>
      <c r="K342" s="22"/>
    </row>
    <row r="343" spans="1:11" x14ac:dyDescent="0.2">
      <c r="A343" s="22"/>
      <c r="B343" s="22"/>
      <c r="C343" s="22"/>
      <c r="D343" s="22"/>
      <c r="E343" s="22"/>
      <c r="F343" s="22"/>
      <c r="G343" s="22"/>
      <c r="H343" s="22"/>
      <c r="I343" s="22"/>
      <c r="J343" s="22"/>
      <c r="K343" s="22"/>
    </row>
    <row r="344" spans="1:11" x14ac:dyDescent="0.2">
      <c r="A344" s="22"/>
      <c r="B344" s="22"/>
      <c r="C344" s="22"/>
      <c r="D344" s="22"/>
      <c r="E344" s="22"/>
      <c r="F344" s="22"/>
      <c r="G344" s="22"/>
      <c r="H344" s="22"/>
      <c r="I344" s="22"/>
      <c r="J344" s="22"/>
      <c r="K344" s="22"/>
    </row>
    <row r="345" spans="1:11" x14ac:dyDescent="0.2">
      <c r="A345" s="22"/>
      <c r="B345" s="22"/>
      <c r="C345" s="22"/>
      <c r="D345" s="22"/>
      <c r="E345" s="22"/>
      <c r="F345" s="22"/>
      <c r="G345" s="22"/>
      <c r="H345" s="22"/>
      <c r="I345" s="22"/>
      <c r="J345" s="22"/>
      <c r="K345" s="22"/>
    </row>
    <row r="346" spans="1:11" x14ac:dyDescent="0.2">
      <c r="A346" s="22"/>
      <c r="B346" s="22"/>
      <c r="C346" s="22"/>
      <c r="D346" s="22"/>
      <c r="E346" s="22"/>
      <c r="F346" s="22"/>
      <c r="G346" s="22"/>
      <c r="H346" s="22"/>
      <c r="I346" s="22"/>
      <c r="J346" s="22"/>
      <c r="K346" s="22"/>
    </row>
    <row r="347" spans="1:11" x14ac:dyDescent="0.2">
      <c r="A347" s="22"/>
      <c r="B347" s="22"/>
      <c r="C347" s="22"/>
      <c r="D347" s="22"/>
      <c r="E347" s="22"/>
      <c r="F347" s="22"/>
      <c r="G347" s="22"/>
      <c r="H347" s="22"/>
      <c r="I347" s="22"/>
      <c r="J347" s="22"/>
      <c r="K347" s="22"/>
    </row>
    <row r="348" spans="1:11" x14ac:dyDescent="0.2">
      <c r="A348" s="22"/>
      <c r="B348" s="22"/>
      <c r="C348" s="22"/>
      <c r="D348" s="22"/>
      <c r="E348" s="22"/>
      <c r="F348" s="22"/>
      <c r="G348" s="22"/>
      <c r="H348" s="22"/>
      <c r="I348" s="22"/>
      <c r="J348" s="22"/>
      <c r="K348" s="22"/>
    </row>
    <row r="349" spans="1:11" x14ac:dyDescent="0.2">
      <c r="A349" s="22"/>
      <c r="B349" s="22"/>
      <c r="C349" s="22"/>
      <c r="D349" s="22"/>
      <c r="E349" s="22"/>
      <c r="F349" s="22"/>
      <c r="G349" s="22"/>
      <c r="H349" s="22"/>
      <c r="I349" s="22"/>
      <c r="J349" s="22"/>
      <c r="K349" s="22"/>
    </row>
    <row r="350" spans="1:11" x14ac:dyDescent="0.2">
      <c r="A350" s="22"/>
      <c r="B350" s="22"/>
      <c r="C350" s="22"/>
      <c r="D350" s="22"/>
      <c r="E350" s="22"/>
      <c r="F350" s="22"/>
      <c r="G350" s="22"/>
      <c r="H350" s="22"/>
      <c r="I350" s="22"/>
      <c r="J350" s="22"/>
      <c r="K350" s="22"/>
    </row>
    <row r="351" spans="1:11" x14ac:dyDescent="0.2">
      <c r="A351" s="22"/>
      <c r="B351" s="22"/>
      <c r="C351" s="22"/>
      <c r="D351" s="22"/>
      <c r="E351" s="22"/>
      <c r="F351" s="22"/>
      <c r="G351" s="22"/>
      <c r="H351" s="22"/>
      <c r="I351" s="22"/>
      <c r="J351" s="22"/>
      <c r="K351" s="22"/>
    </row>
    <row r="352" spans="1:11" x14ac:dyDescent="0.2">
      <c r="A352" s="22"/>
      <c r="B352" s="22"/>
      <c r="C352" s="22"/>
      <c r="D352" s="22"/>
      <c r="E352" s="22"/>
      <c r="F352" s="22"/>
      <c r="G352" s="22"/>
      <c r="H352" s="22"/>
      <c r="I352" s="22"/>
      <c r="J352" s="22"/>
      <c r="K352" s="22"/>
    </row>
    <row r="353" spans="1:11" x14ac:dyDescent="0.2">
      <c r="A353" s="22"/>
      <c r="B353" s="22"/>
      <c r="C353" s="22"/>
      <c r="D353" s="22"/>
      <c r="E353" s="22"/>
      <c r="F353" s="22"/>
      <c r="G353" s="22"/>
      <c r="H353" s="22"/>
      <c r="I353" s="22"/>
      <c r="J353" s="22"/>
      <c r="K353" s="22"/>
    </row>
    <row r="354" spans="1:11" x14ac:dyDescent="0.2">
      <c r="A354" s="22"/>
      <c r="B354" s="22"/>
      <c r="C354" s="22"/>
      <c r="D354" s="22"/>
      <c r="E354" s="22"/>
      <c r="F354" s="22"/>
      <c r="G354" s="22"/>
      <c r="H354" s="22"/>
      <c r="I354" s="22"/>
      <c r="J354" s="22"/>
      <c r="K354" s="22"/>
    </row>
    <row r="355" spans="1:11" x14ac:dyDescent="0.2">
      <c r="A355" s="22"/>
      <c r="B355" s="22"/>
      <c r="C355" s="22"/>
      <c r="D355" s="22"/>
      <c r="E355" s="22"/>
      <c r="F355" s="22"/>
      <c r="G355" s="22"/>
      <c r="H355" s="22"/>
      <c r="I355" s="22"/>
      <c r="J355" s="22"/>
      <c r="K355" s="22"/>
    </row>
    <row r="356" spans="1:11" x14ac:dyDescent="0.2">
      <c r="A356" s="22"/>
      <c r="B356" s="22"/>
      <c r="C356" s="22"/>
      <c r="D356" s="22"/>
      <c r="E356" s="22"/>
      <c r="F356" s="22"/>
      <c r="G356" s="22"/>
      <c r="H356" s="22"/>
      <c r="I356" s="22"/>
      <c r="J356" s="22"/>
      <c r="K356" s="22"/>
    </row>
    <row r="357" spans="1:11" x14ac:dyDescent="0.2">
      <c r="A357" s="22"/>
      <c r="B357" s="22"/>
      <c r="C357" s="22"/>
      <c r="D357" s="22"/>
      <c r="E357" s="22"/>
      <c r="F357" s="22"/>
      <c r="G357" s="22"/>
      <c r="H357" s="22"/>
      <c r="I357" s="22"/>
      <c r="J357" s="22"/>
      <c r="K357" s="22"/>
    </row>
    <row r="358" spans="1:11" x14ac:dyDescent="0.2">
      <c r="A358" s="22"/>
      <c r="B358" s="22"/>
      <c r="C358" s="22"/>
      <c r="D358" s="22"/>
      <c r="E358" s="22"/>
      <c r="F358" s="22"/>
      <c r="G358" s="22"/>
      <c r="H358" s="22"/>
      <c r="I358" s="22"/>
      <c r="J358" s="22"/>
      <c r="K358" s="22"/>
    </row>
    <row r="359" spans="1:11" x14ac:dyDescent="0.2">
      <c r="A359" s="22"/>
      <c r="B359" s="22"/>
      <c r="C359" s="22"/>
      <c r="D359" s="22"/>
      <c r="E359" s="22"/>
      <c r="F359" s="22"/>
      <c r="G359" s="22"/>
      <c r="H359" s="22"/>
      <c r="I359" s="22"/>
      <c r="J359" s="22"/>
      <c r="K359" s="22"/>
    </row>
    <row r="360" spans="1:11" x14ac:dyDescent="0.2">
      <c r="A360" s="22"/>
      <c r="B360" s="22"/>
      <c r="C360" s="22"/>
      <c r="D360" s="22"/>
      <c r="E360" s="22"/>
      <c r="F360" s="22"/>
      <c r="G360" s="22"/>
      <c r="H360" s="22"/>
      <c r="I360" s="22"/>
      <c r="J360" s="22"/>
      <c r="K360" s="22"/>
    </row>
    <row r="361" spans="1:11" x14ac:dyDescent="0.2">
      <c r="A361" s="22"/>
      <c r="B361" s="22"/>
      <c r="C361" s="22"/>
      <c r="D361" s="22"/>
      <c r="E361" s="22"/>
      <c r="F361" s="22"/>
      <c r="G361" s="22"/>
      <c r="H361" s="22"/>
      <c r="I361" s="22"/>
      <c r="J361" s="22"/>
      <c r="K361" s="22"/>
    </row>
    <row r="362" spans="1:11" x14ac:dyDescent="0.2">
      <c r="A362" s="22"/>
      <c r="B362" s="22"/>
      <c r="C362" s="22"/>
      <c r="D362" s="22"/>
      <c r="E362" s="22"/>
      <c r="F362" s="22"/>
      <c r="G362" s="22"/>
      <c r="H362" s="22"/>
      <c r="I362" s="22"/>
      <c r="J362" s="22"/>
      <c r="K362" s="22"/>
    </row>
    <row r="363" spans="1:11" x14ac:dyDescent="0.2">
      <c r="A363" s="22"/>
      <c r="B363" s="22"/>
      <c r="C363" s="22"/>
      <c r="D363" s="22"/>
      <c r="E363" s="22"/>
      <c r="F363" s="22"/>
      <c r="G363" s="22"/>
      <c r="H363" s="22"/>
      <c r="I363" s="22"/>
      <c r="J363" s="22"/>
      <c r="K363" s="22"/>
    </row>
    <row r="364" spans="1:11" x14ac:dyDescent="0.2">
      <c r="A364" s="22"/>
      <c r="B364" s="22"/>
      <c r="C364" s="22"/>
      <c r="D364" s="22"/>
      <c r="E364" s="22"/>
      <c r="F364" s="22"/>
      <c r="G364" s="22"/>
      <c r="H364" s="22"/>
      <c r="I364" s="22"/>
      <c r="J364" s="22"/>
      <c r="K364" s="22"/>
    </row>
    <row r="365" spans="1:11" x14ac:dyDescent="0.2">
      <c r="A365" s="22"/>
      <c r="B365" s="22"/>
      <c r="C365" s="22"/>
      <c r="D365" s="22"/>
      <c r="E365" s="22"/>
      <c r="F365" s="22"/>
      <c r="G365" s="22"/>
      <c r="H365" s="22"/>
      <c r="I365" s="22"/>
      <c r="J365" s="22"/>
      <c r="K365" s="22"/>
    </row>
    <row r="366" spans="1:11" x14ac:dyDescent="0.2">
      <c r="A366" s="22"/>
      <c r="B366" s="22"/>
      <c r="C366" s="22"/>
      <c r="D366" s="22"/>
      <c r="E366" s="22"/>
      <c r="F366" s="22"/>
      <c r="G366" s="22"/>
      <c r="H366" s="22"/>
      <c r="I366" s="22"/>
      <c r="J366" s="22"/>
      <c r="K366" s="22"/>
    </row>
    <row r="367" spans="1:11" x14ac:dyDescent="0.2">
      <c r="A367" s="22"/>
      <c r="B367" s="22"/>
      <c r="C367" s="22"/>
      <c r="D367" s="22"/>
      <c r="E367" s="22"/>
      <c r="F367" s="22"/>
      <c r="G367" s="22"/>
      <c r="H367" s="22"/>
      <c r="I367" s="22"/>
      <c r="J367" s="22"/>
      <c r="K367" s="22"/>
    </row>
    <row r="368" spans="1:11" x14ac:dyDescent="0.2">
      <c r="A368" s="22"/>
      <c r="B368" s="22"/>
      <c r="C368" s="22"/>
      <c r="D368" s="22"/>
      <c r="E368" s="22"/>
      <c r="F368" s="22"/>
      <c r="G368" s="22"/>
      <c r="H368" s="22"/>
      <c r="I368" s="22"/>
      <c r="J368" s="22"/>
      <c r="K368" s="22"/>
    </row>
    <row r="369" spans="1:11" x14ac:dyDescent="0.2">
      <c r="A369" s="22"/>
      <c r="B369" s="22"/>
      <c r="C369" s="22"/>
      <c r="D369" s="22"/>
      <c r="E369" s="22"/>
      <c r="F369" s="22"/>
      <c r="G369" s="22"/>
      <c r="H369" s="22"/>
      <c r="I369" s="22"/>
      <c r="J369" s="22"/>
      <c r="K369" s="22"/>
    </row>
    <row r="370" spans="1:11" x14ac:dyDescent="0.2">
      <c r="A370" s="22"/>
      <c r="B370" s="22"/>
      <c r="C370" s="22"/>
      <c r="D370" s="22"/>
      <c r="E370" s="22"/>
      <c r="F370" s="22"/>
      <c r="G370" s="22"/>
      <c r="H370" s="22"/>
      <c r="I370" s="22"/>
      <c r="J370" s="22"/>
      <c r="K370" s="22"/>
    </row>
    <row r="371" spans="1:11" x14ac:dyDescent="0.2">
      <c r="A371" s="22"/>
      <c r="B371" s="22"/>
      <c r="C371" s="22"/>
      <c r="D371" s="22"/>
      <c r="E371" s="22"/>
      <c r="F371" s="22"/>
      <c r="G371" s="22"/>
      <c r="H371" s="22"/>
      <c r="I371" s="22"/>
      <c r="J371" s="22"/>
      <c r="K371" s="22"/>
    </row>
    <row r="372" spans="1:11" x14ac:dyDescent="0.2">
      <c r="A372" s="22"/>
      <c r="B372" s="22"/>
      <c r="C372" s="22"/>
      <c r="D372" s="22"/>
      <c r="E372" s="22"/>
      <c r="F372" s="22"/>
      <c r="G372" s="22"/>
      <c r="H372" s="22"/>
      <c r="I372" s="22"/>
      <c r="J372" s="22"/>
      <c r="K372" s="22"/>
    </row>
    <row r="373" spans="1:11" x14ac:dyDescent="0.2">
      <c r="A373" s="22"/>
      <c r="B373" s="22"/>
      <c r="C373" s="22"/>
      <c r="D373" s="22"/>
      <c r="E373" s="22"/>
      <c r="F373" s="22"/>
      <c r="G373" s="22"/>
      <c r="H373" s="22"/>
      <c r="I373" s="22"/>
      <c r="J373" s="22"/>
      <c r="K373" s="22"/>
    </row>
    <row r="374" spans="1:11" x14ac:dyDescent="0.2">
      <c r="A374" s="22"/>
      <c r="B374" s="22"/>
      <c r="C374" s="22"/>
      <c r="D374" s="22"/>
      <c r="E374" s="22"/>
      <c r="F374" s="22"/>
      <c r="G374" s="22"/>
      <c r="H374" s="22"/>
      <c r="I374" s="22"/>
      <c r="J374" s="22"/>
      <c r="K374" s="22"/>
    </row>
    <row r="375" spans="1:11" x14ac:dyDescent="0.2">
      <c r="A375" s="22"/>
      <c r="B375" s="22"/>
      <c r="C375" s="22"/>
      <c r="D375" s="22"/>
      <c r="E375" s="22"/>
      <c r="F375" s="22"/>
      <c r="G375" s="22"/>
      <c r="H375" s="22"/>
      <c r="I375" s="22"/>
      <c r="J375" s="22"/>
      <c r="K375" s="22"/>
    </row>
    <row r="376" spans="1:11" x14ac:dyDescent="0.2">
      <c r="A376" s="22"/>
      <c r="B376" s="22"/>
      <c r="C376" s="22"/>
      <c r="D376" s="22"/>
      <c r="E376" s="22"/>
      <c r="F376" s="22"/>
      <c r="G376" s="22"/>
      <c r="H376" s="22"/>
      <c r="I376" s="22"/>
      <c r="J376" s="22"/>
      <c r="K376" s="22"/>
    </row>
    <row r="377" spans="1:11" x14ac:dyDescent="0.2">
      <c r="A377" s="22"/>
      <c r="B377" s="22"/>
      <c r="C377" s="22"/>
      <c r="D377" s="22"/>
      <c r="E377" s="22"/>
      <c r="F377" s="22"/>
      <c r="G377" s="22"/>
      <c r="H377" s="22"/>
      <c r="I377" s="22"/>
      <c r="J377" s="22"/>
      <c r="K377" s="22"/>
    </row>
    <row r="378" spans="1:11" x14ac:dyDescent="0.2">
      <c r="A378" s="22"/>
      <c r="B378" s="22"/>
      <c r="C378" s="22"/>
      <c r="D378" s="22"/>
      <c r="E378" s="22"/>
      <c r="F378" s="22"/>
      <c r="G378" s="22"/>
      <c r="H378" s="22"/>
      <c r="I378" s="22"/>
      <c r="J378" s="22"/>
      <c r="K378" s="22"/>
    </row>
    <row r="379" spans="1:11" x14ac:dyDescent="0.2">
      <c r="A379" s="22"/>
      <c r="B379" s="22"/>
      <c r="C379" s="22"/>
      <c r="D379" s="22"/>
      <c r="E379" s="22"/>
      <c r="F379" s="22"/>
      <c r="G379" s="22"/>
      <c r="H379" s="22"/>
      <c r="I379" s="22"/>
      <c r="J379" s="22"/>
      <c r="K379" s="22"/>
    </row>
    <row r="380" spans="1:11" x14ac:dyDescent="0.2">
      <c r="A380" s="22"/>
      <c r="B380" s="22"/>
      <c r="C380" s="22"/>
      <c r="D380" s="22"/>
      <c r="E380" s="22"/>
      <c r="F380" s="22"/>
      <c r="G380" s="22"/>
      <c r="H380" s="22"/>
      <c r="I380" s="22"/>
      <c r="J380" s="22"/>
      <c r="K380" s="22"/>
    </row>
    <row r="381" spans="1:11" x14ac:dyDescent="0.2">
      <c r="A381" s="22"/>
      <c r="B381" s="22"/>
      <c r="C381" s="22"/>
      <c r="D381" s="22"/>
      <c r="E381" s="22"/>
      <c r="F381" s="22"/>
      <c r="G381" s="22"/>
      <c r="H381" s="22"/>
      <c r="I381" s="22"/>
      <c r="J381" s="22"/>
      <c r="K381" s="22"/>
    </row>
    <row r="382" spans="1:11" x14ac:dyDescent="0.2">
      <c r="A382" s="22"/>
      <c r="B382" s="22"/>
      <c r="C382" s="22"/>
      <c r="D382" s="22"/>
      <c r="E382" s="22"/>
      <c r="F382" s="22"/>
      <c r="G382" s="22"/>
      <c r="H382" s="22"/>
      <c r="I382" s="22"/>
      <c r="J382" s="22"/>
      <c r="K382" s="22"/>
    </row>
    <row r="383" spans="1:11" x14ac:dyDescent="0.2">
      <c r="A383" s="22"/>
      <c r="B383" s="22"/>
      <c r="C383" s="22"/>
      <c r="D383" s="22"/>
      <c r="E383" s="22"/>
      <c r="F383" s="22"/>
      <c r="G383" s="22"/>
      <c r="H383" s="22"/>
      <c r="I383" s="22"/>
      <c r="J383" s="22"/>
      <c r="K383" s="22"/>
    </row>
    <row r="384" spans="1:11" x14ac:dyDescent="0.2">
      <c r="A384" s="22"/>
      <c r="B384" s="22"/>
      <c r="C384" s="22"/>
      <c r="D384" s="22"/>
      <c r="E384" s="22"/>
      <c r="F384" s="22"/>
      <c r="G384" s="22"/>
      <c r="H384" s="22"/>
      <c r="I384" s="22"/>
      <c r="J384" s="22"/>
      <c r="K384" s="22"/>
    </row>
    <row r="385" spans="1:11" x14ac:dyDescent="0.2">
      <c r="A385" s="22"/>
      <c r="B385" s="22"/>
      <c r="C385" s="22"/>
      <c r="D385" s="22"/>
      <c r="E385" s="22"/>
      <c r="F385" s="22"/>
      <c r="G385" s="22"/>
      <c r="H385" s="22"/>
      <c r="I385" s="22"/>
      <c r="J385" s="22"/>
      <c r="K385" s="22"/>
    </row>
    <row r="386" spans="1:11" x14ac:dyDescent="0.2">
      <c r="A386" s="22"/>
      <c r="B386" s="22"/>
      <c r="C386" s="22"/>
      <c r="D386" s="22"/>
      <c r="E386" s="22"/>
      <c r="F386" s="22"/>
      <c r="G386" s="22"/>
      <c r="H386" s="22"/>
      <c r="I386" s="22"/>
      <c r="J386" s="22"/>
      <c r="K386" s="22"/>
    </row>
    <row r="387" spans="1:11" x14ac:dyDescent="0.2">
      <c r="A387" s="22"/>
      <c r="B387" s="22"/>
      <c r="C387" s="22"/>
      <c r="D387" s="22"/>
      <c r="E387" s="22"/>
      <c r="F387" s="22"/>
      <c r="G387" s="22"/>
      <c r="H387" s="22"/>
      <c r="I387" s="22"/>
      <c r="J387" s="22"/>
      <c r="K387" s="22"/>
    </row>
    <row r="388" spans="1:11" x14ac:dyDescent="0.2">
      <c r="A388" s="22"/>
      <c r="B388" s="22"/>
      <c r="C388" s="22"/>
      <c r="D388" s="22"/>
      <c r="E388" s="22"/>
      <c r="F388" s="22"/>
      <c r="G388" s="22"/>
      <c r="H388" s="22"/>
      <c r="I388" s="22"/>
      <c r="J388" s="22"/>
      <c r="K388" s="22"/>
    </row>
    <row r="389" spans="1:11" x14ac:dyDescent="0.2">
      <c r="A389" s="22"/>
      <c r="B389" s="22"/>
      <c r="C389" s="22"/>
      <c r="D389" s="22"/>
      <c r="E389" s="22"/>
      <c r="F389" s="22"/>
      <c r="G389" s="22"/>
      <c r="H389" s="22"/>
      <c r="I389" s="22"/>
      <c r="J389" s="22"/>
      <c r="K389" s="22"/>
    </row>
    <row r="390" spans="1:11" x14ac:dyDescent="0.2">
      <c r="A390" s="22"/>
      <c r="B390" s="22"/>
      <c r="C390" s="22"/>
      <c r="D390" s="22"/>
      <c r="E390" s="22"/>
      <c r="F390" s="22"/>
      <c r="G390" s="22"/>
      <c r="H390" s="22"/>
      <c r="I390" s="22"/>
      <c r="J390" s="22"/>
      <c r="K390" s="22"/>
    </row>
    <row r="391" spans="1:11" x14ac:dyDescent="0.2">
      <c r="A391" s="22"/>
      <c r="B391" s="22"/>
      <c r="C391" s="22"/>
      <c r="D391" s="22"/>
      <c r="E391" s="22"/>
      <c r="F391" s="22"/>
      <c r="G391" s="22"/>
      <c r="H391" s="22"/>
      <c r="I391" s="22"/>
      <c r="J391" s="22"/>
      <c r="K391" s="22"/>
    </row>
    <row r="392" spans="1:11" x14ac:dyDescent="0.2">
      <c r="A392" s="22"/>
      <c r="B392" s="22"/>
      <c r="C392" s="22"/>
      <c r="D392" s="22"/>
      <c r="E392" s="22"/>
      <c r="F392" s="22"/>
      <c r="G392" s="22"/>
      <c r="H392" s="22"/>
      <c r="I392" s="22"/>
      <c r="J392" s="22"/>
      <c r="K392" s="22"/>
    </row>
    <row r="393" spans="1:11" x14ac:dyDescent="0.2">
      <c r="A393" s="22"/>
      <c r="B393" s="22"/>
      <c r="C393" s="22"/>
      <c r="D393" s="22"/>
      <c r="E393" s="22"/>
      <c r="F393" s="22"/>
      <c r="G393" s="22"/>
      <c r="H393" s="22"/>
      <c r="I393" s="22"/>
      <c r="J393" s="22"/>
      <c r="K393" s="22"/>
    </row>
    <row r="394" spans="1:11" x14ac:dyDescent="0.2">
      <c r="A394" s="22"/>
      <c r="B394" s="22"/>
      <c r="C394" s="22"/>
      <c r="D394" s="22"/>
      <c r="E394" s="22"/>
      <c r="F394" s="22"/>
      <c r="G394" s="22"/>
      <c r="H394" s="22"/>
      <c r="I394" s="22"/>
      <c r="J394" s="22"/>
      <c r="K394" s="22"/>
    </row>
    <row r="395" spans="1:11" x14ac:dyDescent="0.2">
      <c r="A395" s="22"/>
      <c r="B395" s="22"/>
      <c r="C395" s="22"/>
      <c r="D395" s="22"/>
      <c r="E395" s="22"/>
      <c r="F395" s="22"/>
      <c r="G395" s="22"/>
      <c r="H395" s="22"/>
      <c r="I395" s="22"/>
      <c r="J395" s="22"/>
      <c r="K395" s="22"/>
    </row>
    <row r="396" spans="1:11" x14ac:dyDescent="0.2">
      <c r="A396" s="22"/>
      <c r="B396" s="22"/>
      <c r="C396" s="22"/>
      <c r="D396" s="22"/>
      <c r="E396" s="22"/>
      <c r="F396" s="22"/>
      <c r="G396" s="22"/>
      <c r="H396" s="22"/>
      <c r="I396" s="22"/>
      <c r="J396" s="22"/>
      <c r="K396" s="22"/>
    </row>
    <row r="397" spans="1:11" x14ac:dyDescent="0.2">
      <c r="A397" s="22"/>
      <c r="B397" s="22"/>
      <c r="C397" s="22"/>
      <c r="D397" s="22"/>
      <c r="E397" s="22"/>
      <c r="F397" s="22"/>
      <c r="G397" s="22"/>
      <c r="H397" s="22"/>
      <c r="I397" s="22"/>
      <c r="J397" s="22"/>
      <c r="K397" s="22"/>
    </row>
    <row r="398" spans="1:11" x14ac:dyDescent="0.2">
      <c r="A398" s="22"/>
      <c r="B398" s="22"/>
      <c r="C398" s="22"/>
      <c r="D398" s="22"/>
      <c r="E398" s="22"/>
      <c r="F398" s="22"/>
      <c r="G398" s="22"/>
      <c r="H398" s="22"/>
      <c r="I398" s="22"/>
      <c r="J398" s="22"/>
      <c r="K398" s="22"/>
    </row>
    <row r="399" spans="1:11" x14ac:dyDescent="0.2">
      <c r="A399" s="22"/>
      <c r="B399" s="22"/>
      <c r="C399" s="22"/>
      <c r="D399" s="22"/>
      <c r="E399" s="22"/>
      <c r="F399" s="22"/>
      <c r="G399" s="22"/>
      <c r="H399" s="22"/>
      <c r="I399" s="22"/>
      <c r="J399" s="22"/>
      <c r="K399" s="22"/>
    </row>
    <row r="400" spans="1:11" x14ac:dyDescent="0.2">
      <c r="A400" s="22"/>
      <c r="B400" s="22"/>
      <c r="C400" s="22"/>
      <c r="D400" s="22"/>
      <c r="E400" s="22"/>
      <c r="F400" s="22"/>
      <c r="G400" s="22"/>
      <c r="H400" s="22"/>
      <c r="I400" s="22"/>
      <c r="J400" s="22"/>
      <c r="K400" s="22"/>
    </row>
    <row r="401" spans="1:11" x14ac:dyDescent="0.2">
      <c r="A401" s="22"/>
      <c r="B401" s="22"/>
      <c r="C401" s="22"/>
      <c r="D401" s="22"/>
      <c r="E401" s="22"/>
      <c r="F401" s="22"/>
      <c r="G401" s="22"/>
      <c r="H401" s="22"/>
      <c r="I401" s="22"/>
      <c r="J401" s="22"/>
      <c r="K401" s="22"/>
    </row>
    <row r="402" spans="1:11" x14ac:dyDescent="0.2">
      <c r="A402" s="22"/>
      <c r="B402" s="22"/>
      <c r="C402" s="22"/>
      <c r="D402" s="22"/>
      <c r="E402" s="22"/>
      <c r="F402" s="22"/>
      <c r="G402" s="22"/>
      <c r="H402" s="22"/>
      <c r="I402" s="22"/>
      <c r="J402" s="22"/>
      <c r="K402" s="22"/>
    </row>
    <row r="403" spans="1:11" x14ac:dyDescent="0.2">
      <c r="A403" s="22"/>
      <c r="B403" s="22"/>
      <c r="C403" s="22"/>
      <c r="D403" s="22"/>
      <c r="E403" s="22"/>
      <c r="F403" s="22"/>
      <c r="G403" s="22"/>
      <c r="H403" s="22"/>
      <c r="I403" s="22"/>
      <c r="J403" s="22"/>
      <c r="K403" s="22"/>
    </row>
    <row r="404" spans="1:11" x14ac:dyDescent="0.2">
      <c r="A404" s="22"/>
      <c r="B404" s="22"/>
      <c r="C404" s="22"/>
      <c r="D404" s="22"/>
      <c r="E404" s="22"/>
      <c r="F404" s="22"/>
      <c r="G404" s="22"/>
      <c r="H404" s="22"/>
      <c r="I404" s="22"/>
      <c r="J404" s="22"/>
      <c r="K404" s="22"/>
    </row>
    <row r="405" spans="1:11" x14ac:dyDescent="0.2">
      <c r="A405" s="22"/>
      <c r="B405" s="22"/>
      <c r="C405" s="22"/>
      <c r="D405" s="22"/>
      <c r="E405" s="22"/>
      <c r="F405" s="22"/>
      <c r="G405" s="22"/>
      <c r="H405" s="22"/>
      <c r="I405" s="22"/>
      <c r="J405" s="22"/>
      <c r="K405" s="22"/>
    </row>
    <row r="406" spans="1:11" x14ac:dyDescent="0.2">
      <c r="A406" s="22"/>
      <c r="B406" s="22"/>
      <c r="C406" s="22"/>
      <c r="D406" s="22"/>
      <c r="E406" s="22"/>
      <c r="F406" s="22"/>
      <c r="G406" s="22"/>
      <c r="H406" s="22"/>
      <c r="I406" s="22"/>
      <c r="J406" s="22"/>
      <c r="K406" s="22"/>
    </row>
    <row r="407" spans="1:11" x14ac:dyDescent="0.2">
      <c r="A407" s="22"/>
      <c r="B407" s="22"/>
      <c r="C407" s="22"/>
      <c r="D407" s="22"/>
      <c r="E407" s="22"/>
      <c r="F407" s="22"/>
      <c r="G407" s="22"/>
      <c r="H407" s="22"/>
      <c r="I407" s="22"/>
      <c r="J407" s="22"/>
      <c r="K407" s="22"/>
    </row>
    <row r="408" spans="1:11" x14ac:dyDescent="0.2">
      <c r="A408" s="22"/>
      <c r="B408" s="22"/>
      <c r="C408" s="22"/>
      <c r="D408" s="22"/>
      <c r="E408" s="22"/>
      <c r="F408" s="22"/>
      <c r="G408" s="22"/>
      <c r="H408" s="22"/>
      <c r="I408" s="22"/>
      <c r="J408" s="22"/>
      <c r="K408" s="22"/>
    </row>
    <row r="409" spans="1:11" x14ac:dyDescent="0.2">
      <c r="A409" s="22"/>
      <c r="B409" s="22"/>
      <c r="C409" s="22"/>
      <c r="D409" s="22"/>
      <c r="E409" s="22"/>
      <c r="F409" s="22"/>
      <c r="G409" s="22"/>
      <c r="H409" s="22"/>
      <c r="I409" s="22"/>
      <c r="J409" s="22"/>
      <c r="K409" s="22"/>
    </row>
    <row r="410" spans="1:11" x14ac:dyDescent="0.2">
      <c r="A410" s="22"/>
      <c r="B410" s="22"/>
      <c r="C410" s="22"/>
      <c r="D410" s="22"/>
      <c r="E410" s="22"/>
      <c r="F410" s="22"/>
      <c r="G410" s="22"/>
      <c r="H410" s="22"/>
      <c r="I410" s="22"/>
      <c r="J410" s="22"/>
      <c r="K410" s="22"/>
    </row>
    <row r="411" spans="1:11" x14ac:dyDescent="0.2">
      <c r="A411" s="22"/>
      <c r="B411" s="22"/>
      <c r="C411" s="22"/>
      <c r="D411" s="22"/>
      <c r="E411" s="22"/>
      <c r="F411" s="22"/>
      <c r="G411" s="22"/>
      <c r="H411" s="22"/>
      <c r="I411" s="22"/>
      <c r="J411" s="22"/>
      <c r="K411" s="22"/>
    </row>
    <row r="412" spans="1:11" x14ac:dyDescent="0.2">
      <c r="A412" s="22"/>
      <c r="B412" s="22"/>
      <c r="C412" s="22"/>
      <c r="D412" s="22"/>
      <c r="E412" s="22"/>
      <c r="F412" s="22"/>
      <c r="G412" s="22"/>
      <c r="H412" s="22"/>
      <c r="I412" s="22"/>
      <c r="J412" s="22"/>
      <c r="K412" s="22"/>
    </row>
    <row r="413" spans="1:11" x14ac:dyDescent="0.2">
      <c r="A413" s="22"/>
      <c r="B413" s="22"/>
      <c r="C413" s="22"/>
      <c r="D413" s="22"/>
      <c r="E413" s="22"/>
      <c r="F413" s="22"/>
      <c r="G413" s="22"/>
      <c r="H413" s="22"/>
      <c r="I413" s="22"/>
      <c r="J413" s="22"/>
      <c r="K413" s="22"/>
    </row>
    <row r="414" spans="1:11" x14ac:dyDescent="0.2">
      <c r="A414" s="22"/>
      <c r="B414" s="22"/>
      <c r="C414" s="22"/>
      <c r="D414" s="22"/>
      <c r="E414" s="22"/>
      <c r="F414" s="22"/>
      <c r="G414" s="22"/>
      <c r="H414" s="22"/>
      <c r="I414" s="22"/>
      <c r="J414" s="22"/>
      <c r="K414" s="22"/>
    </row>
    <row r="415" spans="1:11" x14ac:dyDescent="0.2">
      <c r="A415" s="22"/>
      <c r="B415" s="22"/>
      <c r="C415" s="22"/>
      <c r="D415" s="22"/>
      <c r="E415" s="22"/>
      <c r="F415" s="22"/>
      <c r="G415" s="22"/>
      <c r="H415" s="22"/>
      <c r="I415" s="22"/>
      <c r="J415" s="22"/>
      <c r="K415" s="22"/>
    </row>
    <row r="416" spans="1:11" x14ac:dyDescent="0.2">
      <c r="A416" s="22"/>
      <c r="B416" s="22"/>
      <c r="C416" s="22"/>
      <c r="D416" s="22"/>
      <c r="E416" s="22"/>
      <c r="F416" s="22"/>
      <c r="G416" s="22"/>
      <c r="H416" s="22"/>
      <c r="I416" s="22"/>
      <c r="J416" s="22"/>
      <c r="K416" s="22"/>
    </row>
    <row r="417" spans="1:11" x14ac:dyDescent="0.2">
      <c r="A417" s="22"/>
      <c r="B417" s="22"/>
      <c r="C417" s="22"/>
      <c r="D417" s="22"/>
      <c r="E417" s="22"/>
      <c r="F417" s="22"/>
      <c r="G417" s="22"/>
      <c r="H417" s="22"/>
      <c r="I417" s="22"/>
      <c r="J417" s="22"/>
      <c r="K417" s="22"/>
    </row>
    <row r="418" spans="1:11" x14ac:dyDescent="0.2">
      <c r="A418" s="22"/>
      <c r="B418" s="22"/>
      <c r="C418" s="22"/>
      <c r="D418" s="22"/>
      <c r="E418" s="22"/>
      <c r="F418" s="22"/>
      <c r="G418" s="22"/>
      <c r="H418" s="22"/>
      <c r="I418" s="22"/>
      <c r="J418" s="22"/>
      <c r="K418" s="22"/>
    </row>
    <row r="419" spans="1:11" x14ac:dyDescent="0.2">
      <c r="A419" s="22"/>
      <c r="B419" s="22"/>
      <c r="C419" s="22"/>
      <c r="D419" s="22"/>
      <c r="E419" s="22"/>
      <c r="F419" s="22"/>
      <c r="G419" s="22"/>
      <c r="H419" s="22"/>
      <c r="I419" s="22"/>
      <c r="J419" s="22"/>
      <c r="K419" s="22"/>
    </row>
    <row r="420" spans="1:11" x14ac:dyDescent="0.2">
      <c r="A420" s="22"/>
      <c r="B420" s="22"/>
      <c r="C420" s="22"/>
      <c r="D420" s="22"/>
      <c r="E420" s="22"/>
      <c r="F420" s="22"/>
      <c r="G420" s="22"/>
      <c r="H420" s="22"/>
      <c r="I420" s="22"/>
      <c r="J420" s="22"/>
      <c r="K420" s="22"/>
    </row>
    <row r="421" spans="1:11" x14ac:dyDescent="0.2">
      <c r="A421" s="22"/>
      <c r="B421" s="22"/>
      <c r="C421" s="22"/>
      <c r="D421" s="22"/>
      <c r="E421" s="22"/>
      <c r="F421" s="22"/>
      <c r="G421" s="22"/>
      <c r="H421" s="22"/>
      <c r="I421" s="22"/>
      <c r="J421" s="22"/>
      <c r="K421" s="22"/>
    </row>
    <row r="422" spans="1:11" x14ac:dyDescent="0.2">
      <c r="A422" s="22"/>
      <c r="B422" s="22"/>
      <c r="C422" s="22"/>
      <c r="D422" s="22"/>
      <c r="E422" s="22"/>
      <c r="F422" s="22"/>
      <c r="G422" s="22"/>
      <c r="H422" s="22"/>
      <c r="I422" s="22"/>
      <c r="J422" s="22"/>
      <c r="K422" s="22"/>
    </row>
    <row r="423" spans="1:11" x14ac:dyDescent="0.2">
      <c r="A423" s="22"/>
      <c r="B423" s="22"/>
      <c r="C423" s="22"/>
      <c r="D423" s="22"/>
      <c r="E423" s="22"/>
      <c r="F423" s="22"/>
      <c r="G423" s="22"/>
      <c r="H423" s="22"/>
      <c r="I423" s="22"/>
      <c r="J423" s="22"/>
      <c r="K423" s="22"/>
    </row>
    <row r="424" spans="1:11" x14ac:dyDescent="0.2">
      <c r="A424" s="22"/>
      <c r="B424" s="22"/>
      <c r="C424" s="22"/>
      <c r="D424" s="22"/>
      <c r="E424" s="22"/>
      <c r="F424" s="22"/>
      <c r="G424" s="22"/>
      <c r="H424" s="22"/>
      <c r="I424" s="22"/>
      <c r="J424" s="22"/>
      <c r="K424" s="22"/>
    </row>
    <row r="425" spans="1:11" x14ac:dyDescent="0.2">
      <c r="A425" s="22"/>
      <c r="B425" s="22"/>
      <c r="C425" s="22"/>
      <c r="D425" s="22"/>
      <c r="E425" s="22"/>
      <c r="F425" s="22"/>
      <c r="G425" s="22"/>
      <c r="H425" s="22"/>
      <c r="I425" s="22"/>
      <c r="J425" s="22"/>
      <c r="K425" s="22"/>
    </row>
    <row r="426" spans="1:11" x14ac:dyDescent="0.2">
      <c r="A426" s="22"/>
      <c r="B426" s="22"/>
      <c r="C426" s="22"/>
      <c r="D426" s="22"/>
      <c r="E426" s="22"/>
      <c r="F426" s="22"/>
      <c r="G426" s="22"/>
      <c r="H426" s="22"/>
      <c r="I426" s="22"/>
      <c r="J426" s="22"/>
      <c r="K426" s="22"/>
    </row>
    <row r="427" spans="1:11" x14ac:dyDescent="0.2">
      <c r="A427" s="22"/>
      <c r="B427" s="22"/>
      <c r="C427" s="22"/>
      <c r="D427" s="22"/>
      <c r="E427" s="22"/>
      <c r="F427" s="22"/>
      <c r="G427" s="22"/>
      <c r="H427" s="22"/>
      <c r="I427" s="22"/>
      <c r="J427" s="22"/>
      <c r="K427" s="22"/>
    </row>
    <row r="428" spans="1:11" x14ac:dyDescent="0.2">
      <c r="A428" s="22"/>
      <c r="B428" s="22"/>
      <c r="C428" s="22"/>
      <c r="D428" s="22"/>
      <c r="E428" s="22"/>
      <c r="F428" s="22"/>
      <c r="G428" s="22"/>
      <c r="H428" s="22"/>
      <c r="I428" s="22"/>
      <c r="J428" s="22"/>
      <c r="K428" s="22"/>
    </row>
    <row r="429" spans="1:11" x14ac:dyDescent="0.2">
      <c r="A429" s="22"/>
      <c r="B429" s="22"/>
      <c r="C429" s="22"/>
      <c r="D429" s="22"/>
      <c r="E429" s="22"/>
      <c r="F429" s="22"/>
      <c r="G429" s="22"/>
      <c r="H429" s="22"/>
      <c r="I429" s="22"/>
      <c r="J429" s="22"/>
      <c r="K429" s="22"/>
    </row>
    <row r="430" spans="1:11" x14ac:dyDescent="0.2">
      <c r="A430" s="22"/>
      <c r="B430" s="22"/>
      <c r="C430" s="22"/>
      <c r="D430" s="22"/>
      <c r="E430" s="22"/>
      <c r="F430" s="22"/>
      <c r="G430" s="22"/>
      <c r="H430" s="22"/>
      <c r="I430" s="22"/>
      <c r="J430" s="22"/>
      <c r="K430" s="22"/>
    </row>
    <row r="431" spans="1:11" x14ac:dyDescent="0.2">
      <c r="A431" s="22"/>
      <c r="B431" s="22"/>
      <c r="C431" s="22"/>
      <c r="D431" s="22"/>
      <c r="E431" s="22"/>
      <c r="F431" s="22"/>
      <c r="G431" s="22"/>
      <c r="H431" s="22"/>
      <c r="I431" s="22"/>
      <c r="J431" s="22"/>
      <c r="K431" s="22"/>
    </row>
    <row r="432" spans="1:11" x14ac:dyDescent="0.2">
      <c r="A432" s="22"/>
      <c r="B432" s="22"/>
      <c r="C432" s="22"/>
      <c r="D432" s="22"/>
      <c r="E432" s="22"/>
      <c r="F432" s="22"/>
      <c r="G432" s="22"/>
      <c r="H432" s="22"/>
      <c r="I432" s="22"/>
      <c r="J432" s="22"/>
      <c r="K432" s="22"/>
    </row>
    <row r="433" spans="1:11" x14ac:dyDescent="0.2">
      <c r="A433" s="22"/>
      <c r="B433" s="22"/>
      <c r="C433" s="22"/>
      <c r="D433" s="22"/>
      <c r="E433" s="22"/>
      <c r="F433" s="22"/>
      <c r="G433" s="22"/>
      <c r="H433" s="22"/>
      <c r="I433" s="22"/>
      <c r="J433" s="22"/>
      <c r="K433" s="22"/>
    </row>
    <row r="434" spans="1:11" x14ac:dyDescent="0.2">
      <c r="A434" s="22"/>
      <c r="B434" s="22"/>
      <c r="C434" s="22"/>
      <c r="D434" s="22"/>
      <c r="E434" s="22"/>
      <c r="F434" s="22"/>
      <c r="G434" s="22"/>
      <c r="H434" s="22"/>
      <c r="I434" s="22"/>
      <c r="J434" s="22"/>
      <c r="K434" s="22"/>
    </row>
    <row r="435" spans="1:11" x14ac:dyDescent="0.2">
      <c r="A435" s="22"/>
      <c r="B435" s="22"/>
      <c r="C435" s="22"/>
      <c r="D435" s="22"/>
      <c r="E435" s="22"/>
      <c r="F435" s="22"/>
      <c r="G435" s="22"/>
      <c r="H435" s="22"/>
      <c r="I435" s="22"/>
      <c r="J435" s="22"/>
      <c r="K435" s="22"/>
    </row>
    <row r="436" spans="1:11" x14ac:dyDescent="0.2">
      <c r="A436" s="22"/>
      <c r="B436" s="22"/>
      <c r="C436" s="22"/>
      <c r="D436" s="22"/>
      <c r="E436" s="22"/>
      <c r="F436" s="22"/>
      <c r="G436" s="22"/>
      <c r="H436" s="22"/>
      <c r="I436" s="22"/>
      <c r="J436" s="22"/>
      <c r="K436" s="22"/>
    </row>
    <row r="437" spans="1:11" x14ac:dyDescent="0.2">
      <c r="A437" s="22"/>
      <c r="B437" s="22"/>
      <c r="C437" s="22"/>
      <c r="D437" s="22"/>
      <c r="E437" s="22"/>
      <c r="F437" s="22"/>
      <c r="G437" s="22"/>
      <c r="H437" s="22"/>
      <c r="I437" s="22"/>
      <c r="J437" s="22"/>
      <c r="K437" s="22"/>
    </row>
    <row r="438" spans="1:11" x14ac:dyDescent="0.2">
      <c r="A438" s="22"/>
      <c r="B438" s="22"/>
      <c r="C438" s="22"/>
      <c r="D438" s="22"/>
      <c r="E438" s="22"/>
      <c r="F438" s="22"/>
      <c r="G438" s="22"/>
      <c r="H438" s="22"/>
      <c r="I438" s="22"/>
      <c r="J438" s="22"/>
      <c r="K438" s="22"/>
    </row>
    <row r="439" spans="1:11" x14ac:dyDescent="0.2">
      <c r="A439" s="22"/>
      <c r="B439" s="22"/>
      <c r="C439" s="22"/>
      <c r="D439" s="22"/>
      <c r="E439" s="22"/>
      <c r="F439" s="22"/>
      <c r="G439" s="22"/>
      <c r="H439" s="22"/>
      <c r="I439" s="22"/>
      <c r="J439" s="22"/>
      <c r="K439" s="22"/>
    </row>
    <row r="440" spans="1:11" x14ac:dyDescent="0.2">
      <c r="A440" s="22"/>
      <c r="B440" s="22"/>
      <c r="C440" s="22"/>
      <c r="D440" s="22"/>
      <c r="E440" s="22"/>
      <c r="F440" s="22"/>
      <c r="G440" s="22"/>
      <c r="H440" s="22"/>
      <c r="I440" s="22"/>
      <c r="J440" s="22"/>
      <c r="K440" s="22"/>
    </row>
    <row r="441" spans="1:11" x14ac:dyDescent="0.2">
      <c r="A441" s="22"/>
      <c r="B441" s="22"/>
      <c r="C441" s="22"/>
      <c r="D441" s="22"/>
      <c r="E441" s="22"/>
      <c r="F441" s="22"/>
      <c r="G441" s="22"/>
      <c r="H441" s="22"/>
      <c r="I441" s="22"/>
      <c r="J441" s="22"/>
      <c r="K441" s="22"/>
    </row>
    <row r="442" spans="1:11" x14ac:dyDescent="0.2">
      <c r="A442" s="22"/>
      <c r="B442" s="22"/>
      <c r="C442" s="22"/>
      <c r="D442" s="22"/>
      <c r="E442" s="22"/>
      <c r="F442" s="22"/>
      <c r="G442" s="22"/>
      <c r="H442" s="22"/>
      <c r="I442" s="22"/>
      <c r="J442" s="22"/>
      <c r="K442" s="22"/>
    </row>
    <row r="443" spans="1:11" x14ac:dyDescent="0.2">
      <c r="A443" s="22"/>
      <c r="B443" s="22"/>
      <c r="C443" s="22"/>
      <c r="D443" s="22"/>
      <c r="E443" s="22"/>
      <c r="F443" s="22"/>
      <c r="G443" s="22"/>
      <c r="H443" s="22"/>
      <c r="I443" s="22"/>
      <c r="J443" s="22"/>
      <c r="K443" s="22"/>
    </row>
    <row r="444" spans="1:11" x14ac:dyDescent="0.2">
      <c r="A444" s="22"/>
      <c r="B444" s="22"/>
      <c r="C444" s="22"/>
      <c r="D444" s="22"/>
      <c r="E444" s="22"/>
      <c r="F444" s="22"/>
      <c r="G444" s="22"/>
      <c r="H444" s="22"/>
      <c r="I444" s="22"/>
      <c r="J444" s="22"/>
      <c r="K444" s="22"/>
    </row>
    <row r="445" spans="1:11" x14ac:dyDescent="0.2">
      <c r="A445" s="22"/>
      <c r="B445" s="22"/>
      <c r="C445" s="22"/>
      <c r="D445" s="22"/>
      <c r="E445" s="22"/>
      <c r="F445" s="22"/>
      <c r="G445" s="22"/>
      <c r="H445" s="22"/>
      <c r="I445" s="22"/>
      <c r="J445" s="22"/>
      <c r="K445" s="22"/>
    </row>
    <row r="446" spans="1:11" x14ac:dyDescent="0.2">
      <c r="A446" s="22"/>
      <c r="B446" s="22"/>
      <c r="C446" s="22"/>
      <c r="D446" s="22"/>
      <c r="E446" s="22"/>
      <c r="F446" s="22"/>
      <c r="G446" s="22"/>
      <c r="H446" s="22"/>
      <c r="I446" s="22"/>
      <c r="J446" s="22"/>
      <c r="K446" s="22"/>
    </row>
    <row r="447" spans="1:11" x14ac:dyDescent="0.2">
      <c r="A447" s="22"/>
      <c r="B447" s="22"/>
      <c r="C447" s="22"/>
      <c r="D447" s="22"/>
      <c r="E447" s="22"/>
      <c r="F447" s="22"/>
      <c r="G447" s="22"/>
      <c r="H447" s="22"/>
      <c r="I447" s="22"/>
      <c r="J447" s="22"/>
      <c r="K447" s="22"/>
    </row>
    <row r="448" spans="1:11" x14ac:dyDescent="0.2">
      <c r="A448" s="22"/>
      <c r="B448" s="22"/>
      <c r="C448" s="22"/>
      <c r="D448" s="22"/>
      <c r="E448" s="22"/>
      <c r="F448" s="22"/>
      <c r="G448" s="22"/>
      <c r="H448" s="22"/>
      <c r="I448" s="22"/>
      <c r="J448" s="22"/>
      <c r="K448" s="22"/>
    </row>
    <row r="449" spans="1:11" x14ac:dyDescent="0.2">
      <c r="A449" s="22"/>
      <c r="B449" s="22"/>
      <c r="C449" s="22"/>
      <c r="D449" s="22"/>
      <c r="E449" s="22"/>
      <c r="F449" s="22"/>
      <c r="G449" s="22"/>
      <c r="H449" s="22"/>
      <c r="I449" s="22"/>
      <c r="J449" s="22"/>
      <c r="K449" s="22"/>
    </row>
    <row r="450" spans="1:11" x14ac:dyDescent="0.2">
      <c r="A450" s="22"/>
      <c r="B450" s="22"/>
      <c r="C450" s="22"/>
      <c r="D450" s="22"/>
      <c r="E450" s="22"/>
      <c r="F450" s="22"/>
      <c r="G450" s="22"/>
      <c r="H450" s="22"/>
      <c r="I450" s="22"/>
      <c r="J450" s="22"/>
      <c r="K450" s="22"/>
    </row>
    <row r="451" spans="1:11" x14ac:dyDescent="0.2">
      <c r="A451" s="22"/>
      <c r="B451" s="22"/>
      <c r="C451" s="22"/>
      <c r="D451" s="22"/>
      <c r="E451" s="22"/>
      <c r="F451" s="22"/>
      <c r="G451" s="22"/>
      <c r="H451" s="22"/>
      <c r="I451" s="22"/>
      <c r="J451" s="22"/>
      <c r="K451" s="22"/>
    </row>
    <row r="452" spans="1:11" x14ac:dyDescent="0.2">
      <c r="A452" s="22"/>
      <c r="B452" s="22"/>
      <c r="C452" s="22"/>
      <c r="D452" s="22"/>
      <c r="E452" s="22"/>
      <c r="F452" s="22"/>
      <c r="G452" s="22"/>
      <c r="H452" s="22"/>
      <c r="I452" s="22"/>
      <c r="J452" s="22"/>
      <c r="K452" s="22"/>
    </row>
    <row r="453" spans="1:11" x14ac:dyDescent="0.2">
      <c r="A453" s="22"/>
      <c r="B453" s="22"/>
      <c r="C453" s="22"/>
      <c r="D453" s="22"/>
      <c r="E453" s="22"/>
      <c r="F453" s="22"/>
      <c r="G453" s="22"/>
      <c r="H453" s="22"/>
      <c r="I453" s="22"/>
      <c r="J453" s="22"/>
      <c r="K453" s="22"/>
    </row>
    <row r="454" spans="1:11" x14ac:dyDescent="0.2">
      <c r="A454" s="22"/>
      <c r="B454" s="22"/>
      <c r="C454" s="22"/>
      <c r="D454" s="22"/>
      <c r="E454" s="22"/>
      <c r="F454" s="22"/>
      <c r="G454" s="22"/>
      <c r="H454" s="22"/>
      <c r="I454" s="22"/>
      <c r="J454" s="22"/>
      <c r="K454" s="22"/>
    </row>
    <row r="455" spans="1:11" x14ac:dyDescent="0.2">
      <c r="A455" s="22"/>
      <c r="B455" s="22"/>
      <c r="C455" s="22"/>
      <c r="D455" s="22"/>
      <c r="E455" s="22"/>
      <c r="F455" s="22"/>
      <c r="G455" s="22"/>
      <c r="H455" s="22"/>
      <c r="I455" s="22"/>
      <c r="J455" s="22"/>
      <c r="K455" s="22"/>
    </row>
    <row r="456" spans="1:11" x14ac:dyDescent="0.2">
      <c r="A456" s="22"/>
      <c r="B456" s="22"/>
      <c r="C456" s="22"/>
      <c r="D456" s="22"/>
      <c r="E456" s="22"/>
      <c r="F456" s="22"/>
      <c r="G456" s="22"/>
      <c r="H456" s="22"/>
      <c r="I456" s="22"/>
      <c r="J456" s="22"/>
      <c r="K456" s="22"/>
    </row>
    <row r="457" spans="1:11" x14ac:dyDescent="0.2">
      <c r="A457" s="22"/>
      <c r="B457" s="22"/>
      <c r="C457" s="22"/>
      <c r="D457" s="22"/>
      <c r="E457" s="22"/>
      <c r="F457" s="22"/>
      <c r="G457" s="22"/>
      <c r="H457" s="22"/>
      <c r="I457" s="22"/>
      <c r="J457" s="22"/>
      <c r="K457" s="22"/>
    </row>
    <row r="458" spans="1:11" x14ac:dyDescent="0.2">
      <c r="A458" s="22"/>
      <c r="B458" s="22"/>
      <c r="C458" s="22"/>
      <c r="D458" s="22"/>
      <c r="E458" s="22"/>
      <c r="F458" s="22"/>
      <c r="G458" s="22"/>
      <c r="H458" s="22"/>
      <c r="I458" s="22"/>
      <c r="J458" s="22"/>
      <c r="K458" s="22"/>
    </row>
    <row r="459" spans="1:11" x14ac:dyDescent="0.2">
      <c r="A459" s="22"/>
      <c r="B459" s="22"/>
      <c r="C459" s="22"/>
      <c r="D459" s="22"/>
      <c r="E459" s="22"/>
      <c r="F459" s="22"/>
      <c r="G459" s="22"/>
      <c r="H459" s="22"/>
      <c r="I459" s="22"/>
      <c r="J459" s="22"/>
      <c r="K459" s="22"/>
    </row>
    <row r="460" spans="1:11" x14ac:dyDescent="0.2">
      <c r="A460" s="22"/>
      <c r="B460" s="22"/>
      <c r="C460" s="22"/>
      <c r="D460" s="22"/>
      <c r="E460" s="22"/>
      <c r="F460" s="22"/>
      <c r="G460" s="22"/>
      <c r="H460" s="22"/>
      <c r="I460" s="22"/>
      <c r="J460" s="22"/>
      <c r="K460" s="22"/>
    </row>
    <row r="461" spans="1:11" x14ac:dyDescent="0.2">
      <c r="A461" s="22"/>
      <c r="B461" s="22"/>
      <c r="C461" s="22"/>
      <c r="D461" s="22"/>
      <c r="E461" s="22"/>
      <c r="F461" s="22"/>
      <c r="G461" s="22"/>
      <c r="H461" s="22"/>
      <c r="I461" s="22"/>
      <c r="J461" s="22"/>
      <c r="K461" s="22"/>
    </row>
    <row r="462" spans="1:11" x14ac:dyDescent="0.2">
      <c r="A462" s="22"/>
      <c r="B462" s="22"/>
      <c r="C462" s="22"/>
      <c r="D462" s="22"/>
      <c r="E462" s="22"/>
      <c r="F462" s="22"/>
      <c r="G462" s="22"/>
      <c r="H462" s="22"/>
      <c r="I462" s="22"/>
      <c r="J462" s="22"/>
      <c r="K462" s="22"/>
    </row>
    <row r="463" spans="1:11" x14ac:dyDescent="0.2">
      <c r="A463" s="22"/>
      <c r="B463" s="22"/>
      <c r="C463" s="22"/>
      <c r="D463" s="22"/>
      <c r="E463" s="22"/>
      <c r="F463" s="22"/>
      <c r="G463" s="22"/>
      <c r="H463" s="22"/>
      <c r="I463" s="22"/>
      <c r="J463" s="22"/>
      <c r="K463" s="22"/>
    </row>
    <row r="464" spans="1:11" x14ac:dyDescent="0.2">
      <c r="A464" s="22"/>
      <c r="B464" s="22"/>
      <c r="C464" s="22"/>
      <c r="D464" s="22"/>
      <c r="E464" s="22"/>
      <c r="F464" s="22"/>
      <c r="G464" s="22"/>
      <c r="H464" s="22"/>
      <c r="I464" s="22"/>
      <c r="J464" s="22"/>
      <c r="K464" s="22"/>
    </row>
    <row r="465" spans="1:11" x14ac:dyDescent="0.2">
      <c r="A465" s="22"/>
      <c r="B465" s="22"/>
      <c r="C465" s="22"/>
      <c r="D465" s="22"/>
      <c r="E465" s="22"/>
      <c r="F465" s="22"/>
      <c r="G465" s="22"/>
      <c r="H465" s="22"/>
      <c r="I465" s="22"/>
      <c r="J465" s="22"/>
      <c r="K465" s="22"/>
    </row>
    <row r="466" spans="1:11" x14ac:dyDescent="0.2">
      <c r="A466" s="22"/>
      <c r="B466" s="22"/>
      <c r="C466" s="22"/>
      <c r="D466" s="22"/>
      <c r="E466" s="22"/>
      <c r="F466" s="22"/>
      <c r="G466" s="22"/>
      <c r="H466" s="22"/>
      <c r="I466" s="22"/>
      <c r="J466" s="22"/>
      <c r="K466" s="22"/>
    </row>
    <row r="467" spans="1:11" x14ac:dyDescent="0.2">
      <c r="A467" s="22"/>
      <c r="B467" s="22"/>
      <c r="C467" s="22"/>
      <c r="D467" s="22"/>
      <c r="E467" s="22"/>
      <c r="F467" s="22"/>
      <c r="G467" s="22"/>
      <c r="H467" s="22"/>
      <c r="I467" s="22"/>
      <c r="J467" s="22"/>
      <c r="K467" s="22"/>
    </row>
    <row r="468" spans="1:11" x14ac:dyDescent="0.2">
      <c r="A468" s="22"/>
      <c r="B468" s="22"/>
      <c r="C468" s="22"/>
      <c r="D468" s="22"/>
      <c r="E468" s="22"/>
      <c r="F468" s="22"/>
      <c r="G468" s="22"/>
      <c r="H468" s="22"/>
      <c r="I468" s="22"/>
      <c r="J468" s="22"/>
      <c r="K468" s="22"/>
    </row>
    <row r="469" spans="1:11" x14ac:dyDescent="0.2">
      <c r="A469" s="22"/>
      <c r="B469" s="22"/>
      <c r="C469" s="22"/>
      <c r="D469" s="22"/>
      <c r="E469" s="22"/>
      <c r="F469" s="22"/>
      <c r="G469" s="22"/>
      <c r="H469" s="22"/>
      <c r="I469" s="22"/>
      <c r="J469" s="22"/>
      <c r="K469" s="22"/>
    </row>
    <row r="470" spans="1:11" x14ac:dyDescent="0.2">
      <c r="A470" s="22"/>
      <c r="B470" s="22"/>
      <c r="C470" s="22"/>
      <c r="D470" s="22"/>
      <c r="E470" s="22"/>
      <c r="F470" s="22"/>
      <c r="G470" s="22"/>
      <c r="H470" s="22"/>
      <c r="I470" s="22"/>
      <c r="J470" s="22"/>
      <c r="K470" s="22"/>
    </row>
    <row r="471" spans="1:11" x14ac:dyDescent="0.2">
      <c r="A471" s="22"/>
      <c r="B471" s="22"/>
      <c r="C471" s="22"/>
      <c r="D471" s="22"/>
      <c r="E471" s="22"/>
      <c r="F471" s="22"/>
      <c r="G471" s="22"/>
      <c r="H471" s="22"/>
      <c r="I471" s="22"/>
      <c r="J471" s="22"/>
      <c r="K471" s="22"/>
    </row>
    <row r="472" spans="1:11" x14ac:dyDescent="0.2">
      <c r="A472" s="22"/>
      <c r="B472" s="22"/>
      <c r="C472" s="22"/>
      <c r="D472" s="22"/>
      <c r="E472" s="22"/>
      <c r="F472" s="22"/>
      <c r="G472" s="22"/>
      <c r="H472" s="22"/>
      <c r="I472" s="22"/>
      <c r="J472" s="22"/>
      <c r="K472" s="22"/>
    </row>
    <row r="473" spans="1:11" x14ac:dyDescent="0.2">
      <c r="A473" s="22"/>
      <c r="B473" s="22"/>
      <c r="C473" s="22"/>
      <c r="D473" s="22"/>
      <c r="E473" s="22"/>
      <c r="F473" s="22"/>
      <c r="G473" s="22"/>
      <c r="H473" s="22"/>
      <c r="I473" s="22"/>
      <c r="J473" s="22"/>
      <c r="K473" s="22"/>
    </row>
    <row r="474" spans="1:11" x14ac:dyDescent="0.2">
      <c r="A474" s="22"/>
      <c r="B474" s="22"/>
      <c r="C474" s="22"/>
      <c r="D474" s="22"/>
      <c r="E474" s="22"/>
      <c r="F474" s="22"/>
      <c r="G474" s="22"/>
      <c r="H474" s="22"/>
      <c r="I474" s="22"/>
      <c r="J474" s="22"/>
      <c r="K474" s="22"/>
    </row>
    <row r="475" spans="1:11" x14ac:dyDescent="0.2">
      <c r="A475" s="22"/>
      <c r="B475" s="22"/>
      <c r="C475" s="22"/>
      <c r="D475" s="22"/>
      <c r="E475" s="22"/>
      <c r="F475" s="22"/>
      <c r="G475" s="22"/>
      <c r="H475" s="22"/>
      <c r="I475" s="22"/>
      <c r="J475" s="22"/>
      <c r="K475" s="22"/>
    </row>
    <row r="476" spans="1:11" x14ac:dyDescent="0.2">
      <c r="A476" s="22"/>
      <c r="B476" s="22"/>
      <c r="C476" s="22"/>
      <c r="D476" s="22"/>
      <c r="E476" s="22"/>
      <c r="F476" s="22"/>
      <c r="G476" s="22"/>
      <c r="H476" s="22"/>
      <c r="I476" s="22"/>
      <c r="J476" s="22"/>
      <c r="K476" s="22"/>
    </row>
    <row r="477" spans="1:11" x14ac:dyDescent="0.2">
      <c r="A477" s="22"/>
      <c r="B477" s="22"/>
      <c r="C477" s="22"/>
      <c r="D477" s="22"/>
      <c r="E477" s="22"/>
      <c r="F477" s="22"/>
      <c r="G477" s="22"/>
      <c r="H477" s="22"/>
      <c r="I477" s="22"/>
      <c r="J477" s="22"/>
      <c r="K477" s="22"/>
    </row>
    <row r="478" spans="1:11" x14ac:dyDescent="0.2">
      <c r="A478" s="22"/>
      <c r="B478" s="22"/>
      <c r="C478" s="22"/>
      <c r="D478" s="22"/>
      <c r="E478" s="22"/>
      <c r="F478" s="22"/>
      <c r="G478" s="22"/>
      <c r="H478" s="22"/>
      <c r="I478" s="22"/>
      <c r="J478" s="22"/>
      <c r="K478" s="22"/>
    </row>
    <row r="479" spans="1:11" x14ac:dyDescent="0.2">
      <c r="A479" s="22"/>
      <c r="B479" s="22"/>
      <c r="C479" s="22"/>
      <c r="D479" s="22"/>
      <c r="E479" s="22"/>
      <c r="F479" s="22"/>
      <c r="G479" s="22"/>
      <c r="H479" s="22"/>
      <c r="I479" s="22"/>
      <c r="J479" s="22"/>
      <c r="K479" s="22"/>
    </row>
    <row r="480" spans="1:11" x14ac:dyDescent="0.2">
      <c r="A480" s="22"/>
      <c r="B480" s="22"/>
      <c r="C480" s="22"/>
      <c r="D480" s="22"/>
      <c r="E480" s="22"/>
      <c r="F480" s="22"/>
      <c r="G480" s="22"/>
      <c r="H480" s="22"/>
      <c r="I480" s="22"/>
      <c r="J480" s="22"/>
      <c r="K480" s="22"/>
    </row>
    <row r="481" spans="1:11" x14ac:dyDescent="0.2">
      <c r="A481" s="22"/>
      <c r="B481" s="22"/>
      <c r="C481" s="22"/>
      <c r="D481" s="22"/>
      <c r="E481" s="22"/>
      <c r="F481" s="22"/>
      <c r="G481" s="22"/>
      <c r="H481" s="22"/>
      <c r="I481" s="22"/>
      <c r="J481" s="22"/>
      <c r="K481" s="22"/>
    </row>
    <row r="482" spans="1:11" x14ac:dyDescent="0.2">
      <c r="A482" s="22"/>
      <c r="B482" s="22"/>
      <c r="C482" s="22"/>
      <c r="D482" s="22"/>
      <c r="E482" s="22"/>
      <c r="F482" s="22"/>
      <c r="G482" s="22"/>
      <c r="H482" s="22"/>
      <c r="I482" s="22"/>
      <c r="J482" s="22"/>
      <c r="K482" s="22"/>
    </row>
    <row r="483" spans="1:11" x14ac:dyDescent="0.2">
      <c r="A483" s="22"/>
      <c r="B483" s="22"/>
      <c r="C483" s="22"/>
      <c r="D483" s="22"/>
      <c r="E483" s="22"/>
      <c r="F483" s="22"/>
      <c r="G483" s="22"/>
      <c r="H483" s="22"/>
      <c r="I483" s="22"/>
      <c r="J483" s="22"/>
      <c r="K483" s="22"/>
    </row>
    <row r="484" spans="1:11" x14ac:dyDescent="0.2">
      <c r="A484" s="22"/>
      <c r="B484" s="22"/>
      <c r="C484" s="22"/>
      <c r="D484" s="22"/>
      <c r="E484" s="22"/>
      <c r="F484" s="22"/>
      <c r="G484" s="22"/>
      <c r="H484" s="22"/>
      <c r="I484" s="22"/>
      <c r="J484" s="22"/>
      <c r="K484" s="22"/>
    </row>
    <row r="485" spans="1:11" x14ac:dyDescent="0.2">
      <c r="A485" s="22"/>
      <c r="B485" s="22"/>
      <c r="C485" s="22"/>
      <c r="D485" s="22"/>
      <c r="E485" s="22"/>
      <c r="F485" s="22"/>
      <c r="G485" s="22"/>
      <c r="H485" s="22"/>
      <c r="I485" s="22"/>
      <c r="J485" s="22"/>
      <c r="K485" s="22"/>
    </row>
    <row r="486" spans="1:11" x14ac:dyDescent="0.2">
      <c r="A486" s="22"/>
      <c r="B486" s="22"/>
      <c r="C486" s="22"/>
      <c r="D486" s="22"/>
      <c r="E486" s="22"/>
      <c r="F486" s="22"/>
      <c r="G486" s="22"/>
      <c r="H486" s="22"/>
      <c r="I486" s="22"/>
      <c r="J486" s="22"/>
      <c r="K486" s="22"/>
    </row>
    <row r="487" spans="1:11" x14ac:dyDescent="0.2">
      <c r="A487" s="22"/>
      <c r="B487" s="22"/>
      <c r="C487" s="22"/>
      <c r="D487" s="22"/>
      <c r="E487" s="22"/>
      <c r="F487" s="22"/>
      <c r="G487" s="22"/>
      <c r="H487" s="22"/>
      <c r="I487" s="22"/>
      <c r="J487" s="22"/>
      <c r="K487" s="22"/>
    </row>
    <row r="488" spans="1:11" x14ac:dyDescent="0.2">
      <c r="A488" s="22"/>
      <c r="B488" s="22"/>
      <c r="C488" s="22"/>
      <c r="D488" s="22"/>
      <c r="E488" s="22"/>
      <c r="F488" s="22"/>
      <c r="G488" s="22"/>
      <c r="H488" s="22"/>
      <c r="I488" s="22"/>
      <c r="J488" s="22"/>
      <c r="K488" s="22"/>
    </row>
    <row r="489" spans="1:11" x14ac:dyDescent="0.2">
      <c r="A489" s="22"/>
      <c r="B489" s="22"/>
      <c r="C489" s="22"/>
      <c r="D489" s="22"/>
      <c r="E489" s="22"/>
      <c r="F489" s="22"/>
      <c r="G489" s="22"/>
      <c r="H489" s="22"/>
      <c r="I489" s="22"/>
      <c r="J489" s="22"/>
      <c r="K489" s="22"/>
    </row>
    <row r="490" spans="1:11" x14ac:dyDescent="0.2">
      <c r="A490" s="22"/>
      <c r="B490" s="22"/>
      <c r="C490" s="22"/>
      <c r="D490" s="22"/>
      <c r="E490" s="22"/>
      <c r="F490" s="22"/>
      <c r="G490" s="22"/>
      <c r="H490" s="22"/>
      <c r="I490" s="22"/>
      <c r="J490" s="22"/>
      <c r="K490" s="22"/>
    </row>
    <row r="491" spans="1:11" x14ac:dyDescent="0.2">
      <c r="A491" s="22"/>
      <c r="B491" s="22"/>
      <c r="C491" s="22"/>
      <c r="D491" s="22"/>
      <c r="E491" s="22"/>
      <c r="F491" s="22"/>
      <c r="G491" s="22"/>
      <c r="H491" s="22"/>
      <c r="I491" s="22"/>
      <c r="J491" s="22"/>
      <c r="K491" s="22"/>
    </row>
    <row r="492" spans="1:11" x14ac:dyDescent="0.2">
      <c r="A492" s="22"/>
      <c r="B492" s="22"/>
      <c r="C492" s="22"/>
      <c r="D492" s="22"/>
      <c r="E492" s="22"/>
      <c r="F492" s="22"/>
      <c r="G492" s="22"/>
      <c r="H492" s="22"/>
      <c r="I492" s="22"/>
      <c r="J492" s="22"/>
      <c r="K492" s="22"/>
    </row>
    <row r="493" spans="1:11" x14ac:dyDescent="0.2">
      <c r="A493" s="22"/>
      <c r="B493" s="22"/>
      <c r="C493" s="22"/>
      <c r="D493" s="22"/>
      <c r="E493" s="22"/>
      <c r="F493" s="22"/>
      <c r="G493" s="22"/>
      <c r="H493" s="22"/>
      <c r="I493" s="22"/>
      <c r="J493" s="22"/>
      <c r="K493" s="22"/>
    </row>
    <row r="494" spans="1:11" x14ac:dyDescent="0.2">
      <c r="A494" s="22"/>
      <c r="B494" s="22"/>
      <c r="C494" s="22"/>
      <c r="D494" s="22"/>
      <c r="E494" s="22"/>
      <c r="F494" s="22"/>
      <c r="G494" s="22"/>
      <c r="H494" s="22"/>
      <c r="I494" s="22"/>
      <c r="J494" s="22"/>
      <c r="K494" s="22"/>
    </row>
    <row r="495" spans="1:11" x14ac:dyDescent="0.2">
      <c r="A495" s="22"/>
      <c r="B495" s="22"/>
      <c r="C495" s="22"/>
      <c r="D495" s="22"/>
      <c r="E495" s="22"/>
      <c r="F495" s="22"/>
      <c r="G495" s="22"/>
      <c r="H495" s="22"/>
      <c r="I495" s="22"/>
      <c r="J495" s="22"/>
      <c r="K495" s="22"/>
    </row>
    <row r="496" spans="1:11" x14ac:dyDescent="0.2">
      <c r="A496" s="22"/>
      <c r="B496" s="22"/>
      <c r="C496" s="22"/>
      <c r="D496" s="22"/>
      <c r="E496" s="22"/>
      <c r="F496" s="22"/>
      <c r="G496" s="22"/>
      <c r="H496" s="22"/>
      <c r="I496" s="22"/>
      <c r="J496" s="22"/>
      <c r="K496" s="22"/>
    </row>
    <row r="497" spans="1:11" x14ac:dyDescent="0.2">
      <c r="A497" s="22"/>
      <c r="B497" s="22"/>
      <c r="C497" s="22"/>
      <c r="D497" s="22"/>
      <c r="E497" s="22"/>
      <c r="F497" s="22"/>
      <c r="G497" s="22"/>
      <c r="H497" s="22"/>
      <c r="I497" s="22"/>
      <c r="J497" s="22"/>
      <c r="K497" s="22"/>
    </row>
    <row r="498" spans="1:11" x14ac:dyDescent="0.2">
      <c r="A498" s="22"/>
      <c r="B498" s="22"/>
      <c r="C498" s="22"/>
      <c r="D498" s="22"/>
      <c r="E498" s="22"/>
      <c r="F498" s="22"/>
      <c r="G498" s="22"/>
      <c r="H498" s="22"/>
      <c r="I498" s="22"/>
      <c r="J498" s="22"/>
      <c r="K498" s="22"/>
    </row>
    <row r="499" spans="1:11" x14ac:dyDescent="0.2">
      <c r="A499" s="22"/>
      <c r="B499" s="22"/>
      <c r="C499" s="22"/>
      <c r="D499" s="22"/>
      <c r="E499" s="22"/>
      <c r="F499" s="22"/>
      <c r="G499" s="22"/>
      <c r="H499" s="22"/>
      <c r="I499" s="22"/>
      <c r="J499" s="22"/>
      <c r="K499" s="22"/>
    </row>
    <row r="500" spans="1:11" x14ac:dyDescent="0.2">
      <c r="A500" s="22"/>
      <c r="B500" s="22"/>
      <c r="C500" s="22"/>
      <c r="D500" s="22"/>
      <c r="E500" s="22"/>
      <c r="F500" s="22"/>
      <c r="G500" s="22"/>
      <c r="H500" s="22"/>
      <c r="I500" s="22"/>
      <c r="J500" s="22"/>
      <c r="K500" s="22"/>
    </row>
    <row r="501" spans="1:11" x14ac:dyDescent="0.2">
      <c r="A501" s="22"/>
      <c r="B501" s="22"/>
      <c r="C501" s="22"/>
      <c r="D501" s="22"/>
      <c r="E501" s="22"/>
      <c r="F501" s="22"/>
      <c r="G501" s="22"/>
      <c r="H501" s="22"/>
      <c r="I501" s="22"/>
      <c r="J501" s="22"/>
      <c r="K501" s="22"/>
    </row>
    <row r="502" spans="1:11" x14ac:dyDescent="0.2">
      <c r="A502" s="22"/>
      <c r="B502" s="22"/>
      <c r="C502" s="22"/>
      <c r="D502" s="22"/>
      <c r="E502" s="22"/>
      <c r="F502" s="22"/>
      <c r="G502" s="22"/>
      <c r="H502" s="22"/>
      <c r="I502" s="22"/>
      <c r="J502" s="22"/>
      <c r="K502" s="22"/>
    </row>
    <row r="503" spans="1:11" x14ac:dyDescent="0.2">
      <c r="A503" s="22"/>
      <c r="B503" s="22"/>
      <c r="C503" s="22"/>
      <c r="D503" s="22"/>
      <c r="E503" s="22"/>
      <c r="F503" s="22"/>
      <c r="G503" s="22"/>
      <c r="H503" s="22"/>
      <c r="I503" s="22"/>
      <c r="J503" s="22"/>
      <c r="K503" s="22"/>
    </row>
    <row r="504" spans="1:11" x14ac:dyDescent="0.2">
      <c r="A504" s="22"/>
      <c r="B504" s="22"/>
      <c r="C504" s="22"/>
      <c r="D504" s="22"/>
      <c r="E504" s="22"/>
      <c r="F504" s="22"/>
      <c r="G504" s="22"/>
      <c r="H504" s="22"/>
      <c r="I504" s="22"/>
      <c r="J504" s="22"/>
      <c r="K504" s="22"/>
    </row>
    <row r="505" spans="1:11" x14ac:dyDescent="0.2">
      <c r="A505" s="22"/>
      <c r="B505" s="22"/>
      <c r="C505" s="22"/>
      <c r="D505" s="22"/>
      <c r="E505" s="22"/>
      <c r="F505" s="22"/>
      <c r="G505" s="22"/>
      <c r="H505" s="22"/>
      <c r="I505" s="22"/>
      <c r="J505" s="22"/>
      <c r="K505" s="22"/>
    </row>
    <row r="506" spans="1:11" x14ac:dyDescent="0.2">
      <c r="A506" s="22"/>
      <c r="B506" s="22"/>
      <c r="C506" s="22"/>
      <c r="D506" s="22"/>
      <c r="E506" s="22"/>
      <c r="F506" s="22"/>
      <c r="G506" s="22"/>
      <c r="H506" s="22"/>
      <c r="I506" s="22"/>
      <c r="J506" s="22"/>
      <c r="K506" s="22"/>
    </row>
    <row r="507" spans="1:11" x14ac:dyDescent="0.2">
      <c r="A507" s="22"/>
      <c r="B507" s="22"/>
      <c r="C507" s="22"/>
      <c r="D507" s="22"/>
      <c r="E507" s="22"/>
      <c r="F507" s="22"/>
      <c r="G507" s="22"/>
      <c r="H507" s="22"/>
      <c r="I507" s="22"/>
      <c r="J507" s="22"/>
      <c r="K507" s="22"/>
    </row>
    <row r="508" spans="1:11" x14ac:dyDescent="0.2">
      <c r="A508" s="22"/>
      <c r="B508" s="22"/>
      <c r="C508" s="22"/>
      <c r="D508" s="22"/>
      <c r="E508" s="22"/>
      <c r="F508" s="22"/>
      <c r="G508" s="22"/>
      <c r="H508" s="22"/>
      <c r="I508" s="22"/>
      <c r="J508" s="22"/>
      <c r="K508" s="22"/>
    </row>
    <row r="509" spans="1:11" x14ac:dyDescent="0.2">
      <c r="A509" s="22"/>
      <c r="B509" s="22"/>
      <c r="C509" s="22"/>
      <c r="D509" s="22"/>
      <c r="E509" s="22"/>
      <c r="F509" s="22"/>
      <c r="G509" s="22"/>
      <c r="H509" s="22"/>
      <c r="I509" s="22"/>
      <c r="J509" s="22"/>
      <c r="K509" s="22"/>
    </row>
    <row r="510" spans="1:11" x14ac:dyDescent="0.2">
      <c r="A510" s="22"/>
      <c r="B510" s="22"/>
      <c r="C510" s="22"/>
      <c r="D510" s="22"/>
      <c r="E510" s="22"/>
      <c r="F510" s="22"/>
      <c r="G510" s="22"/>
      <c r="H510" s="22"/>
      <c r="I510" s="22"/>
      <c r="J510" s="22"/>
      <c r="K510" s="22"/>
    </row>
    <row r="511" spans="1:11" x14ac:dyDescent="0.2">
      <c r="A511" s="22"/>
      <c r="B511" s="22"/>
      <c r="C511" s="22"/>
      <c r="D511" s="22"/>
      <c r="E511" s="22"/>
      <c r="F511" s="22"/>
      <c r="G511" s="22"/>
      <c r="H511" s="22"/>
      <c r="I511" s="22"/>
      <c r="J511" s="22"/>
      <c r="K511" s="22"/>
    </row>
    <row r="512" spans="1:11" x14ac:dyDescent="0.2">
      <c r="A512" s="22"/>
      <c r="B512" s="22"/>
      <c r="C512" s="22"/>
      <c r="D512" s="22"/>
      <c r="E512" s="22"/>
      <c r="F512" s="22"/>
      <c r="G512" s="22"/>
      <c r="H512" s="22"/>
      <c r="I512" s="22"/>
      <c r="J512" s="22"/>
      <c r="K512" s="22"/>
    </row>
    <row r="513" spans="1:11" x14ac:dyDescent="0.2">
      <c r="A513" s="22"/>
      <c r="B513" s="22"/>
      <c r="C513" s="22"/>
      <c r="D513" s="22"/>
      <c r="E513" s="22"/>
      <c r="F513" s="22"/>
      <c r="G513" s="22"/>
      <c r="H513" s="22"/>
      <c r="I513" s="22"/>
      <c r="J513" s="22"/>
      <c r="K513" s="22"/>
    </row>
    <row r="514" spans="1:11" x14ac:dyDescent="0.2">
      <c r="A514" s="22"/>
      <c r="B514" s="22"/>
      <c r="C514" s="22"/>
      <c r="D514" s="22"/>
      <c r="E514" s="22"/>
      <c r="F514" s="22"/>
      <c r="G514" s="22"/>
      <c r="H514" s="22"/>
      <c r="I514" s="22"/>
      <c r="J514" s="22"/>
      <c r="K514" s="22"/>
    </row>
    <row r="515" spans="1:11" x14ac:dyDescent="0.2">
      <c r="A515" s="22"/>
      <c r="B515" s="22"/>
      <c r="C515" s="22"/>
      <c r="D515" s="22"/>
      <c r="E515" s="22"/>
      <c r="F515" s="22"/>
      <c r="G515" s="22"/>
      <c r="H515" s="22"/>
      <c r="I515" s="22"/>
      <c r="J515" s="22"/>
      <c r="K515" s="22"/>
    </row>
    <row r="516" spans="1:11" x14ac:dyDescent="0.2">
      <c r="A516" s="22"/>
      <c r="B516" s="22"/>
      <c r="C516" s="22"/>
      <c r="D516" s="22"/>
      <c r="E516" s="22"/>
      <c r="F516" s="22"/>
      <c r="G516" s="22"/>
      <c r="H516" s="22"/>
      <c r="I516" s="22"/>
      <c r="J516" s="22"/>
      <c r="K516" s="22"/>
    </row>
    <row r="517" spans="1:11" x14ac:dyDescent="0.2">
      <c r="A517" s="22"/>
      <c r="B517" s="22"/>
      <c r="C517" s="22"/>
      <c r="D517" s="22"/>
      <c r="E517" s="22"/>
      <c r="F517" s="22"/>
      <c r="G517" s="22"/>
      <c r="H517" s="22"/>
      <c r="I517" s="22"/>
      <c r="J517" s="22"/>
      <c r="K517" s="22"/>
    </row>
    <row r="518" spans="1:11" x14ac:dyDescent="0.2">
      <c r="A518" s="22"/>
      <c r="B518" s="22"/>
      <c r="C518" s="22"/>
      <c r="D518" s="22"/>
      <c r="E518" s="22"/>
      <c r="F518" s="22"/>
      <c r="G518" s="22"/>
      <c r="H518" s="22"/>
      <c r="I518" s="22"/>
      <c r="J518" s="22"/>
      <c r="K518" s="22"/>
    </row>
    <row r="519" spans="1:11" x14ac:dyDescent="0.2">
      <c r="A519" s="22"/>
      <c r="B519" s="22"/>
      <c r="C519" s="22"/>
      <c r="D519" s="22"/>
      <c r="E519" s="22"/>
      <c r="F519" s="22"/>
      <c r="G519" s="22"/>
      <c r="H519" s="22"/>
      <c r="I519" s="22"/>
      <c r="J519" s="22"/>
      <c r="K519" s="22"/>
    </row>
    <row r="520" spans="1:11" x14ac:dyDescent="0.2">
      <c r="A520" s="22"/>
      <c r="B520" s="22"/>
      <c r="C520" s="22"/>
      <c r="D520" s="22"/>
      <c r="E520" s="22"/>
      <c r="F520" s="22"/>
      <c r="G520" s="22"/>
      <c r="H520" s="22"/>
      <c r="I520" s="22"/>
      <c r="J520" s="22"/>
      <c r="K520" s="22"/>
    </row>
    <row r="521" spans="1:11" x14ac:dyDescent="0.2">
      <c r="A521" s="22"/>
      <c r="B521" s="22"/>
      <c r="C521" s="22"/>
      <c r="D521" s="22"/>
      <c r="E521" s="22"/>
      <c r="F521" s="22"/>
      <c r="G521" s="22"/>
      <c r="H521" s="22"/>
      <c r="I521" s="22"/>
      <c r="J521" s="22"/>
      <c r="K521" s="22"/>
    </row>
    <row r="522" spans="1:11" x14ac:dyDescent="0.2">
      <c r="A522" s="22"/>
      <c r="B522" s="22"/>
      <c r="C522" s="22"/>
      <c r="D522" s="22"/>
      <c r="E522" s="22"/>
      <c r="F522" s="22"/>
      <c r="G522" s="22"/>
      <c r="H522" s="22"/>
      <c r="I522" s="22"/>
      <c r="J522" s="22"/>
      <c r="K522" s="22"/>
    </row>
    <row r="523" spans="1:11" x14ac:dyDescent="0.2">
      <c r="A523" s="22"/>
      <c r="B523" s="22"/>
      <c r="C523" s="22"/>
      <c r="D523" s="22"/>
      <c r="E523" s="22"/>
      <c r="F523" s="22"/>
      <c r="G523" s="22"/>
      <c r="H523" s="22"/>
      <c r="I523" s="22"/>
      <c r="J523" s="22"/>
      <c r="K523" s="22"/>
    </row>
    <row r="524" spans="1:11" x14ac:dyDescent="0.2">
      <c r="A524" s="22"/>
      <c r="B524" s="22"/>
      <c r="C524" s="22"/>
      <c r="D524" s="22"/>
      <c r="E524" s="22"/>
      <c r="F524" s="22"/>
      <c r="G524" s="22"/>
      <c r="H524" s="22"/>
      <c r="I524" s="22"/>
      <c r="J524" s="22"/>
      <c r="K524" s="22"/>
    </row>
    <row r="525" spans="1:11" x14ac:dyDescent="0.2">
      <c r="A525" s="22"/>
      <c r="B525" s="22"/>
      <c r="C525" s="22"/>
      <c r="D525" s="22"/>
      <c r="E525" s="22"/>
      <c r="F525" s="22"/>
      <c r="G525" s="22"/>
      <c r="H525" s="22"/>
      <c r="I525" s="22"/>
      <c r="J525" s="22"/>
      <c r="K525" s="22"/>
    </row>
    <row r="526" spans="1:11" x14ac:dyDescent="0.2">
      <c r="A526" s="22"/>
      <c r="B526" s="22"/>
      <c r="C526" s="22"/>
      <c r="D526" s="22"/>
      <c r="E526" s="22"/>
      <c r="F526" s="22"/>
      <c r="G526" s="22"/>
      <c r="H526" s="22"/>
      <c r="I526" s="22"/>
      <c r="J526" s="22"/>
      <c r="K526" s="22"/>
    </row>
    <row r="527" spans="1:11" x14ac:dyDescent="0.2">
      <c r="A527" s="22"/>
      <c r="B527" s="22"/>
      <c r="C527" s="22"/>
      <c r="D527" s="22"/>
      <c r="E527" s="22"/>
      <c r="F527" s="22"/>
      <c r="G527" s="22"/>
      <c r="H527" s="22"/>
      <c r="I527" s="22"/>
      <c r="J527" s="22"/>
      <c r="K527" s="22"/>
    </row>
    <row r="528" spans="1:11" x14ac:dyDescent="0.2">
      <c r="A528" s="22"/>
      <c r="B528" s="22"/>
      <c r="C528" s="22"/>
      <c r="D528" s="22"/>
      <c r="E528" s="22"/>
      <c r="F528" s="22"/>
      <c r="G528" s="22"/>
      <c r="H528" s="22"/>
      <c r="I528" s="22"/>
      <c r="J528" s="22"/>
      <c r="K528" s="22"/>
    </row>
    <row r="529" spans="1:11" x14ac:dyDescent="0.2">
      <c r="A529" s="22"/>
      <c r="B529" s="22"/>
      <c r="C529" s="22"/>
      <c r="D529" s="22"/>
      <c r="E529" s="22"/>
      <c r="F529" s="22"/>
      <c r="G529" s="22"/>
      <c r="H529" s="22"/>
      <c r="I529" s="22"/>
      <c r="J529" s="22"/>
      <c r="K529" s="22"/>
    </row>
    <row r="530" spans="1:11" x14ac:dyDescent="0.2">
      <c r="A530" s="22"/>
      <c r="B530" s="22"/>
      <c r="C530" s="22"/>
      <c r="D530" s="22"/>
      <c r="E530" s="22"/>
      <c r="F530" s="22"/>
      <c r="G530" s="22"/>
      <c r="H530" s="22"/>
      <c r="I530" s="22"/>
      <c r="J530" s="22"/>
      <c r="K530" s="22"/>
    </row>
    <row r="531" spans="1:11" x14ac:dyDescent="0.2">
      <c r="A531" s="22"/>
      <c r="B531" s="22"/>
      <c r="C531" s="22"/>
      <c r="D531" s="22"/>
      <c r="E531" s="22"/>
      <c r="F531" s="22"/>
      <c r="G531" s="22"/>
      <c r="H531" s="22"/>
      <c r="I531" s="22"/>
      <c r="J531" s="22"/>
      <c r="K531" s="22"/>
    </row>
    <row r="532" spans="1:11" x14ac:dyDescent="0.2">
      <c r="A532" s="22"/>
      <c r="B532" s="22"/>
      <c r="C532" s="22"/>
      <c r="D532" s="22"/>
      <c r="E532" s="22"/>
      <c r="F532" s="22"/>
      <c r="G532" s="22"/>
      <c r="H532" s="22"/>
      <c r="I532" s="22"/>
      <c r="J532" s="22"/>
      <c r="K532" s="22"/>
    </row>
    <row r="533" spans="1:11" x14ac:dyDescent="0.2">
      <c r="A533" s="22"/>
      <c r="B533" s="22"/>
      <c r="C533" s="22"/>
      <c r="D533" s="22"/>
      <c r="E533" s="22"/>
      <c r="F533" s="22"/>
      <c r="G533" s="22"/>
      <c r="H533" s="22"/>
      <c r="I533" s="22"/>
      <c r="J533" s="22"/>
      <c r="K533" s="22"/>
    </row>
    <row r="534" spans="1:11" x14ac:dyDescent="0.2">
      <c r="A534" s="22"/>
      <c r="B534" s="22"/>
      <c r="C534" s="22"/>
      <c r="D534" s="22"/>
      <c r="E534" s="22"/>
      <c r="F534" s="22"/>
      <c r="G534" s="22"/>
      <c r="H534" s="22"/>
      <c r="I534" s="22"/>
      <c r="J534" s="22"/>
      <c r="K534" s="22"/>
    </row>
    <row r="535" spans="1:11" x14ac:dyDescent="0.2">
      <c r="A535" s="22"/>
      <c r="B535" s="22"/>
      <c r="C535" s="22"/>
      <c r="D535" s="22"/>
      <c r="E535" s="22"/>
      <c r="F535" s="22"/>
      <c r="G535" s="22"/>
      <c r="H535" s="22"/>
      <c r="I535" s="22"/>
      <c r="J535" s="22"/>
      <c r="K535" s="22"/>
    </row>
    <row r="536" spans="1:11" x14ac:dyDescent="0.2">
      <c r="A536" s="22"/>
      <c r="B536" s="22"/>
      <c r="C536" s="22"/>
      <c r="D536" s="22"/>
      <c r="E536" s="22"/>
      <c r="F536" s="22"/>
      <c r="G536" s="22"/>
      <c r="H536" s="22"/>
      <c r="I536" s="22"/>
      <c r="J536" s="22"/>
      <c r="K536" s="22"/>
    </row>
    <row r="537" spans="1:11" x14ac:dyDescent="0.2">
      <c r="A537" s="22"/>
      <c r="B537" s="22"/>
      <c r="C537" s="22"/>
      <c r="D537" s="22"/>
      <c r="E537" s="22"/>
      <c r="F537" s="22"/>
      <c r="G537" s="22"/>
      <c r="H537" s="22"/>
      <c r="I537" s="22"/>
      <c r="J537" s="22"/>
      <c r="K537" s="22"/>
    </row>
    <row r="538" spans="1:11" x14ac:dyDescent="0.2">
      <c r="A538" s="22"/>
      <c r="B538" s="22"/>
      <c r="C538" s="22"/>
      <c r="D538" s="22"/>
      <c r="E538" s="22"/>
      <c r="F538" s="22"/>
      <c r="G538" s="22"/>
      <c r="H538" s="22"/>
      <c r="I538" s="22"/>
      <c r="J538" s="22"/>
      <c r="K538" s="22"/>
    </row>
    <row r="539" spans="1:11" x14ac:dyDescent="0.2">
      <c r="A539" s="22"/>
      <c r="B539" s="22"/>
      <c r="C539" s="22"/>
      <c r="D539" s="22"/>
      <c r="E539" s="22"/>
      <c r="F539" s="22"/>
      <c r="G539" s="22"/>
      <c r="H539" s="22"/>
      <c r="I539" s="22"/>
      <c r="J539" s="22"/>
      <c r="K539" s="22"/>
    </row>
    <row r="540" spans="1:11" x14ac:dyDescent="0.2">
      <c r="A540" s="22"/>
      <c r="B540" s="22"/>
      <c r="C540" s="22"/>
      <c r="D540" s="22"/>
      <c r="E540" s="22"/>
      <c r="F540" s="22"/>
      <c r="G540" s="22"/>
      <c r="H540" s="22"/>
      <c r="I540" s="22"/>
      <c r="J540" s="22"/>
      <c r="K540" s="22"/>
    </row>
    <row r="541" spans="1:11" x14ac:dyDescent="0.2">
      <c r="A541" s="22"/>
      <c r="B541" s="22"/>
      <c r="C541" s="22"/>
      <c r="D541" s="22"/>
      <c r="E541" s="22"/>
      <c r="F541" s="22"/>
      <c r="G541" s="22"/>
      <c r="H541" s="22"/>
      <c r="I541" s="22"/>
      <c r="J541" s="22"/>
      <c r="K541" s="22"/>
    </row>
    <row r="542" spans="1:11" x14ac:dyDescent="0.2">
      <c r="A542" s="22"/>
      <c r="B542" s="22"/>
      <c r="C542" s="22"/>
      <c r="D542" s="22"/>
      <c r="E542" s="22"/>
      <c r="F542" s="22"/>
      <c r="G542" s="22"/>
      <c r="H542" s="22"/>
      <c r="I542" s="22"/>
      <c r="J542" s="22"/>
      <c r="K542" s="22"/>
    </row>
    <row r="543" spans="1:11" x14ac:dyDescent="0.2">
      <c r="A543" s="22"/>
      <c r="B543" s="22"/>
      <c r="C543" s="22"/>
      <c r="D543" s="22"/>
      <c r="E543" s="22"/>
      <c r="F543" s="22"/>
      <c r="G543" s="22"/>
      <c r="H543" s="22"/>
      <c r="I543" s="22"/>
      <c r="J543" s="22"/>
      <c r="K543" s="22"/>
    </row>
    <row r="544" spans="1:11" x14ac:dyDescent="0.2">
      <c r="A544" s="22"/>
      <c r="B544" s="22"/>
      <c r="C544" s="22"/>
      <c r="D544" s="22"/>
      <c r="E544" s="22"/>
      <c r="F544" s="22"/>
      <c r="G544" s="22"/>
      <c r="H544" s="22"/>
      <c r="I544" s="22"/>
      <c r="J544" s="22"/>
      <c r="K544" s="22"/>
    </row>
    <row r="545" spans="1:11" x14ac:dyDescent="0.2">
      <c r="A545" s="22"/>
      <c r="B545" s="22"/>
      <c r="C545" s="22"/>
      <c r="D545" s="22"/>
      <c r="E545" s="22"/>
      <c r="F545" s="22"/>
      <c r="G545" s="22"/>
      <c r="H545" s="22"/>
      <c r="I545" s="22"/>
      <c r="J545" s="22"/>
      <c r="K545" s="22"/>
    </row>
    <row r="546" spans="1:11" x14ac:dyDescent="0.2">
      <c r="A546" s="22"/>
      <c r="B546" s="22"/>
      <c r="C546" s="22"/>
      <c r="D546" s="22"/>
      <c r="E546" s="22"/>
      <c r="F546" s="22"/>
      <c r="G546" s="22"/>
      <c r="H546" s="22"/>
      <c r="I546" s="22"/>
      <c r="J546" s="22"/>
      <c r="K546" s="22"/>
    </row>
    <row r="547" spans="1:11" x14ac:dyDescent="0.2">
      <c r="A547" s="22"/>
      <c r="B547" s="22"/>
      <c r="C547" s="22"/>
      <c r="D547" s="22"/>
      <c r="E547" s="22"/>
      <c r="F547" s="22"/>
      <c r="G547" s="22"/>
      <c r="H547" s="22"/>
      <c r="I547" s="22"/>
      <c r="J547" s="22"/>
      <c r="K547" s="22"/>
    </row>
    <row r="548" spans="1:11" x14ac:dyDescent="0.2">
      <c r="A548" s="22"/>
      <c r="B548" s="22"/>
      <c r="C548" s="22"/>
      <c r="D548" s="22"/>
      <c r="E548" s="22"/>
      <c r="F548" s="22"/>
      <c r="G548" s="22"/>
      <c r="H548" s="22"/>
      <c r="I548" s="22"/>
      <c r="J548" s="22"/>
      <c r="K548" s="22"/>
    </row>
    <row r="549" spans="1:11" x14ac:dyDescent="0.2">
      <c r="A549" s="22"/>
      <c r="B549" s="22"/>
      <c r="C549" s="22"/>
      <c r="D549" s="22"/>
      <c r="E549" s="22"/>
      <c r="F549" s="22"/>
      <c r="G549" s="22"/>
      <c r="H549" s="22"/>
      <c r="I549" s="22"/>
      <c r="J549" s="22"/>
      <c r="K549" s="22"/>
    </row>
    <row r="550" spans="1:11" x14ac:dyDescent="0.2">
      <c r="A550" s="22"/>
      <c r="B550" s="22"/>
      <c r="C550" s="22"/>
      <c r="D550" s="22"/>
      <c r="E550" s="22"/>
      <c r="F550" s="22"/>
      <c r="G550" s="22"/>
      <c r="H550" s="22"/>
      <c r="I550" s="22"/>
      <c r="J550" s="22"/>
      <c r="K550" s="22"/>
    </row>
    <row r="551" spans="1:11" x14ac:dyDescent="0.2">
      <c r="A551" s="22"/>
      <c r="B551" s="22"/>
      <c r="C551" s="22"/>
      <c r="D551" s="22"/>
      <c r="E551" s="22"/>
      <c r="F551" s="22"/>
      <c r="G551" s="22"/>
      <c r="H551" s="22"/>
      <c r="I551" s="22"/>
      <c r="J551" s="22"/>
      <c r="K551" s="22"/>
    </row>
    <row r="552" spans="1:11" x14ac:dyDescent="0.2">
      <c r="A552" s="22"/>
      <c r="B552" s="22"/>
      <c r="C552" s="22"/>
      <c r="D552" s="22"/>
      <c r="E552" s="22"/>
      <c r="F552" s="22"/>
      <c r="G552" s="22"/>
      <c r="H552" s="22"/>
      <c r="I552" s="22"/>
      <c r="J552" s="22"/>
      <c r="K552" s="22"/>
    </row>
    <row r="553" spans="1:11" x14ac:dyDescent="0.2">
      <c r="A553" s="22"/>
      <c r="B553" s="22"/>
      <c r="C553" s="22"/>
      <c r="D553" s="22"/>
      <c r="E553" s="22"/>
      <c r="F553" s="22"/>
      <c r="G553" s="22"/>
      <c r="H553" s="22"/>
      <c r="I553" s="22"/>
      <c r="J553" s="22"/>
      <c r="K553" s="22"/>
    </row>
    <row r="554" spans="1:11" x14ac:dyDescent="0.2">
      <c r="A554" s="22"/>
      <c r="B554" s="22"/>
      <c r="C554" s="22"/>
      <c r="D554" s="22"/>
      <c r="E554" s="22"/>
      <c r="F554" s="22"/>
      <c r="G554" s="22"/>
      <c r="H554" s="22"/>
      <c r="I554" s="22"/>
      <c r="J554" s="22"/>
      <c r="K554" s="22"/>
    </row>
    <row r="555" spans="1:11" x14ac:dyDescent="0.2">
      <c r="A555" s="22"/>
      <c r="B555" s="22"/>
      <c r="C555" s="22"/>
      <c r="D555" s="22"/>
      <c r="E555" s="22"/>
      <c r="F555" s="22"/>
      <c r="G555" s="22"/>
      <c r="H555" s="22"/>
      <c r="I555" s="22"/>
      <c r="J555" s="22"/>
      <c r="K555" s="22"/>
    </row>
    <row r="556" spans="1:11" x14ac:dyDescent="0.2">
      <c r="A556" s="22"/>
      <c r="B556" s="22"/>
      <c r="C556" s="22"/>
      <c r="D556" s="22"/>
      <c r="E556" s="22"/>
      <c r="F556" s="22"/>
      <c r="G556" s="22"/>
      <c r="H556" s="22"/>
      <c r="I556" s="22"/>
      <c r="J556" s="22"/>
      <c r="K556" s="22"/>
    </row>
    <row r="557" spans="1:11" x14ac:dyDescent="0.2">
      <c r="A557" s="22"/>
      <c r="B557" s="22"/>
      <c r="C557" s="22"/>
      <c r="D557" s="22"/>
      <c r="E557" s="22"/>
      <c r="F557" s="22"/>
      <c r="G557" s="22"/>
      <c r="H557" s="22"/>
      <c r="I557" s="22"/>
      <c r="J557" s="22"/>
      <c r="K557" s="22"/>
    </row>
    <row r="558" spans="1:11" x14ac:dyDescent="0.2">
      <c r="A558" s="22"/>
      <c r="B558" s="22"/>
      <c r="C558" s="22"/>
      <c r="D558" s="22"/>
      <c r="E558" s="22"/>
      <c r="F558" s="22"/>
      <c r="G558" s="22"/>
      <c r="H558" s="22"/>
      <c r="I558" s="22"/>
      <c r="J558" s="22"/>
      <c r="K558" s="22"/>
    </row>
    <row r="559" spans="1:11" x14ac:dyDescent="0.2">
      <c r="A559" s="22"/>
      <c r="B559" s="22"/>
      <c r="C559" s="22"/>
      <c r="D559" s="22"/>
      <c r="E559" s="22"/>
      <c r="F559" s="22"/>
      <c r="G559" s="22"/>
      <c r="H559" s="22"/>
      <c r="I559" s="22"/>
      <c r="J559" s="22"/>
      <c r="K559" s="22"/>
    </row>
    <row r="560" spans="1:11" x14ac:dyDescent="0.2">
      <c r="A560" s="22"/>
      <c r="B560" s="22"/>
      <c r="C560" s="22"/>
      <c r="D560" s="22"/>
      <c r="E560" s="22"/>
      <c r="F560" s="22"/>
      <c r="G560" s="22"/>
      <c r="H560" s="22"/>
      <c r="I560" s="22"/>
      <c r="J560" s="22"/>
      <c r="K560" s="22"/>
    </row>
    <row r="561" spans="1:11" x14ac:dyDescent="0.2">
      <c r="A561" s="22"/>
      <c r="B561" s="22"/>
      <c r="C561" s="22"/>
      <c r="D561" s="22"/>
      <c r="E561" s="22"/>
      <c r="F561" s="22"/>
      <c r="G561" s="22"/>
      <c r="H561" s="22"/>
      <c r="I561" s="22"/>
      <c r="J561" s="22"/>
      <c r="K561" s="22"/>
    </row>
    <row r="562" spans="1:11" x14ac:dyDescent="0.2">
      <c r="A562" s="22"/>
      <c r="B562" s="22"/>
      <c r="C562" s="22"/>
      <c r="D562" s="22"/>
      <c r="E562" s="22"/>
      <c r="F562" s="22"/>
      <c r="G562" s="22"/>
      <c r="H562" s="22"/>
      <c r="I562" s="22"/>
      <c r="J562" s="22"/>
      <c r="K562" s="22"/>
    </row>
    <row r="563" spans="1:11" x14ac:dyDescent="0.2">
      <c r="A563" s="22"/>
      <c r="B563" s="22"/>
      <c r="C563" s="22"/>
      <c r="D563" s="22"/>
      <c r="E563" s="22"/>
      <c r="F563" s="22"/>
      <c r="G563" s="22"/>
      <c r="H563" s="22"/>
      <c r="I563" s="22"/>
      <c r="J563" s="22"/>
      <c r="K563" s="22"/>
    </row>
    <row r="564" spans="1:11" x14ac:dyDescent="0.2">
      <c r="A564" s="22"/>
      <c r="B564" s="22"/>
      <c r="C564" s="22"/>
      <c r="D564" s="22"/>
      <c r="E564" s="22"/>
      <c r="F564" s="22"/>
      <c r="G564" s="22"/>
      <c r="H564" s="22"/>
      <c r="I564" s="22"/>
      <c r="J564" s="22"/>
      <c r="K564" s="22"/>
    </row>
    <row r="565" spans="1:11" x14ac:dyDescent="0.2">
      <c r="A565" s="22"/>
      <c r="B565" s="22"/>
      <c r="C565" s="22"/>
      <c r="D565" s="22"/>
      <c r="E565" s="22"/>
      <c r="F565" s="22"/>
      <c r="G565" s="22"/>
      <c r="H565" s="22"/>
      <c r="I565" s="22"/>
      <c r="J565" s="22"/>
      <c r="K565" s="22"/>
    </row>
    <row r="566" spans="1:11" x14ac:dyDescent="0.2">
      <c r="A566" s="22"/>
      <c r="B566" s="22"/>
      <c r="C566" s="22"/>
      <c r="D566" s="22"/>
      <c r="E566" s="22"/>
      <c r="F566" s="22"/>
      <c r="G566" s="22"/>
      <c r="H566" s="22"/>
      <c r="I566" s="22"/>
      <c r="J566" s="22"/>
      <c r="K566" s="22"/>
    </row>
    <row r="567" spans="1:11" x14ac:dyDescent="0.2">
      <c r="A567" s="22"/>
      <c r="B567" s="22"/>
      <c r="C567" s="22"/>
      <c r="D567" s="22"/>
      <c r="E567" s="22"/>
      <c r="F567" s="22"/>
      <c r="G567" s="22"/>
      <c r="H567" s="22"/>
      <c r="I567" s="22"/>
      <c r="J567" s="22"/>
      <c r="K567" s="22"/>
    </row>
    <row r="568" spans="1:11" x14ac:dyDescent="0.2">
      <c r="A568" s="22"/>
      <c r="B568" s="22"/>
      <c r="C568" s="22"/>
      <c r="D568" s="22"/>
      <c r="E568" s="22"/>
      <c r="F568" s="22"/>
      <c r="G568" s="22"/>
      <c r="H568" s="22"/>
      <c r="I568" s="22"/>
      <c r="J568" s="22"/>
      <c r="K568" s="22"/>
    </row>
    <row r="569" spans="1:11" x14ac:dyDescent="0.2">
      <c r="A569" s="22"/>
      <c r="B569" s="22"/>
      <c r="C569" s="22"/>
      <c r="D569" s="22"/>
      <c r="E569" s="22"/>
      <c r="F569" s="22"/>
      <c r="G569" s="22"/>
      <c r="H569" s="22"/>
      <c r="I569" s="22"/>
      <c r="J569" s="22"/>
      <c r="K569" s="22"/>
    </row>
    <row r="570" spans="1:11" x14ac:dyDescent="0.2">
      <c r="A570" s="22"/>
      <c r="B570" s="22"/>
      <c r="C570" s="22"/>
      <c r="D570" s="22"/>
      <c r="E570" s="22"/>
      <c r="F570" s="22"/>
      <c r="G570" s="22"/>
      <c r="H570" s="22"/>
      <c r="I570" s="22"/>
      <c r="J570" s="22"/>
      <c r="K570" s="22"/>
    </row>
    <row r="571" spans="1:11" x14ac:dyDescent="0.2">
      <c r="A571" s="22"/>
      <c r="B571" s="22"/>
      <c r="C571" s="22"/>
      <c r="D571" s="22"/>
      <c r="E571" s="22"/>
      <c r="F571" s="22"/>
      <c r="G571" s="22"/>
      <c r="H571" s="22"/>
      <c r="I571" s="22"/>
      <c r="J571" s="22"/>
      <c r="K571" s="22"/>
    </row>
    <row r="572" spans="1:11" x14ac:dyDescent="0.2">
      <c r="A572" s="22"/>
      <c r="B572" s="22"/>
      <c r="C572" s="22"/>
      <c r="D572" s="22"/>
      <c r="E572" s="22"/>
      <c r="F572" s="22"/>
      <c r="G572" s="22"/>
      <c r="H572" s="22"/>
      <c r="I572" s="22"/>
      <c r="J572" s="22"/>
      <c r="K572" s="22"/>
    </row>
    <row r="573" spans="1:11" x14ac:dyDescent="0.2">
      <c r="A573" s="22"/>
      <c r="B573" s="22"/>
      <c r="C573" s="22"/>
      <c r="D573" s="22"/>
      <c r="E573" s="22"/>
      <c r="F573" s="22"/>
      <c r="G573" s="22"/>
      <c r="H573" s="22"/>
      <c r="I573" s="22"/>
      <c r="J573" s="22"/>
      <c r="K573" s="22"/>
    </row>
    <row r="574" spans="1:11" x14ac:dyDescent="0.2">
      <c r="A574" s="22"/>
      <c r="B574" s="22"/>
      <c r="C574" s="22"/>
      <c r="D574" s="22"/>
      <c r="E574" s="22"/>
      <c r="F574" s="22"/>
      <c r="G574" s="22"/>
      <c r="H574" s="22"/>
      <c r="I574" s="22"/>
      <c r="J574" s="22"/>
      <c r="K574" s="22"/>
    </row>
    <row r="575" spans="1:11" x14ac:dyDescent="0.2">
      <c r="A575" s="22"/>
      <c r="B575" s="22"/>
      <c r="C575" s="22"/>
      <c r="D575" s="22"/>
      <c r="E575" s="22"/>
      <c r="F575" s="22"/>
      <c r="G575" s="22"/>
      <c r="H575" s="22"/>
      <c r="I575" s="22"/>
      <c r="J575" s="22"/>
      <c r="K575" s="22"/>
    </row>
    <row r="576" spans="1:11" x14ac:dyDescent="0.2">
      <c r="A576" s="22"/>
      <c r="B576" s="22"/>
      <c r="C576" s="22"/>
      <c r="D576" s="22"/>
      <c r="E576" s="22"/>
      <c r="F576" s="22"/>
      <c r="G576" s="22"/>
      <c r="H576" s="22"/>
      <c r="I576" s="22"/>
      <c r="J576" s="22"/>
      <c r="K576" s="22"/>
    </row>
    <row r="577" spans="1:11" x14ac:dyDescent="0.2">
      <c r="A577" s="22"/>
      <c r="B577" s="22"/>
      <c r="C577" s="22"/>
      <c r="D577" s="22"/>
      <c r="E577" s="22"/>
      <c r="F577" s="22"/>
      <c r="G577" s="22"/>
      <c r="H577" s="22"/>
      <c r="I577" s="22"/>
      <c r="J577" s="22"/>
      <c r="K577" s="22"/>
    </row>
    <row r="578" spans="1:11" x14ac:dyDescent="0.2">
      <c r="A578" s="22"/>
      <c r="B578" s="22"/>
      <c r="C578" s="22"/>
      <c r="D578" s="22"/>
      <c r="E578" s="22"/>
      <c r="F578" s="22"/>
      <c r="G578" s="22"/>
      <c r="H578" s="22"/>
      <c r="I578" s="22"/>
      <c r="J578" s="22"/>
      <c r="K578" s="22"/>
    </row>
    <row r="579" spans="1:11" x14ac:dyDescent="0.2">
      <c r="A579" s="22"/>
      <c r="B579" s="22"/>
      <c r="C579" s="22"/>
      <c r="D579" s="22"/>
      <c r="E579" s="22"/>
      <c r="F579" s="22"/>
      <c r="G579" s="22"/>
      <c r="H579" s="22"/>
      <c r="I579" s="22"/>
      <c r="J579" s="22"/>
      <c r="K579" s="22"/>
    </row>
    <row r="580" spans="1:11" x14ac:dyDescent="0.2">
      <c r="A580" s="22"/>
      <c r="B580" s="22"/>
      <c r="C580" s="22"/>
      <c r="D580" s="22"/>
      <c r="E580" s="22"/>
      <c r="F580" s="22"/>
      <c r="G580" s="22"/>
      <c r="H580" s="22"/>
      <c r="I580" s="22"/>
      <c r="J580" s="22"/>
      <c r="K580" s="22"/>
    </row>
    <row r="581" spans="1:11" x14ac:dyDescent="0.2">
      <c r="A581" s="22"/>
      <c r="B581" s="22"/>
      <c r="C581" s="22"/>
      <c r="D581" s="22"/>
      <c r="E581" s="22"/>
      <c r="F581" s="22"/>
      <c r="G581" s="22"/>
      <c r="H581" s="22"/>
      <c r="I581" s="22"/>
      <c r="J581" s="22"/>
      <c r="K581" s="22"/>
    </row>
    <row r="582" spans="1:11" x14ac:dyDescent="0.2">
      <c r="A582" s="22"/>
      <c r="B582" s="22"/>
      <c r="C582" s="22"/>
      <c r="D582" s="22"/>
      <c r="E582" s="22"/>
      <c r="F582" s="22"/>
      <c r="G582" s="22"/>
      <c r="H582" s="22"/>
      <c r="I582" s="22"/>
      <c r="J582" s="22"/>
      <c r="K582" s="22"/>
    </row>
    <row r="583" spans="1:11" x14ac:dyDescent="0.2">
      <c r="A583" s="22"/>
      <c r="B583" s="22"/>
      <c r="C583" s="22"/>
      <c r="D583" s="22"/>
      <c r="E583" s="22"/>
      <c r="F583" s="22"/>
      <c r="G583" s="22"/>
      <c r="H583" s="22"/>
      <c r="I583" s="22"/>
      <c r="J583" s="22"/>
      <c r="K583" s="22"/>
    </row>
    <row r="584" spans="1:11" x14ac:dyDescent="0.2">
      <c r="A584" s="22"/>
      <c r="B584" s="22"/>
      <c r="C584" s="22"/>
      <c r="D584" s="22"/>
      <c r="E584" s="22"/>
      <c r="F584" s="22"/>
      <c r="G584" s="22"/>
      <c r="H584" s="22"/>
      <c r="I584" s="22"/>
      <c r="J584" s="22"/>
      <c r="K584" s="22"/>
    </row>
    <row r="585" spans="1:11" x14ac:dyDescent="0.2">
      <c r="A585" s="22"/>
      <c r="B585" s="22"/>
      <c r="C585" s="22"/>
      <c r="D585" s="22"/>
      <c r="E585" s="22"/>
      <c r="F585" s="22"/>
      <c r="G585" s="22"/>
      <c r="H585" s="22"/>
      <c r="I585" s="22"/>
      <c r="J585" s="22"/>
      <c r="K585" s="22"/>
    </row>
    <row r="586" spans="1:11" x14ac:dyDescent="0.2">
      <c r="A586" s="22"/>
      <c r="B586" s="22"/>
      <c r="C586" s="22"/>
      <c r="D586" s="22"/>
      <c r="E586" s="22"/>
      <c r="F586" s="22"/>
      <c r="G586" s="22"/>
      <c r="H586" s="22"/>
      <c r="I586" s="22"/>
      <c r="J586" s="22"/>
      <c r="K586" s="22"/>
    </row>
    <row r="587" spans="1:11" x14ac:dyDescent="0.2">
      <c r="A587" s="22"/>
      <c r="B587" s="22"/>
      <c r="C587" s="22"/>
      <c r="D587" s="22"/>
      <c r="E587" s="22"/>
      <c r="F587" s="22"/>
      <c r="G587" s="22"/>
      <c r="H587" s="22"/>
      <c r="I587" s="22"/>
      <c r="J587" s="22"/>
      <c r="K587" s="22"/>
    </row>
    <row r="588" spans="1:11" x14ac:dyDescent="0.2">
      <c r="A588" s="22"/>
      <c r="B588" s="22"/>
      <c r="C588" s="22"/>
      <c r="D588" s="22"/>
      <c r="E588" s="22"/>
      <c r="F588" s="22"/>
      <c r="G588" s="22"/>
      <c r="H588" s="22"/>
      <c r="I588" s="22"/>
      <c r="J588" s="22"/>
      <c r="K588" s="22"/>
    </row>
    <row r="589" spans="1:11" x14ac:dyDescent="0.2">
      <c r="A589" s="22"/>
      <c r="B589" s="22"/>
      <c r="C589" s="22"/>
      <c r="D589" s="22"/>
      <c r="E589" s="22"/>
      <c r="F589" s="22"/>
      <c r="G589" s="22"/>
      <c r="H589" s="22"/>
      <c r="I589" s="22"/>
      <c r="J589" s="22"/>
      <c r="K589" s="22"/>
    </row>
    <row r="590" spans="1:11" x14ac:dyDescent="0.2">
      <c r="A590" s="22"/>
      <c r="B590" s="22"/>
      <c r="C590" s="22"/>
      <c r="D590" s="22"/>
      <c r="E590" s="22"/>
      <c r="F590" s="22"/>
      <c r="G590" s="22"/>
      <c r="H590" s="22"/>
      <c r="I590" s="22"/>
      <c r="J590" s="22"/>
      <c r="K590" s="22"/>
    </row>
    <row r="591" spans="1:11" x14ac:dyDescent="0.2">
      <c r="A591" s="22"/>
      <c r="B591" s="22"/>
      <c r="C591" s="22"/>
      <c r="D591" s="22"/>
      <c r="E591" s="22"/>
      <c r="F591" s="22"/>
      <c r="G591" s="22"/>
      <c r="H591" s="22"/>
      <c r="I591" s="22"/>
      <c r="J591" s="22"/>
      <c r="K591" s="22"/>
    </row>
    <row r="592" spans="1:11" x14ac:dyDescent="0.2">
      <c r="A592" s="22"/>
      <c r="B592" s="22"/>
      <c r="C592" s="22"/>
      <c r="D592" s="22"/>
      <c r="E592" s="22"/>
      <c r="F592" s="22"/>
      <c r="G592" s="22"/>
      <c r="H592" s="22"/>
      <c r="I592" s="22"/>
      <c r="J592" s="22"/>
      <c r="K592" s="22"/>
    </row>
    <row r="593" spans="1:11" x14ac:dyDescent="0.2">
      <c r="A593" s="22"/>
      <c r="B593" s="22"/>
      <c r="C593" s="22"/>
      <c r="D593" s="22"/>
      <c r="E593" s="22"/>
      <c r="F593" s="22"/>
      <c r="G593" s="22"/>
      <c r="H593" s="22"/>
      <c r="I593" s="22"/>
      <c r="J593" s="22"/>
      <c r="K593" s="22"/>
    </row>
    <row r="594" spans="1:11" x14ac:dyDescent="0.2">
      <c r="A594" s="22"/>
      <c r="B594" s="22"/>
      <c r="C594" s="22"/>
      <c r="D594" s="22"/>
      <c r="E594" s="22"/>
      <c r="F594" s="22"/>
      <c r="G594" s="22"/>
      <c r="H594" s="22"/>
      <c r="I594" s="22"/>
      <c r="J594" s="22"/>
      <c r="K594" s="22"/>
    </row>
    <row r="595" spans="1:11" x14ac:dyDescent="0.2">
      <c r="A595" s="22"/>
      <c r="B595" s="22"/>
      <c r="C595" s="22"/>
      <c r="D595" s="22"/>
      <c r="E595" s="22"/>
      <c r="F595" s="22"/>
      <c r="G595" s="22"/>
      <c r="H595" s="22"/>
      <c r="I595" s="22"/>
      <c r="J595" s="22"/>
      <c r="K595" s="22"/>
    </row>
    <row r="596" spans="1:11" x14ac:dyDescent="0.2">
      <c r="A596" s="22"/>
      <c r="B596" s="22"/>
      <c r="C596" s="22"/>
      <c r="D596" s="22"/>
      <c r="E596" s="22"/>
      <c r="F596" s="22"/>
      <c r="G596" s="22"/>
      <c r="H596" s="22"/>
      <c r="I596" s="22"/>
      <c r="J596" s="22"/>
      <c r="K596" s="22"/>
    </row>
    <row r="597" spans="1:11" x14ac:dyDescent="0.2">
      <c r="A597" s="22"/>
      <c r="B597" s="22"/>
      <c r="C597" s="22"/>
      <c r="D597" s="22"/>
      <c r="E597" s="22"/>
      <c r="F597" s="22"/>
      <c r="G597" s="22"/>
      <c r="H597" s="22"/>
      <c r="I597" s="22"/>
      <c r="J597" s="22"/>
      <c r="K597" s="22"/>
    </row>
    <row r="598" spans="1:11" x14ac:dyDescent="0.2">
      <c r="A598" s="22"/>
      <c r="B598" s="22"/>
      <c r="C598" s="22"/>
      <c r="D598" s="22"/>
      <c r="E598" s="22"/>
      <c r="F598" s="22"/>
      <c r="G598" s="22"/>
      <c r="H598" s="22"/>
      <c r="I598" s="22"/>
      <c r="J598" s="22"/>
      <c r="K598" s="22"/>
    </row>
    <row r="599" spans="1:11" x14ac:dyDescent="0.2">
      <c r="A599" s="22"/>
      <c r="B599" s="22"/>
      <c r="C599" s="22"/>
      <c r="D599" s="22"/>
      <c r="E599" s="22"/>
      <c r="F599" s="22"/>
      <c r="G599" s="22"/>
      <c r="H599" s="22"/>
      <c r="I599" s="22"/>
      <c r="J599" s="22"/>
      <c r="K599" s="22"/>
    </row>
    <row r="600" spans="1:11" x14ac:dyDescent="0.2">
      <c r="A600" s="22"/>
      <c r="B600" s="22"/>
      <c r="C600" s="22"/>
      <c r="D600" s="22"/>
      <c r="E600" s="22"/>
      <c r="F600" s="22"/>
      <c r="G600" s="22"/>
      <c r="H600" s="22"/>
      <c r="I600" s="22"/>
      <c r="J600" s="22"/>
      <c r="K600" s="22"/>
    </row>
    <row r="601" spans="1:11" x14ac:dyDescent="0.2">
      <c r="A601" s="22"/>
      <c r="B601" s="22"/>
      <c r="C601" s="22"/>
      <c r="D601" s="22"/>
      <c r="E601" s="22"/>
      <c r="F601" s="22"/>
      <c r="G601" s="22"/>
      <c r="H601" s="22"/>
      <c r="I601" s="22"/>
      <c r="J601" s="22"/>
      <c r="K601" s="22"/>
    </row>
    <row r="602" spans="1:11" x14ac:dyDescent="0.2">
      <c r="A602" s="22"/>
      <c r="B602" s="22"/>
      <c r="C602" s="22"/>
      <c r="D602" s="22"/>
      <c r="E602" s="22"/>
      <c r="F602" s="22"/>
      <c r="G602" s="22"/>
      <c r="H602" s="22"/>
      <c r="I602" s="22"/>
      <c r="J602" s="22"/>
      <c r="K602" s="22"/>
    </row>
    <row r="603" spans="1:11" x14ac:dyDescent="0.2">
      <c r="A603" s="22"/>
      <c r="B603" s="22"/>
      <c r="C603" s="22"/>
      <c r="D603" s="22"/>
      <c r="E603" s="22"/>
      <c r="F603" s="22"/>
      <c r="G603" s="22"/>
      <c r="H603" s="22"/>
      <c r="I603" s="22"/>
      <c r="J603" s="22"/>
      <c r="K603" s="22"/>
    </row>
    <row r="604" spans="1:11" x14ac:dyDescent="0.2">
      <c r="A604" s="22"/>
      <c r="B604" s="22"/>
      <c r="C604" s="22"/>
      <c r="D604" s="22"/>
      <c r="E604" s="22"/>
      <c r="F604" s="22"/>
      <c r="G604" s="22"/>
      <c r="H604" s="22"/>
      <c r="I604" s="22"/>
      <c r="J604" s="22"/>
      <c r="K604" s="22"/>
    </row>
    <row r="605" spans="1:11" x14ac:dyDescent="0.2">
      <c r="A605" s="22"/>
      <c r="B605" s="22"/>
      <c r="C605" s="22"/>
      <c r="D605" s="22"/>
      <c r="E605" s="22"/>
      <c r="F605" s="22"/>
      <c r="G605" s="22"/>
      <c r="H605" s="22"/>
      <c r="I605" s="22"/>
      <c r="J605" s="22"/>
      <c r="K605" s="22"/>
    </row>
    <row r="606" spans="1:11" x14ac:dyDescent="0.2">
      <c r="A606" s="22"/>
      <c r="B606" s="22"/>
      <c r="C606" s="22"/>
      <c r="D606" s="22"/>
      <c r="E606" s="22"/>
      <c r="F606" s="22"/>
      <c r="G606" s="22"/>
      <c r="H606" s="22"/>
      <c r="I606" s="22"/>
      <c r="J606" s="22"/>
      <c r="K606" s="22"/>
    </row>
    <row r="607" spans="1:11" x14ac:dyDescent="0.2">
      <c r="A607" s="22"/>
      <c r="B607" s="22"/>
      <c r="C607" s="22"/>
      <c r="D607" s="22"/>
      <c r="E607" s="22"/>
      <c r="F607" s="22"/>
      <c r="G607" s="22"/>
      <c r="H607" s="22"/>
      <c r="I607" s="22"/>
      <c r="J607" s="22"/>
      <c r="K607" s="22"/>
    </row>
    <row r="608" spans="1:11" x14ac:dyDescent="0.2">
      <c r="A608" s="22"/>
      <c r="B608" s="22"/>
      <c r="C608" s="22"/>
      <c r="D608" s="22"/>
      <c r="E608" s="22"/>
      <c r="F608" s="22"/>
      <c r="G608" s="22"/>
      <c r="H608" s="22"/>
      <c r="I608" s="22"/>
      <c r="J608" s="22"/>
      <c r="K608" s="22"/>
    </row>
    <row r="609" spans="1:11" x14ac:dyDescent="0.2">
      <c r="A609" s="22"/>
      <c r="B609" s="22"/>
      <c r="C609" s="22"/>
      <c r="D609" s="22"/>
      <c r="E609" s="22"/>
      <c r="F609" s="22"/>
      <c r="G609" s="22"/>
      <c r="H609" s="22"/>
      <c r="I609" s="22"/>
      <c r="J609" s="22"/>
      <c r="K609" s="22"/>
    </row>
    <row r="610" spans="1:11" x14ac:dyDescent="0.2">
      <c r="A610" s="22"/>
      <c r="B610" s="22"/>
      <c r="C610" s="22"/>
      <c r="D610" s="22"/>
      <c r="E610" s="22"/>
      <c r="F610" s="22"/>
      <c r="G610" s="22"/>
      <c r="H610" s="22"/>
      <c r="I610" s="22"/>
      <c r="J610" s="22"/>
      <c r="K610" s="22"/>
    </row>
    <row r="611" spans="1:11" x14ac:dyDescent="0.2">
      <c r="A611" s="22"/>
      <c r="B611" s="22"/>
      <c r="C611" s="22"/>
      <c r="D611" s="22"/>
      <c r="E611" s="22"/>
      <c r="F611" s="22"/>
      <c r="G611" s="22"/>
      <c r="H611" s="22"/>
      <c r="I611" s="22"/>
      <c r="J611" s="22"/>
      <c r="K611" s="22"/>
    </row>
    <row r="612" spans="1:11" x14ac:dyDescent="0.2">
      <c r="A612" s="22"/>
      <c r="B612" s="22"/>
      <c r="C612" s="22"/>
      <c r="D612" s="22"/>
      <c r="E612" s="22"/>
      <c r="F612" s="22"/>
      <c r="G612" s="22"/>
      <c r="H612" s="22"/>
      <c r="I612" s="22"/>
      <c r="J612" s="22"/>
      <c r="K612" s="22"/>
    </row>
    <row r="613" spans="1:11" x14ac:dyDescent="0.2">
      <c r="A613" s="22"/>
      <c r="B613" s="22"/>
      <c r="C613" s="22"/>
      <c r="D613" s="22"/>
      <c r="E613" s="22"/>
      <c r="F613" s="22"/>
      <c r="G613" s="22"/>
      <c r="H613" s="22"/>
      <c r="I613" s="22"/>
      <c r="J613" s="22"/>
      <c r="K613" s="22"/>
    </row>
    <row r="614" spans="1:11" x14ac:dyDescent="0.2">
      <c r="A614" s="22"/>
      <c r="B614" s="22"/>
      <c r="C614" s="22"/>
      <c r="D614" s="22"/>
      <c r="E614" s="22"/>
      <c r="F614" s="22"/>
      <c r="G614" s="22"/>
      <c r="H614" s="22"/>
      <c r="I614" s="22"/>
      <c r="J614" s="22"/>
      <c r="K614" s="22"/>
    </row>
    <row r="615" spans="1:11" x14ac:dyDescent="0.2">
      <c r="A615" s="22"/>
      <c r="B615" s="22"/>
      <c r="C615" s="22"/>
      <c r="D615" s="22"/>
      <c r="E615" s="22"/>
      <c r="F615" s="22"/>
      <c r="G615" s="22"/>
      <c r="H615" s="22"/>
      <c r="I615" s="22"/>
      <c r="J615" s="22"/>
      <c r="K615" s="22"/>
    </row>
    <row r="616" spans="1:11" x14ac:dyDescent="0.2">
      <c r="A616" s="22"/>
      <c r="B616" s="22"/>
      <c r="C616" s="22"/>
      <c r="D616" s="22"/>
      <c r="E616" s="22"/>
      <c r="F616" s="22"/>
      <c r="G616" s="22"/>
      <c r="H616" s="22"/>
      <c r="I616" s="22"/>
      <c r="J616" s="22"/>
      <c r="K616" s="22"/>
    </row>
    <row r="617" spans="1:11" x14ac:dyDescent="0.2">
      <c r="A617" s="22"/>
      <c r="B617" s="22"/>
      <c r="C617" s="22"/>
      <c r="D617" s="22"/>
      <c r="E617" s="22"/>
      <c r="F617" s="22"/>
      <c r="G617" s="22"/>
      <c r="H617" s="22"/>
      <c r="I617" s="22"/>
      <c r="J617" s="22"/>
      <c r="K617" s="22"/>
    </row>
    <row r="618" spans="1:11" x14ac:dyDescent="0.2">
      <c r="A618" s="22"/>
      <c r="B618" s="22"/>
      <c r="C618" s="22"/>
      <c r="D618" s="22"/>
      <c r="E618" s="22"/>
      <c r="F618" s="22"/>
      <c r="G618" s="22"/>
      <c r="H618" s="22"/>
      <c r="I618" s="22"/>
      <c r="J618" s="22"/>
      <c r="K618" s="22"/>
    </row>
    <row r="619" spans="1:11" x14ac:dyDescent="0.2">
      <c r="A619" s="22"/>
      <c r="B619" s="22"/>
      <c r="C619" s="22"/>
      <c r="D619" s="22"/>
      <c r="E619" s="22"/>
      <c r="F619" s="22"/>
      <c r="G619" s="22"/>
      <c r="H619" s="22"/>
      <c r="I619" s="22"/>
      <c r="J619" s="22"/>
      <c r="K619" s="22"/>
    </row>
    <row r="620" spans="1:11" x14ac:dyDescent="0.2">
      <c r="A620" s="22"/>
      <c r="B620" s="22"/>
      <c r="C620" s="22"/>
      <c r="D620" s="22"/>
      <c r="E620" s="22"/>
      <c r="F620" s="22"/>
      <c r="G620" s="22"/>
      <c r="H620" s="22"/>
      <c r="I620" s="22"/>
      <c r="J620" s="22"/>
      <c r="K620" s="22"/>
    </row>
    <row r="621" spans="1:11" x14ac:dyDescent="0.2">
      <c r="A621" s="22"/>
      <c r="B621" s="22"/>
      <c r="C621" s="22"/>
      <c r="D621" s="22"/>
      <c r="E621" s="22"/>
      <c r="F621" s="22"/>
      <c r="G621" s="22"/>
      <c r="H621" s="22"/>
      <c r="I621" s="22"/>
      <c r="J621" s="22"/>
      <c r="K621" s="22"/>
    </row>
    <row r="622" spans="1:11" x14ac:dyDescent="0.2">
      <c r="A622" s="22"/>
      <c r="B622" s="22"/>
      <c r="C622" s="22"/>
      <c r="D622" s="22"/>
      <c r="E622" s="22"/>
      <c r="F622" s="22"/>
      <c r="G622" s="22"/>
      <c r="H622" s="22"/>
      <c r="I622" s="22"/>
      <c r="J622" s="22"/>
      <c r="K622" s="22"/>
    </row>
    <row r="623" spans="1:11" x14ac:dyDescent="0.2">
      <c r="A623" s="22"/>
      <c r="B623" s="22"/>
      <c r="C623" s="22"/>
      <c r="D623" s="22"/>
      <c r="E623" s="22"/>
      <c r="F623" s="22"/>
      <c r="G623" s="22"/>
      <c r="H623" s="22"/>
      <c r="I623" s="22"/>
      <c r="J623" s="22"/>
      <c r="K623" s="22"/>
    </row>
    <row r="624" spans="1:11" x14ac:dyDescent="0.2">
      <c r="A624" s="22"/>
      <c r="B624" s="22"/>
      <c r="C624" s="22"/>
      <c r="D624" s="22"/>
      <c r="E624" s="22"/>
      <c r="F624" s="22"/>
      <c r="G624" s="22"/>
      <c r="H624" s="22"/>
      <c r="I624" s="22"/>
      <c r="J624" s="22"/>
      <c r="K624" s="22"/>
    </row>
    <row r="625" spans="1:11" x14ac:dyDescent="0.2">
      <c r="A625" s="22"/>
      <c r="B625" s="22"/>
      <c r="C625" s="22"/>
      <c r="D625" s="22"/>
      <c r="E625" s="22"/>
      <c r="F625" s="22"/>
      <c r="G625" s="22"/>
      <c r="H625" s="22"/>
      <c r="I625" s="22"/>
      <c r="J625" s="22"/>
      <c r="K625" s="22"/>
    </row>
    <row r="626" spans="1:11" x14ac:dyDescent="0.2">
      <c r="A626" s="22"/>
      <c r="B626" s="22"/>
      <c r="C626" s="22"/>
      <c r="D626" s="22"/>
      <c r="E626" s="22"/>
      <c r="F626" s="22"/>
      <c r="G626" s="22"/>
      <c r="H626" s="22"/>
      <c r="I626" s="22"/>
      <c r="J626" s="22"/>
      <c r="K626" s="22"/>
    </row>
    <row r="627" spans="1:11" x14ac:dyDescent="0.2">
      <c r="A627" s="22"/>
      <c r="B627" s="22"/>
      <c r="C627" s="22"/>
      <c r="D627" s="22"/>
      <c r="E627" s="22"/>
      <c r="F627" s="22"/>
      <c r="G627" s="22"/>
      <c r="H627" s="22"/>
      <c r="I627" s="22"/>
      <c r="J627" s="22"/>
      <c r="K627" s="22"/>
    </row>
    <row r="628" spans="1:11" x14ac:dyDescent="0.2">
      <c r="A628" s="22"/>
      <c r="B628" s="22"/>
      <c r="C628" s="22"/>
      <c r="D628" s="22"/>
      <c r="E628" s="22"/>
      <c r="F628" s="22"/>
      <c r="G628" s="22"/>
      <c r="H628" s="22"/>
      <c r="I628" s="22"/>
      <c r="J628" s="22"/>
      <c r="K628" s="22"/>
    </row>
    <row r="629" spans="1:11" x14ac:dyDescent="0.2">
      <c r="A629" s="22"/>
      <c r="B629" s="22"/>
      <c r="C629" s="22"/>
      <c r="D629" s="22"/>
      <c r="E629" s="22"/>
      <c r="F629" s="22"/>
      <c r="G629" s="22"/>
      <c r="H629" s="22"/>
      <c r="I629" s="22"/>
      <c r="J629" s="22"/>
      <c r="K629" s="22"/>
    </row>
    <row r="630" spans="1:11" x14ac:dyDescent="0.2">
      <c r="A630" s="22"/>
      <c r="B630" s="22"/>
      <c r="C630" s="22"/>
      <c r="D630" s="22"/>
      <c r="E630" s="22"/>
      <c r="F630" s="22"/>
      <c r="G630" s="22"/>
      <c r="H630" s="22"/>
      <c r="I630" s="22"/>
      <c r="J630" s="22"/>
      <c r="K630" s="22"/>
    </row>
    <row r="631" spans="1:11" x14ac:dyDescent="0.2">
      <c r="A631" s="22"/>
      <c r="B631" s="22"/>
      <c r="C631" s="22"/>
      <c r="D631" s="22"/>
      <c r="E631" s="22"/>
      <c r="F631" s="22"/>
      <c r="G631" s="22"/>
      <c r="H631" s="22"/>
      <c r="I631" s="22"/>
      <c r="J631" s="22"/>
      <c r="K631" s="22"/>
    </row>
    <row r="632" spans="1:11" x14ac:dyDescent="0.2">
      <c r="A632" s="22"/>
      <c r="B632" s="22"/>
      <c r="C632" s="22"/>
      <c r="D632" s="22"/>
      <c r="E632" s="22"/>
      <c r="F632" s="22"/>
      <c r="G632" s="22"/>
      <c r="H632" s="22"/>
      <c r="I632" s="22"/>
      <c r="J632" s="22"/>
      <c r="K632" s="22"/>
    </row>
    <row r="633" spans="1:11" x14ac:dyDescent="0.2">
      <c r="A633" s="22"/>
      <c r="B633" s="22"/>
      <c r="C633" s="22"/>
      <c r="D633" s="22"/>
      <c r="E633" s="22"/>
      <c r="F633" s="22"/>
      <c r="G633" s="22"/>
      <c r="H633" s="22"/>
      <c r="I633" s="22"/>
      <c r="J633" s="22"/>
      <c r="K633" s="22"/>
    </row>
    <row r="634" spans="1:11" x14ac:dyDescent="0.2">
      <c r="A634" s="22"/>
      <c r="B634" s="22"/>
      <c r="C634" s="22"/>
      <c r="D634" s="22"/>
      <c r="E634" s="22"/>
      <c r="F634" s="22"/>
      <c r="G634" s="22"/>
      <c r="H634" s="22"/>
      <c r="I634" s="22"/>
      <c r="J634" s="22"/>
      <c r="K634" s="22"/>
    </row>
    <row r="635" spans="1:11" x14ac:dyDescent="0.2">
      <c r="A635" s="22"/>
      <c r="B635" s="22"/>
      <c r="C635" s="22"/>
      <c r="D635" s="22"/>
      <c r="E635" s="22"/>
      <c r="F635" s="22"/>
      <c r="G635" s="22"/>
      <c r="H635" s="22"/>
      <c r="I635" s="22"/>
      <c r="J635" s="22"/>
      <c r="K635" s="22"/>
    </row>
    <row r="636" spans="1:11" x14ac:dyDescent="0.2">
      <c r="A636" s="22"/>
      <c r="B636" s="22"/>
      <c r="C636" s="22"/>
      <c r="D636" s="22"/>
      <c r="E636" s="22"/>
      <c r="F636" s="22"/>
      <c r="G636" s="22"/>
      <c r="H636" s="22"/>
      <c r="I636" s="22"/>
      <c r="J636" s="22"/>
      <c r="K636" s="22"/>
    </row>
    <row r="637" spans="1:11" x14ac:dyDescent="0.2">
      <c r="A637" s="22"/>
      <c r="B637" s="22"/>
      <c r="C637" s="22"/>
      <c r="D637" s="22"/>
      <c r="E637" s="22"/>
      <c r="F637" s="22"/>
      <c r="G637" s="22"/>
      <c r="H637" s="22"/>
      <c r="I637" s="22"/>
      <c r="J637" s="22"/>
      <c r="K637" s="22"/>
    </row>
    <row r="638" spans="1:11" x14ac:dyDescent="0.2">
      <c r="A638" s="22"/>
      <c r="B638" s="22"/>
      <c r="C638" s="22"/>
      <c r="D638" s="22"/>
      <c r="E638" s="22"/>
      <c r="F638" s="22"/>
      <c r="G638" s="22"/>
      <c r="H638" s="22"/>
      <c r="I638" s="22"/>
      <c r="J638" s="22"/>
      <c r="K638" s="22"/>
    </row>
    <row r="639" spans="1:11" x14ac:dyDescent="0.2">
      <c r="A639" s="22"/>
      <c r="B639" s="22"/>
      <c r="C639" s="22"/>
      <c r="D639" s="22"/>
      <c r="E639" s="22"/>
      <c r="F639" s="22"/>
      <c r="G639" s="22"/>
      <c r="H639" s="22"/>
      <c r="I639" s="22"/>
      <c r="J639" s="22"/>
      <c r="K639" s="22"/>
    </row>
    <row r="640" spans="1:11" x14ac:dyDescent="0.2">
      <c r="A640" s="22"/>
      <c r="B640" s="22"/>
      <c r="C640" s="22"/>
      <c r="D640" s="22"/>
      <c r="E640" s="22"/>
      <c r="F640" s="22"/>
      <c r="G640" s="22"/>
      <c r="H640" s="22"/>
      <c r="I640" s="22"/>
      <c r="J640" s="22"/>
      <c r="K640" s="22"/>
    </row>
    <row r="641" spans="1:11" x14ac:dyDescent="0.2">
      <c r="A641" s="22"/>
      <c r="B641" s="22"/>
      <c r="C641" s="22"/>
      <c r="D641" s="22"/>
      <c r="E641" s="22"/>
      <c r="F641" s="22"/>
      <c r="G641" s="22"/>
      <c r="H641" s="22"/>
      <c r="I641" s="22"/>
      <c r="J641" s="22"/>
      <c r="K641" s="22"/>
    </row>
    <row r="642" spans="1:11" x14ac:dyDescent="0.2">
      <c r="A642" s="22"/>
      <c r="B642" s="22"/>
      <c r="C642" s="22"/>
      <c r="D642" s="22"/>
      <c r="E642" s="22"/>
      <c r="F642" s="22"/>
      <c r="G642" s="22"/>
      <c r="H642" s="22"/>
      <c r="I642" s="22"/>
      <c r="J642" s="22"/>
      <c r="K642" s="22"/>
    </row>
    <row r="643" spans="1:11" x14ac:dyDescent="0.2">
      <c r="A643" s="22"/>
      <c r="B643" s="22"/>
      <c r="C643" s="22"/>
      <c r="D643" s="22"/>
      <c r="E643" s="22"/>
      <c r="F643" s="22"/>
      <c r="G643" s="22"/>
      <c r="H643" s="22"/>
      <c r="I643" s="22"/>
      <c r="J643" s="22"/>
      <c r="K643" s="22"/>
    </row>
  </sheetData>
  <mergeCells count="35">
    <mergeCell ref="A49:B49"/>
    <mergeCell ref="A50:B50"/>
    <mergeCell ref="A37:A38"/>
    <mergeCell ref="C37:E37"/>
    <mergeCell ref="C38:E38"/>
    <mergeCell ref="A46:Q46"/>
    <mergeCell ref="A47:A48"/>
    <mergeCell ref="B47:B48"/>
    <mergeCell ref="C47:Q47"/>
    <mergeCell ref="A29:A30"/>
    <mergeCell ref="C29:E29"/>
    <mergeCell ref="C30:E30"/>
    <mergeCell ref="C32:E32"/>
    <mergeCell ref="A34:A35"/>
    <mergeCell ref="B34:B35"/>
    <mergeCell ref="C34:E34"/>
    <mergeCell ref="C35:E35"/>
    <mergeCell ref="A28:E28"/>
    <mergeCell ref="A12:B12"/>
    <mergeCell ref="A13:B13"/>
    <mergeCell ref="A14:B14"/>
    <mergeCell ref="A15:B15"/>
    <mergeCell ref="A18:B18"/>
    <mergeCell ref="A19:B19"/>
    <mergeCell ref="A20:B20"/>
    <mergeCell ref="A21:B21"/>
    <mergeCell ref="A22:B22"/>
    <mergeCell ref="A23:B23"/>
    <mergeCell ref="A25:B25"/>
    <mergeCell ref="A11:B11"/>
    <mergeCell ref="A4:B4"/>
    <mergeCell ref="A5:B5"/>
    <mergeCell ref="A6:B6"/>
    <mergeCell ref="A7:B7"/>
    <mergeCell ref="A8:B8"/>
  </mergeCells>
  <pageMargins left="0.78740157480314965" right="0.78740157480314965" top="0.98425196850393704" bottom="0.98425196850393704" header="0" footer="0"/>
  <pageSetup paperSize="5" scale="61" orientation="landscape"/>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22"/>
  <sheetViews>
    <sheetView view="pageBreakPreview" zoomScaleNormal="100" zoomScaleSheetLayoutView="100" workbookViewId="0">
      <selection activeCell="G18" sqref="G18"/>
    </sheetView>
  </sheetViews>
  <sheetFormatPr baseColWidth="10" defaultColWidth="11.42578125" defaultRowHeight="15" x14ac:dyDescent="0.25"/>
  <cols>
    <col min="1" max="1" width="25.85546875" customWidth="1" collapsed="1"/>
    <col min="2" max="2" width="24.85546875" customWidth="1" collapsed="1"/>
    <col min="3" max="3" width="21.42578125" customWidth="1" collapsed="1"/>
    <col min="4" max="4" width="35.7109375" customWidth="1" collapsed="1"/>
    <col min="5" max="16384" width="11.42578125" collapsed="1"/>
  </cols>
  <sheetData>
    <row r="1" spans="1:4" ht="51" customHeight="1" x14ac:dyDescent="0.25">
      <c r="A1" s="914" t="s">
        <v>6</v>
      </c>
      <c r="B1" s="915"/>
      <c r="C1" s="915"/>
      <c r="D1" s="916"/>
    </row>
    <row r="2" spans="1:4" ht="18" x14ac:dyDescent="0.25">
      <c r="A2" s="917" t="s">
        <v>827</v>
      </c>
      <c r="B2" s="918"/>
      <c r="C2" s="918"/>
      <c r="D2" s="919"/>
    </row>
    <row r="3" spans="1:4" ht="18.75" thickBot="1" x14ac:dyDescent="0.3">
      <c r="A3" s="920" t="s">
        <v>415</v>
      </c>
      <c r="B3" s="921"/>
      <c r="C3" s="921"/>
      <c r="D3" s="922"/>
    </row>
    <row r="4" spans="1:4" ht="6" customHeight="1" thickBot="1" x14ac:dyDescent="0.3">
      <c r="A4" s="89"/>
      <c r="B4" s="89"/>
      <c r="C4" s="90"/>
      <c r="D4" s="90"/>
    </row>
    <row r="5" spans="1:4" ht="42.75" customHeight="1" thickBot="1" x14ac:dyDescent="0.3">
      <c r="A5" s="430" t="s">
        <v>357</v>
      </c>
      <c r="B5" s="923" t="str">
        <f>PRESUPUESTO!B5:F5</f>
        <v>MANTENIMIENTO PREVENTIVO Y CORRECTIVO DE LOS TANQUES DE AGUA PARA LA INFRAESTRUCTURA INSTITUCIONAL SEGÚN REQUERIMIENTO DEL MUNICIPIO DE ENVIGADO</v>
      </c>
      <c r="C5" s="924"/>
      <c r="D5" s="925"/>
    </row>
    <row r="6" spans="1:4" ht="6" customHeight="1" thickBot="1" x14ac:dyDescent="0.3">
      <c r="A6" s="267"/>
      <c r="B6" s="267"/>
      <c r="C6" s="267"/>
      <c r="D6" s="267"/>
    </row>
    <row r="7" spans="1:4" ht="33.75" customHeight="1" thickBot="1" x14ac:dyDescent="0.3">
      <c r="A7" s="926" t="s">
        <v>416</v>
      </c>
      <c r="B7" s="927"/>
      <c r="C7" s="927"/>
      <c r="D7" s="928"/>
    </row>
    <row r="8" spans="1:4" ht="6" customHeight="1" x14ac:dyDescent="0.25">
      <c r="A8" s="267"/>
      <c r="B8" s="267"/>
      <c r="C8" s="267"/>
      <c r="D8" s="267"/>
    </row>
    <row r="9" spans="1:4" x14ac:dyDescent="0.25">
      <c r="A9" s="930" t="s">
        <v>417</v>
      </c>
      <c r="B9" s="931"/>
      <c r="C9" s="431" t="s">
        <v>13</v>
      </c>
      <c r="D9" s="432" t="s">
        <v>418</v>
      </c>
    </row>
    <row r="10" spans="1:4" x14ac:dyDescent="0.25">
      <c r="A10" s="929" t="s">
        <v>419</v>
      </c>
      <c r="B10" s="929"/>
      <c r="C10" s="438">
        <f>'3 ECONOMICO'!D25</f>
        <v>0</v>
      </c>
      <c r="D10" s="433" t="s">
        <v>420</v>
      </c>
    </row>
    <row r="11" spans="1:4" x14ac:dyDescent="0.25">
      <c r="A11" s="929" t="s">
        <v>421</v>
      </c>
      <c r="B11" s="929"/>
      <c r="C11" s="438">
        <f>'4.1 Calculos Operacionales'!F31</f>
        <v>42449101.799580306</v>
      </c>
      <c r="D11" s="433" t="s">
        <v>422</v>
      </c>
    </row>
    <row r="12" spans="1:4" x14ac:dyDescent="0.25">
      <c r="A12" s="929" t="s">
        <v>423</v>
      </c>
      <c r="B12" s="929"/>
      <c r="C12" s="438">
        <f>'5 FINANCIEROS'!D25</f>
        <v>525852.14040280483</v>
      </c>
      <c r="D12" s="433" t="s">
        <v>422</v>
      </c>
    </row>
    <row r="13" spans="1:4" x14ac:dyDescent="0.25">
      <c r="A13" s="929" t="s">
        <v>424</v>
      </c>
      <c r="B13" s="929"/>
      <c r="C13" s="438">
        <f>'6 NATURALEZA'!D25</f>
        <v>3226131.7367681027</v>
      </c>
      <c r="D13" s="433" t="s">
        <v>422</v>
      </c>
    </row>
    <row r="14" spans="1:4" x14ac:dyDescent="0.25">
      <c r="A14" s="929" t="s">
        <v>425</v>
      </c>
      <c r="B14" s="929"/>
      <c r="C14" s="438">
        <f>'7 Ambientales'!D25</f>
        <v>0</v>
      </c>
      <c r="D14" s="433" t="s">
        <v>422</v>
      </c>
    </row>
    <row r="15" spans="1:4" x14ac:dyDescent="0.25">
      <c r="A15" s="913" t="s">
        <v>426</v>
      </c>
      <c r="B15" s="913"/>
      <c r="C15" s="439">
        <f>SUM(C10:C14)</f>
        <v>46201085.676751211</v>
      </c>
      <c r="D15" s="434"/>
    </row>
    <row r="16" spans="1:4" x14ac:dyDescent="0.25">
      <c r="A16" s="913" t="s">
        <v>427</v>
      </c>
      <c r="B16" s="913"/>
      <c r="C16" s="440">
        <f>+C10</f>
        <v>0</v>
      </c>
      <c r="D16" s="436"/>
    </row>
    <row r="17" spans="1:4" x14ac:dyDescent="0.25">
      <c r="A17" s="913" t="s">
        <v>428</v>
      </c>
      <c r="B17" s="913"/>
      <c r="C17" s="440">
        <f>C15-C16</f>
        <v>46201085.676751211</v>
      </c>
      <c r="D17" s="436"/>
    </row>
    <row r="18" spans="1:4" x14ac:dyDescent="0.25">
      <c r="A18" s="913" t="s">
        <v>429</v>
      </c>
      <c r="B18" s="913"/>
      <c r="C18" s="435">
        <f>+'ARU DEFINITIVO'!D64</f>
        <v>125816171</v>
      </c>
      <c r="D18" s="436"/>
    </row>
    <row r="19" spans="1:4" ht="42" customHeight="1" x14ac:dyDescent="0.25">
      <c r="A19" s="913" t="s">
        <v>430</v>
      </c>
      <c r="B19" s="913"/>
      <c r="C19" s="686">
        <f>C17/C18</f>
        <v>0.36721102946894807</v>
      </c>
      <c r="D19" s="437"/>
    </row>
    <row r="20" spans="1:4" x14ac:dyDescent="0.25">
      <c r="A20" s="92"/>
      <c r="B20" s="92"/>
      <c r="C20" s="15"/>
      <c r="D20" s="15"/>
    </row>
    <row r="21" spans="1:4" x14ac:dyDescent="0.25">
      <c r="A21" s="15"/>
      <c r="B21" s="15"/>
      <c r="C21" s="15"/>
      <c r="D21" s="15"/>
    </row>
    <row r="22" spans="1:4" x14ac:dyDescent="0.25">
      <c r="A22" s="15"/>
      <c r="B22" s="15"/>
      <c r="C22" s="15"/>
      <c r="D22" s="15"/>
    </row>
  </sheetData>
  <mergeCells count="16">
    <mergeCell ref="A14:B14"/>
    <mergeCell ref="A9:B9"/>
    <mergeCell ref="A10:B10"/>
    <mergeCell ref="A11:B11"/>
    <mergeCell ref="A12:B12"/>
    <mergeCell ref="A13:B13"/>
    <mergeCell ref="A1:D1"/>
    <mergeCell ref="A2:D2"/>
    <mergeCell ref="A3:D3"/>
    <mergeCell ref="B5:D5"/>
    <mergeCell ref="A7:D7"/>
    <mergeCell ref="A16:B16"/>
    <mergeCell ref="A17:B17"/>
    <mergeCell ref="A18:B18"/>
    <mergeCell ref="A19:B19"/>
    <mergeCell ref="A15:B15"/>
  </mergeCells>
  <dataValidations count="1">
    <dataValidation type="list" allowBlank="1" showInputMessage="1" showErrorMessage="1" sqref="D11:D14">
      <formula1>#REF!</formula1>
    </dataValidation>
  </dataValidations>
  <pageMargins left="0.7" right="0.7" top="0.75" bottom="0.75" header="0.3" footer="0.3"/>
  <pageSetup scale="8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view="pageBreakPreview" zoomScaleNormal="100" zoomScaleSheetLayoutView="100" workbookViewId="0">
      <selection activeCell="A3" sqref="A3:I3"/>
    </sheetView>
  </sheetViews>
  <sheetFormatPr baseColWidth="10" defaultColWidth="11.42578125" defaultRowHeight="15" x14ac:dyDescent="0.25"/>
  <cols>
    <col min="1" max="1" width="3.42578125" customWidth="1" collapsed="1"/>
    <col min="2" max="3" width="11.42578125" collapsed="1"/>
    <col min="4" max="4" width="4.5703125" customWidth="1" collapsed="1"/>
    <col min="5" max="6" width="11.42578125" collapsed="1"/>
    <col min="7" max="7" width="44.42578125" customWidth="1" collapsed="1"/>
    <col min="8" max="8" width="15.5703125" customWidth="1" collapsed="1"/>
    <col min="9" max="16384" width="11.42578125" collapsed="1"/>
  </cols>
  <sheetData>
    <row r="1" spans="1:13" ht="18" x14ac:dyDescent="0.25">
      <c r="A1" s="914" t="s">
        <v>6</v>
      </c>
      <c r="B1" s="915"/>
      <c r="C1" s="915"/>
      <c r="D1" s="915"/>
      <c r="E1" s="915"/>
      <c r="F1" s="915"/>
      <c r="G1" s="915"/>
      <c r="H1" s="915"/>
      <c r="I1" s="916"/>
      <c r="J1" s="93"/>
      <c r="K1" s="93"/>
      <c r="L1" s="93"/>
      <c r="M1" s="93"/>
    </row>
    <row r="2" spans="1:13" ht="18" x14ac:dyDescent="0.25">
      <c r="A2" s="917" t="s">
        <v>827</v>
      </c>
      <c r="B2" s="918"/>
      <c r="C2" s="918"/>
      <c r="D2" s="918"/>
      <c r="E2" s="918"/>
      <c r="F2" s="918"/>
      <c r="G2" s="918"/>
      <c r="H2" s="918"/>
      <c r="I2" s="919"/>
      <c r="J2" s="93"/>
      <c r="K2" s="93"/>
      <c r="L2" s="93"/>
      <c r="M2" s="93"/>
    </row>
    <row r="3" spans="1:13" ht="27" customHeight="1" thickBot="1" x14ac:dyDescent="0.3">
      <c r="A3" s="920" t="s">
        <v>415</v>
      </c>
      <c r="B3" s="921"/>
      <c r="C3" s="921"/>
      <c r="D3" s="921"/>
      <c r="E3" s="921"/>
      <c r="F3" s="921"/>
      <c r="G3" s="921"/>
      <c r="H3" s="921"/>
      <c r="I3" s="922"/>
      <c r="J3" s="93"/>
      <c r="K3" s="93"/>
      <c r="L3" s="93"/>
      <c r="M3" s="93"/>
    </row>
    <row r="4" spans="1:13" ht="6" customHeight="1" thickBot="1" x14ac:dyDescent="0.3">
      <c r="A4" s="89"/>
      <c r="B4" s="90"/>
      <c r="C4" s="90"/>
      <c r="D4" s="90"/>
      <c r="E4" s="90"/>
      <c r="F4" s="90"/>
      <c r="G4" s="90"/>
      <c r="H4" s="94"/>
      <c r="I4" s="89"/>
      <c r="J4" s="93"/>
      <c r="K4" s="93"/>
      <c r="L4" s="93"/>
      <c r="M4" s="93"/>
    </row>
    <row r="5" spans="1:13" ht="24.75" customHeight="1" thickBot="1" x14ac:dyDescent="0.3">
      <c r="A5" s="941" t="s">
        <v>357</v>
      </c>
      <c r="B5" s="942"/>
      <c r="C5" s="943"/>
      <c r="D5" s="944" t="str">
        <f>+'1 RIESGOS'!B5</f>
        <v>MANTENIMIENTO PREVENTIVO Y CORRECTIVO DE LOS TANQUES DE AGUA PARA LA INFRAESTRUCTURA INSTITUCIONAL SEGÚN REQUERIMIENTO DEL MUNICIPIO DE ENVIGADO</v>
      </c>
      <c r="E5" s="945"/>
      <c r="F5" s="945"/>
      <c r="G5" s="945"/>
      <c r="H5" s="945"/>
      <c r="I5" s="946"/>
      <c r="J5" s="93"/>
      <c r="K5" s="93"/>
      <c r="L5" s="93"/>
      <c r="M5" s="93"/>
    </row>
    <row r="6" spans="1:13" ht="6" customHeight="1" thickBot="1" x14ac:dyDescent="0.3">
      <c r="A6" s="89"/>
      <c r="B6" s="90"/>
      <c r="C6" s="90"/>
      <c r="D6" s="90"/>
      <c r="E6" s="90"/>
      <c r="F6" s="90"/>
      <c r="G6" s="90"/>
      <c r="H6" s="94"/>
      <c r="I6" s="89"/>
      <c r="J6" s="93"/>
      <c r="K6" s="93"/>
      <c r="L6" s="93"/>
      <c r="M6" s="93"/>
    </row>
    <row r="7" spans="1:13" ht="33" customHeight="1" thickBot="1" x14ac:dyDescent="0.3">
      <c r="A7" s="947" t="s">
        <v>431</v>
      </c>
      <c r="B7" s="948"/>
      <c r="C7" s="948"/>
      <c r="D7" s="948"/>
      <c r="E7" s="948"/>
      <c r="F7" s="948"/>
      <c r="G7" s="948"/>
      <c r="H7" s="948"/>
      <c r="I7" s="949"/>
      <c r="J7" s="93"/>
      <c r="K7" s="93"/>
      <c r="L7" s="93"/>
      <c r="M7" s="89"/>
    </row>
    <row r="8" spans="1:13" ht="6" customHeight="1" x14ac:dyDescent="0.25">
      <c r="A8" s="95"/>
      <c r="B8" s="95"/>
      <c r="C8" s="95"/>
      <c r="D8" s="95"/>
      <c r="E8" s="95"/>
      <c r="F8" s="95"/>
      <c r="G8" s="95"/>
      <c r="H8" s="95"/>
      <c r="I8" s="95"/>
      <c r="J8" s="95"/>
      <c r="K8" s="95"/>
      <c r="L8" s="95"/>
      <c r="M8" s="95"/>
    </row>
    <row r="9" spans="1:13" x14ac:dyDescent="0.25">
      <c r="A9" s="95"/>
      <c r="B9" s="937" t="s">
        <v>432</v>
      </c>
      <c r="C9" s="937"/>
      <c r="D9" s="937"/>
      <c r="E9" s="937"/>
      <c r="F9" s="937"/>
      <c r="G9" s="937"/>
      <c r="H9" s="937"/>
      <c r="I9" s="95"/>
      <c r="J9" s="95"/>
      <c r="K9" s="95"/>
      <c r="L9" s="95"/>
      <c r="M9" s="95"/>
    </row>
    <row r="10" spans="1:13" ht="100.5" customHeight="1" x14ac:dyDescent="0.25">
      <c r="A10" s="95"/>
      <c r="B10" s="950" t="s">
        <v>776</v>
      </c>
      <c r="C10" s="951"/>
      <c r="D10" s="951"/>
      <c r="E10" s="951"/>
      <c r="F10" s="951"/>
      <c r="G10" s="951"/>
      <c r="H10" s="951"/>
      <c r="I10" s="95"/>
      <c r="J10" s="95"/>
      <c r="K10" s="95"/>
      <c r="L10" s="95"/>
      <c r="M10" s="95"/>
    </row>
    <row r="11" spans="1:13" x14ac:dyDescent="0.25">
      <c r="A11" s="95"/>
      <c r="B11" s="939" t="s">
        <v>433</v>
      </c>
      <c r="C11" s="939"/>
      <c r="D11" s="939"/>
      <c r="E11" s="939"/>
      <c r="F11" s="939"/>
      <c r="G11" s="939"/>
      <c r="H11" s="939"/>
      <c r="I11" s="95"/>
      <c r="J11" s="95"/>
      <c r="K11" s="95"/>
      <c r="L11" s="95"/>
      <c r="M11" s="95"/>
    </row>
    <row r="12" spans="1:13" x14ac:dyDescent="0.25">
      <c r="A12" s="95"/>
      <c r="B12" s="940" t="s">
        <v>434</v>
      </c>
      <c r="C12" s="940"/>
      <c r="D12" s="940"/>
      <c r="E12" s="940" t="s">
        <v>64</v>
      </c>
      <c r="F12" s="940"/>
      <c r="G12" s="940"/>
      <c r="H12" s="96" t="s">
        <v>13</v>
      </c>
      <c r="I12" s="95"/>
      <c r="J12" s="95"/>
      <c r="K12" s="95"/>
      <c r="L12" s="95"/>
      <c r="M12" s="95"/>
    </row>
    <row r="13" spans="1:13" ht="57.75" customHeight="1" x14ac:dyDescent="0.25">
      <c r="A13" s="95"/>
      <c r="B13" s="97">
        <v>1</v>
      </c>
      <c r="C13" s="935" t="s">
        <v>435</v>
      </c>
      <c r="D13" s="935"/>
      <c r="E13" s="936" t="s">
        <v>436</v>
      </c>
      <c r="F13" s="936"/>
      <c r="G13" s="936"/>
      <c r="H13" s="98">
        <f>1/10</f>
        <v>0.1</v>
      </c>
      <c r="I13" s="95"/>
      <c r="J13" s="95"/>
      <c r="K13" s="95"/>
      <c r="L13" s="95"/>
      <c r="M13" s="95"/>
    </row>
    <row r="14" spans="1:13" ht="68.25" customHeight="1" x14ac:dyDescent="0.25">
      <c r="A14" s="95"/>
      <c r="B14" s="97">
        <v>2</v>
      </c>
      <c r="C14" s="935" t="s">
        <v>437</v>
      </c>
      <c r="D14" s="935"/>
      <c r="E14" s="936" t="s">
        <v>438</v>
      </c>
      <c r="F14" s="936"/>
      <c r="G14" s="936"/>
      <c r="H14" s="98">
        <f>1/5</f>
        <v>0.2</v>
      </c>
      <c r="I14" s="95"/>
      <c r="J14" s="95"/>
      <c r="K14" s="95"/>
      <c r="L14" s="95"/>
      <c r="M14" s="95"/>
    </row>
    <row r="15" spans="1:13" ht="77.25" customHeight="1" x14ac:dyDescent="0.25">
      <c r="A15" s="95"/>
      <c r="B15" s="97">
        <v>3</v>
      </c>
      <c r="C15" s="935" t="s">
        <v>439</v>
      </c>
      <c r="D15" s="935"/>
      <c r="E15" s="936" t="s">
        <v>440</v>
      </c>
      <c r="F15" s="936"/>
      <c r="G15" s="936"/>
      <c r="H15" s="98">
        <f>1/2</f>
        <v>0.5</v>
      </c>
      <c r="I15" s="95"/>
      <c r="J15" s="95"/>
      <c r="K15" s="95"/>
      <c r="L15" s="95"/>
      <c r="M15" s="95"/>
    </row>
    <row r="16" spans="1:13" ht="55.5" customHeight="1" x14ac:dyDescent="0.25">
      <c r="A16" s="95"/>
      <c r="B16" s="97">
        <v>4</v>
      </c>
      <c r="C16" s="935" t="s">
        <v>441</v>
      </c>
      <c r="D16" s="935"/>
      <c r="E16" s="936" t="s">
        <v>442</v>
      </c>
      <c r="F16" s="936"/>
      <c r="G16" s="936"/>
      <c r="H16" s="98">
        <v>1</v>
      </c>
      <c r="I16" s="95"/>
      <c r="J16" s="95"/>
      <c r="K16" s="95"/>
      <c r="L16" s="95"/>
      <c r="M16" s="95"/>
    </row>
    <row r="17" spans="1:13" x14ac:dyDescent="0.25">
      <c r="A17" s="95"/>
      <c r="B17" s="939" t="s">
        <v>443</v>
      </c>
      <c r="C17" s="939"/>
      <c r="D17" s="939"/>
      <c r="E17" s="939"/>
      <c r="F17" s="939"/>
      <c r="G17" s="939"/>
      <c r="H17" s="939"/>
      <c r="I17" s="95"/>
      <c r="J17" s="95"/>
      <c r="K17" s="95"/>
      <c r="L17" s="95"/>
      <c r="M17" s="95"/>
    </row>
    <row r="18" spans="1:13" x14ac:dyDescent="0.25">
      <c r="A18" s="95"/>
      <c r="B18" s="940" t="s">
        <v>434</v>
      </c>
      <c r="C18" s="940"/>
      <c r="D18" s="940"/>
      <c r="E18" s="940" t="s">
        <v>64</v>
      </c>
      <c r="F18" s="940"/>
      <c r="G18" s="940"/>
      <c r="H18" s="96" t="s">
        <v>13</v>
      </c>
      <c r="I18" s="95"/>
      <c r="J18" s="95"/>
      <c r="K18" s="95"/>
      <c r="L18" s="95"/>
      <c r="M18" s="95"/>
    </row>
    <row r="19" spans="1:13" ht="59.25" customHeight="1" x14ac:dyDescent="0.25">
      <c r="A19" s="99"/>
      <c r="B19" s="97">
        <v>5</v>
      </c>
      <c r="C19" s="935" t="s">
        <v>435</v>
      </c>
      <c r="D19" s="935"/>
      <c r="E19" s="936" t="s">
        <v>444</v>
      </c>
      <c r="F19" s="936"/>
      <c r="G19" s="936"/>
      <c r="H19" s="100" t="s">
        <v>445</v>
      </c>
      <c r="I19" s="95"/>
      <c r="J19" s="95"/>
      <c r="K19" s="95"/>
      <c r="L19" s="95"/>
      <c r="M19" s="95"/>
    </row>
    <row r="20" spans="1:13" ht="59.25" customHeight="1" x14ac:dyDescent="0.25">
      <c r="A20" s="95"/>
      <c r="B20" s="97">
        <v>10</v>
      </c>
      <c r="C20" s="935" t="s">
        <v>437</v>
      </c>
      <c r="D20" s="935"/>
      <c r="E20" s="936" t="s">
        <v>446</v>
      </c>
      <c r="F20" s="936"/>
      <c r="G20" s="936"/>
      <c r="H20" s="100" t="s">
        <v>447</v>
      </c>
      <c r="I20" s="95"/>
      <c r="J20" s="95"/>
      <c r="K20" s="95"/>
      <c r="L20" s="95"/>
      <c r="M20" s="95"/>
    </row>
    <row r="21" spans="1:13" ht="59.25" customHeight="1" x14ac:dyDescent="0.25">
      <c r="A21" s="95"/>
      <c r="B21" s="97">
        <v>20</v>
      </c>
      <c r="C21" s="935" t="s">
        <v>439</v>
      </c>
      <c r="D21" s="935"/>
      <c r="E21" s="936" t="s">
        <v>448</v>
      </c>
      <c r="F21" s="936"/>
      <c r="G21" s="936"/>
      <c r="H21" s="100" t="s">
        <v>449</v>
      </c>
      <c r="I21" s="95"/>
      <c r="J21" s="95"/>
      <c r="K21" s="95"/>
      <c r="L21" s="95"/>
      <c r="M21" s="95"/>
    </row>
    <row r="22" spans="1:13" ht="59.25" customHeight="1" x14ac:dyDescent="0.25">
      <c r="A22" s="95"/>
      <c r="B22" s="97">
        <v>30</v>
      </c>
      <c r="C22" s="935" t="s">
        <v>441</v>
      </c>
      <c r="D22" s="935"/>
      <c r="E22" s="936" t="s">
        <v>450</v>
      </c>
      <c r="F22" s="936"/>
      <c r="G22" s="936"/>
      <c r="H22" s="100" t="s">
        <v>451</v>
      </c>
      <c r="I22" s="95"/>
      <c r="J22" s="95"/>
      <c r="K22" s="95"/>
      <c r="L22" s="95"/>
      <c r="M22" s="95"/>
    </row>
    <row r="23" spans="1:13" x14ac:dyDescent="0.25">
      <c r="A23" s="95"/>
      <c r="B23" s="95"/>
      <c r="C23" s="95"/>
      <c r="D23" s="95"/>
      <c r="E23" s="95"/>
      <c r="F23" s="95"/>
      <c r="G23" s="95"/>
      <c r="H23" s="95"/>
      <c r="I23" s="95"/>
      <c r="J23" s="95"/>
      <c r="K23" s="95"/>
      <c r="L23" s="95"/>
      <c r="M23" s="95"/>
    </row>
    <row r="24" spans="1:13" x14ac:dyDescent="0.25">
      <c r="A24" s="95"/>
      <c r="B24" s="937" t="s">
        <v>452</v>
      </c>
      <c r="C24" s="937"/>
      <c r="D24" s="937"/>
      <c r="E24" s="937"/>
      <c r="F24" s="937"/>
      <c r="G24" s="937"/>
      <c r="H24" s="937"/>
      <c r="I24" s="95"/>
      <c r="J24" s="95"/>
      <c r="K24" s="95"/>
      <c r="L24" s="95"/>
      <c r="M24" s="95"/>
    </row>
    <row r="25" spans="1:13" x14ac:dyDescent="0.25">
      <c r="A25" s="95"/>
      <c r="B25" s="95"/>
      <c r="C25" s="95"/>
      <c r="D25" s="95"/>
      <c r="E25" s="95"/>
      <c r="F25" s="95"/>
      <c r="G25" s="95"/>
      <c r="H25" s="95"/>
      <c r="I25" s="95"/>
      <c r="J25" s="95"/>
      <c r="K25" s="95"/>
      <c r="L25" s="95"/>
      <c r="M25" s="95"/>
    </row>
    <row r="26" spans="1:13" ht="78.75" x14ac:dyDescent="0.25">
      <c r="A26" s="95"/>
      <c r="B26" s="938" t="s">
        <v>443</v>
      </c>
      <c r="C26" s="101" t="s">
        <v>453</v>
      </c>
      <c r="D26" s="102">
        <v>30</v>
      </c>
      <c r="E26" s="103" t="s">
        <v>454</v>
      </c>
      <c r="F26" s="103" t="s">
        <v>455</v>
      </c>
      <c r="G26" s="104" t="s">
        <v>456</v>
      </c>
      <c r="H26" s="104" t="s">
        <v>457</v>
      </c>
      <c r="I26" s="95"/>
      <c r="J26" s="95">
        <f>+D26*$E$30</f>
        <v>30</v>
      </c>
      <c r="K26" s="95">
        <f>+D26*$F$30</f>
        <v>60</v>
      </c>
      <c r="L26" s="95">
        <f>+D26*$G$30</f>
        <v>90</v>
      </c>
      <c r="M26" s="95">
        <f>+D26*$H$30</f>
        <v>120</v>
      </c>
    </row>
    <row r="27" spans="1:13" ht="74.25" x14ac:dyDescent="0.25">
      <c r="A27" s="95"/>
      <c r="B27" s="938"/>
      <c r="C27" s="101" t="s">
        <v>439</v>
      </c>
      <c r="D27" s="102">
        <v>20</v>
      </c>
      <c r="E27" s="105" t="s">
        <v>458</v>
      </c>
      <c r="F27" s="103" t="s">
        <v>459</v>
      </c>
      <c r="G27" s="103" t="s">
        <v>460</v>
      </c>
      <c r="H27" s="104" t="s">
        <v>461</v>
      </c>
      <c r="I27" s="95"/>
      <c r="J27" s="95">
        <f>+D27*$E$30</f>
        <v>20</v>
      </c>
      <c r="K27" s="95">
        <f>+D27*$F$30</f>
        <v>40</v>
      </c>
      <c r="L27" s="95">
        <f>+D27*$G$30</f>
        <v>60</v>
      </c>
      <c r="M27" s="95">
        <f>+D27*$H$30</f>
        <v>80</v>
      </c>
    </row>
    <row r="28" spans="1:13" ht="74.25" x14ac:dyDescent="0.25">
      <c r="A28" s="95"/>
      <c r="B28" s="938"/>
      <c r="C28" s="101" t="s">
        <v>437</v>
      </c>
      <c r="D28" s="102">
        <v>10</v>
      </c>
      <c r="E28" s="106" t="s">
        <v>462</v>
      </c>
      <c r="F28" s="106" t="s">
        <v>463</v>
      </c>
      <c r="G28" s="103" t="s">
        <v>464</v>
      </c>
      <c r="H28" s="103" t="s">
        <v>465</v>
      </c>
      <c r="I28" s="95"/>
      <c r="J28" s="95">
        <f>+D28*$E$30</f>
        <v>10</v>
      </c>
      <c r="K28" s="95">
        <f>+D28*$F$30</f>
        <v>20</v>
      </c>
      <c r="L28" s="95">
        <f>+D28*$G$30</f>
        <v>30</v>
      </c>
      <c r="M28" s="95">
        <f>+D28*$H$30</f>
        <v>40</v>
      </c>
    </row>
    <row r="29" spans="1:13" ht="67.5" x14ac:dyDescent="0.25">
      <c r="A29" s="95"/>
      <c r="B29" s="938"/>
      <c r="C29" s="101" t="s">
        <v>435</v>
      </c>
      <c r="D29" s="102">
        <v>5</v>
      </c>
      <c r="E29" s="106" t="s">
        <v>466</v>
      </c>
      <c r="F29" s="106" t="s">
        <v>467</v>
      </c>
      <c r="G29" s="106" t="s">
        <v>468</v>
      </c>
      <c r="H29" s="107" t="s">
        <v>469</v>
      </c>
      <c r="I29" s="95"/>
      <c r="J29" s="95">
        <f>+D29*$E$30</f>
        <v>5</v>
      </c>
      <c r="K29" s="95">
        <f>+D29*$F$30</f>
        <v>10</v>
      </c>
      <c r="L29" s="95">
        <f>+D29*$G$30</f>
        <v>15</v>
      </c>
      <c r="M29" s="95">
        <f>+D29*$H$30</f>
        <v>20</v>
      </c>
    </row>
    <row r="30" spans="1:13" x14ac:dyDescent="0.25">
      <c r="A30" s="95"/>
      <c r="B30" s="99"/>
      <c r="C30" s="99"/>
      <c r="D30" s="99"/>
      <c r="E30" s="102">
        <v>1</v>
      </c>
      <c r="F30" s="102">
        <v>2</v>
      </c>
      <c r="G30" s="102">
        <v>3</v>
      </c>
      <c r="H30" s="102">
        <v>4</v>
      </c>
      <c r="I30" s="95"/>
      <c r="J30" s="95"/>
      <c r="K30" s="95"/>
      <c r="L30" s="95"/>
      <c r="M30" s="95"/>
    </row>
    <row r="31" spans="1:13" ht="25.5" x14ac:dyDescent="0.25">
      <c r="A31" s="95"/>
      <c r="B31" s="99"/>
      <c r="C31" s="99"/>
      <c r="D31" s="99"/>
      <c r="E31" s="108" t="s">
        <v>435</v>
      </c>
      <c r="F31" s="108" t="s">
        <v>437</v>
      </c>
      <c r="G31" s="108" t="s">
        <v>439</v>
      </c>
      <c r="H31" s="108" t="s">
        <v>453</v>
      </c>
      <c r="I31" s="95"/>
      <c r="J31" s="95"/>
      <c r="K31" s="95"/>
      <c r="L31" s="95"/>
      <c r="M31" s="95"/>
    </row>
    <row r="32" spans="1:13" x14ac:dyDescent="0.25">
      <c r="A32" s="95"/>
      <c r="B32" s="99"/>
      <c r="C32" s="99"/>
      <c r="D32" s="99"/>
      <c r="E32" s="932" t="s">
        <v>433</v>
      </c>
      <c r="F32" s="933"/>
      <c r="G32" s="933"/>
      <c r="H32" s="934"/>
      <c r="I32" s="95"/>
      <c r="J32" s="95"/>
      <c r="K32" s="95"/>
      <c r="L32" s="95"/>
      <c r="M32" s="95"/>
    </row>
    <row r="33" spans="1:13" x14ac:dyDescent="0.25">
      <c r="A33" s="95"/>
      <c r="B33" s="95"/>
      <c r="C33" s="95"/>
      <c r="D33" s="95"/>
      <c r="E33" s="95"/>
      <c r="F33" s="95"/>
      <c r="G33" s="95"/>
      <c r="H33" s="95"/>
      <c r="I33" s="95"/>
      <c r="J33" s="95"/>
      <c r="K33" s="95"/>
      <c r="L33" s="95"/>
      <c r="M33" s="95"/>
    </row>
    <row r="34" spans="1:13" x14ac:dyDescent="0.25">
      <c r="A34" s="87"/>
      <c r="B34" s="114"/>
      <c r="C34" s="95"/>
      <c r="D34" s="95"/>
      <c r="E34" s="95"/>
      <c r="F34" s="95"/>
      <c r="G34" s="88" t="s">
        <v>396</v>
      </c>
      <c r="H34" s="17"/>
      <c r="I34" s="95"/>
      <c r="J34" s="95"/>
      <c r="K34" s="95"/>
      <c r="L34" s="95"/>
      <c r="M34" s="95"/>
    </row>
    <row r="35" spans="1:13" x14ac:dyDescent="0.25">
      <c r="A35" s="227"/>
      <c r="B35" s="111"/>
      <c r="C35" s="95"/>
      <c r="D35" s="95"/>
      <c r="E35" s="95"/>
      <c r="F35" s="95"/>
      <c r="G35" s="109"/>
      <c r="H35" s="110"/>
      <c r="I35" s="95"/>
      <c r="J35" s="95"/>
      <c r="K35" s="95"/>
      <c r="L35" s="95"/>
      <c r="M35" s="95"/>
    </row>
    <row r="36" spans="1:13" x14ac:dyDescent="0.25">
      <c r="A36" s="227"/>
      <c r="B36" s="111"/>
      <c r="C36" s="95"/>
      <c r="D36" s="95"/>
      <c r="E36" s="95"/>
      <c r="F36" s="95"/>
      <c r="G36" s="109"/>
      <c r="H36" s="110"/>
      <c r="I36" s="95"/>
      <c r="J36" s="95"/>
      <c r="K36" s="95"/>
      <c r="L36" s="95"/>
      <c r="M36" s="95"/>
    </row>
    <row r="37" spans="1:13" x14ac:dyDescent="0.25">
      <c r="A37" s="87"/>
      <c r="B37" s="19"/>
      <c r="C37" s="95"/>
      <c r="D37" s="95"/>
      <c r="E37" s="95"/>
      <c r="F37" s="95"/>
      <c r="G37" s="18"/>
      <c r="H37" s="110"/>
      <c r="I37" s="95"/>
      <c r="J37" s="95"/>
      <c r="K37" s="95"/>
      <c r="L37" s="95"/>
      <c r="M37" s="95"/>
    </row>
    <row r="38" spans="1:13" x14ac:dyDescent="0.25">
      <c r="A38" s="87"/>
      <c r="B38" s="95"/>
      <c r="C38" s="95"/>
      <c r="D38" s="95"/>
      <c r="E38" s="228"/>
      <c r="F38" s="95"/>
      <c r="G38" s="112"/>
      <c r="H38" s="110"/>
      <c r="I38" s="95"/>
      <c r="J38" s="95"/>
      <c r="K38" s="95"/>
      <c r="L38" s="95"/>
      <c r="M38" s="95"/>
    </row>
    <row r="39" spans="1:13" x14ac:dyDescent="0.25">
      <c r="B39" s="19"/>
      <c r="C39" s="95"/>
      <c r="D39" s="95"/>
      <c r="E39" s="95"/>
      <c r="F39" s="95"/>
      <c r="G39" s="18"/>
      <c r="H39" s="110"/>
      <c r="I39" s="95"/>
      <c r="J39" s="95"/>
      <c r="K39" s="95"/>
      <c r="L39" s="95"/>
      <c r="M39" s="95"/>
    </row>
    <row r="40" spans="1:13" x14ac:dyDescent="0.25">
      <c r="A40" s="19"/>
      <c r="B40" s="114"/>
      <c r="C40" s="95"/>
      <c r="D40" s="95"/>
      <c r="E40" s="95"/>
      <c r="F40" s="95"/>
      <c r="G40" s="268"/>
      <c r="H40" s="113"/>
      <c r="I40" s="95"/>
      <c r="J40" s="95"/>
      <c r="K40" s="95"/>
      <c r="L40" s="95"/>
      <c r="M40" s="95"/>
    </row>
    <row r="41" spans="1:13" x14ac:dyDescent="0.25">
      <c r="A41" s="142"/>
      <c r="B41" s="111"/>
      <c r="C41" s="95"/>
      <c r="D41" s="95"/>
      <c r="E41" s="95"/>
      <c r="F41" s="95"/>
      <c r="G41" s="111"/>
      <c r="H41" s="114"/>
      <c r="I41" s="95"/>
      <c r="J41" s="95"/>
      <c r="K41" s="95"/>
      <c r="L41" s="95"/>
      <c r="M41" s="95"/>
    </row>
    <row r="42" spans="1:13" x14ac:dyDescent="0.25">
      <c r="A42" s="19"/>
      <c r="B42" s="111"/>
      <c r="C42" s="95"/>
      <c r="D42" s="95"/>
      <c r="E42" s="95"/>
      <c r="F42" s="95"/>
      <c r="G42" s="111"/>
      <c r="H42" s="114"/>
      <c r="I42" s="95"/>
      <c r="J42" s="95"/>
      <c r="K42" s="95"/>
      <c r="L42" s="95"/>
      <c r="M42" s="95"/>
    </row>
    <row r="43" spans="1:13" x14ac:dyDescent="0.25">
      <c r="A43" s="19"/>
      <c r="B43" s="19"/>
      <c r="C43" s="95"/>
      <c r="D43" s="95"/>
      <c r="E43" s="95"/>
      <c r="F43" s="95"/>
      <c r="G43" s="19"/>
      <c r="H43" s="114"/>
      <c r="I43" s="95"/>
      <c r="J43" s="95"/>
      <c r="K43" s="95"/>
      <c r="L43" s="95"/>
      <c r="M43" s="95"/>
    </row>
    <row r="44" spans="1:13" x14ac:dyDescent="0.25">
      <c r="A44" s="19"/>
      <c r="B44" s="95"/>
      <c r="C44" s="95"/>
      <c r="D44" s="95"/>
      <c r="E44" s="228"/>
      <c r="F44" s="95"/>
      <c r="G44" s="228"/>
      <c r="H44" s="114"/>
      <c r="I44" s="95"/>
      <c r="J44" s="95"/>
      <c r="K44" s="95"/>
      <c r="L44" s="95"/>
      <c r="M44" s="95"/>
    </row>
    <row r="45" spans="1:13" x14ac:dyDescent="0.25">
      <c r="A45" s="19"/>
      <c r="B45" s="19"/>
      <c r="C45" s="95"/>
      <c r="D45" s="95"/>
      <c r="E45" s="95"/>
      <c r="F45" s="95"/>
      <c r="G45" s="19"/>
      <c r="H45" s="114"/>
      <c r="I45" s="95"/>
      <c r="J45" s="95"/>
      <c r="K45" s="95"/>
      <c r="L45" s="95"/>
      <c r="M45" s="95"/>
    </row>
    <row r="46" spans="1:13" x14ac:dyDescent="0.25">
      <c r="A46" s="19"/>
      <c r="B46" s="114"/>
      <c r="C46" s="95"/>
      <c r="D46" s="95"/>
      <c r="E46" s="95"/>
      <c r="F46" s="95"/>
      <c r="G46" s="114"/>
      <c r="H46" s="114"/>
      <c r="I46" s="95"/>
      <c r="J46" s="95"/>
      <c r="K46" s="95"/>
      <c r="L46" s="95"/>
      <c r="M46" s="95"/>
    </row>
    <row r="47" spans="1:13" x14ac:dyDescent="0.25">
      <c r="A47" s="111"/>
      <c r="B47" s="111"/>
      <c r="C47" s="95"/>
      <c r="D47" s="95"/>
      <c r="E47" s="95"/>
      <c r="F47" s="95"/>
      <c r="G47" s="111"/>
      <c r="H47" s="114"/>
      <c r="I47" s="95"/>
      <c r="J47" s="95"/>
      <c r="K47" s="95"/>
      <c r="L47" s="95"/>
      <c r="M47" s="95"/>
    </row>
    <row r="48" spans="1:13" x14ac:dyDescent="0.25">
      <c r="A48" s="111"/>
      <c r="B48" s="111"/>
      <c r="C48" s="95"/>
      <c r="D48" s="95"/>
      <c r="E48" s="95"/>
      <c r="F48" s="95"/>
      <c r="G48" s="111"/>
      <c r="H48" s="114"/>
      <c r="I48" s="95"/>
      <c r="J48" s="95"/>
      <c r="K48" s="95"/>
      <c r="L48" s="95"/>
      <c r="M48" s="95"/>
    </row>
    <row r="49" spans="1:13" x14ac:dyDescent="0.25">
      <c r="A49" s="19"/>
      <c r="B49" s="19"/>
      <c r="C49" s="95"/>
      <c r="D49" s="95"/>
      <c r="E49" s="95"/>
      <c r="F49" s="95"/>
      <c r="G49" s="19"/>
      <c r="H49" s="114"/>
      <c r="I49" s="95"/>
      <c r="J49" s="95"/>
      <c r="K49" s="95"/>
      <c r="L49" s="95"/>
      <c r="M49" s="95"/>
    </row>
    <row r="50" spans="1:13" x14ac:dyDescent="0.25">
      <c r="A50" s="19"/>
      <c r="B50" s="95"/>
      <c r="C50" s="95"/>
      <c r="D50" s="95"/>
      <c r="E50" s="228"/>
      <c r="F50" s="95"/>
      <c r="G50" s="228"/>
      <c r="I50" s="95"/>
      <c r="J50" s="95"/>
      <c r="K50" s="95"/>
      <c r="L50" s="95"/>
      <c r="M50" s="95"/>
    </row>
  </sheetData>
  <mergeCells count="33">
    <mergeCell ref="C13:D13"/>
    <mergeCell ref="E13:G13"/>
    <mergeCell ref="A1:I1"/>
    <mergeCell ref="A2:I2"/>
    <mergeCell ref="A3:I3"/>
    <mergeCell ref="A5:C5"/>
    <mergeCell ref="D5:I5"/>
    <mergeCell ref="A7:I7"/>
    <mergeCell ref="B9:H9"/>
    <mergeCell ref="B10:H10"/>
    <mergeCell ref="B11:H11"/>
    <mergeCell ref="B12:D12"/>
    <mergeCell ref="E12:G12"/>
    <mergeCell ref="C20:D20"/>
    <mergeCell ref="E20:G20"/>
    <mergeCell ref="C14:D14"/>
    <mergeCell ref="E14:G14"/>
    <mergeCell ref="C15:D15"/>
    <mergeCell ref="E15:G15"/>
    <mergeCell ref="C16:D16"/>
    <mergeCell ref="E16:G16"/>
    <mergeCell ref="B17:H17"/>
    <mergeCell ref="B18:D18"/>
    <mergeCell ref="E18:G18"/>
    <mergeCell ref="C19:D19"/>
    <mergeCell ref="E19:G19"/>
    <mergeCell ref="E32:H32"/>
    <mergeCell ref="C21:D21"/>
    <mergeCell ref="E21:G21"/>
    <mergeCell ref="C22:D22"/>
    <mergeCell ref="E22:G22"/>
    <mergeCell ref="B24:H24"/>
    <mergeCell ref="B26:B29"/>
  </mergeCells>
  <pageMargins left="0.7" right="0.7" top="0.75" bottom="0.75" header="0.3" footer="0.3"/>
  <pageSetup scale="4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view="pageBreakPreview" topLeftCell="A14" zoomScaleNormal="100" zoomScaleSheetLayoutView="100" workbookViewId="0">
      <selection activeCell="A16" sqref="A16:H16"/>
    </sheetView>
  </sheetViews>
  <sheetFormatPr baseColWidth="10" defaultColWidth="11.42578125" defaultRowHeight="15" x14ac:dyDescent="0.25"/>
  <cols>
    <col min="1" max="1" width="2.85546875" customWidth="1" collapsed="1"/>
    <col min="2" max="2" width="15.5703125" customWidth="1" collapsed="1"/>
    <col min="3" max="3" width="16.28515625" customWidth="1" collapsed="1"/>
    <col min="4" max="4" width="17.7109375" customWidth="1" collapsed="1"/>
    <col min="5" max="5" width="18.7109375" customWidth="1" collapsed="1"/>
    <col min="6" max="6" width="15" customWidth="1" collapsed="1"/>
    <col min="7" max="8" width="11.42578125" collapsed="1"/>
    <col min="9" max="9" width="1.140625" customWidth="1" collapsed="1"/>
    <col min="10" max="16384" width="11.42578125" collapsed="1"/>
  </cols>
  <sheetData>
    <row r="1" spans="1:9" ht="15.75" hidden="1" thickBot="1" x14ac:dyDescent="0.3">
      <c r="A1" s="15"/>
      <c r="B1" s="1008" t="s">
        <v>470</v>
      </c>
      <c r="C1" s="114"/>
      <c r="D1" s="114"/>
      <c r="E1" s="115" t="s">
        <v>433</v>
      </c>
      <c r="F1" s="116" t="s">
        <v>443</v>
      </c>
      <c r="G1" s="116"/>
      <c r="H1" s="116"/>
      <c r="I1" s="117"/>
    </row>
    <row r="2" spans="1:9" ht="15.75" hidden="1" thickBot="1" x14ac:dyDescent="0.3">
      <c r="A2" s="15"/>
      <c r="B2" s="1009"/>
      <c r="C2" s="118" t="s">
        <v>441</v>
      </c>
      <c r="D2" s="119">
        <v>1</v>
      </c>
      <c r="E2" s="120">
        <v>4</v>
      </c>
      <c r="F2" s="120">
        <v>30</v>
      </c>
      <c r="G2" s="120">
        <f>+VLOOKUP(E24,$C$2:$F$5,3,FALSE)</f>
        <v>1</v>
      </c>
      <c r="H2" s="120"/>
      <c r="I2" s="121">
        <v>20</v>
      </c>
    </row>
    <row r="3" spans="1:9" ht="15.75" hidden="1" thickBot="1" x14ac:dyDescent="0.3">
      <c r="A3" s="15" t="s">
        <v>415</v>
      </c>
      <c r="B3" s="1009"/>
      <c r="C3" s="118" t="s">
        <v>439</v>
      </c>
      <c r="D3" s="119">
        <v>0.5</v>
      </c>
      <c r="E3" s="120">
        <v>3</v>
      </c>
      <c r="F3" s="120">
        <v>20</v>
      </c>
      <c r="G3" s="120">
        <f>+VLOOKUP(F24,$C$2:$F$5,4,FALSE)</f>
        <v>5</v>
      </c>
      <c r="H3" s="120"/>
      <c r="I3" s="121">
        <v>10</v>
      </c>
    </row>
    <row r="4" spans="1:9" ht="15.75" hidden="1" thickBot="1" x14ac:dyDescent="0.3">
      <c r="A4" s="15"/>
      <c r="B4" s="1009"/>
      <c r="C4" s="118" t="s">
        <v>437</v>
      </c>
      <c r="D4" s="119">
        <v>0.2</v>
      </c>
      <c r="E4" s="120">
        <v>2</v>
      </c>
      <c r="F4" s="120">
        <v>10</v>
      </c>
      <c r="G4" s="120">
        <f>+G2*G3</f>
        <v>5</v>
      </c>
      <c r="H4" s="120"/>
      <c r="I4" s="121">
        <v>10</v>
      </c>
    </row>
    <row r="5" spans="1:9" ht="15.75" hidden="1" thickBot="1" x14ac:dyDescent="0.3">
      <c r="A5" s="15"/>
      <c r="B5" s="1009"/>
      <c r="C5" s="118" t="s">
        <v>435</v>
      </c>
      <c r="D5" s="119">
        <v>0.1</v>
      </c>
      <c r="E5" s="120">
        <v>1</v>
      </c>
      <c r="F5" s="120">
        <v>5</v>
      </c>
      <c r="G5" s="120"/>
      <c r="H5" s="120"/>
      <c r="I5" s="121">
        <v>5</v>
      </c>
    </row>
    <row r="6" spans="1:9" ht="23.25" hidden="1" thickBot="1" x14ac:dyDescent="0.3">
      <c r="A6" s="15"/>
      <c r="B6" s="1009"/>
      <c r="C6" s="15"/>
      <c r="D6" s="15"/>
      <c r="E6" s="118" t="s">
        <v>435</v>
      </c>
      <c r="F6" s="118" t="s">
        <v>437</v>
      </c>
      <c r="G6" s="118" t="s">
        <v>439</v>
      </c>
      <c r="H6" s="118" t="s">
        <v>453</v>
      </c>
      <c r="I6" s="122"/>
    </row>
    <row r="7" spans="1:9" ht="15.75" hidden="1" thickBot="1" x14ac:dyDescent="0.3">
      <c r="A7" s="15"/>
      <c r="B7" s="1009"/>
      <c r="C7" s="15"/>
      <c r="D7" s="15"/>
      <c r="E7" s="114"/>
      <c r="F7" s="15"/>
      <c r="G7" s="15"/>
      <c r="H7" s="15"/>
      <c r="I7" s="122"/>
    </row>
    <row r="8" spans="1:9" ht="15.75" hidden="1" thickBot="1" x14ac:dyDescent="0.3">
      <c r="A8" s="15"/>
      <c r="B8" s="1009"/>
      <c r="C8" s="118" t="s">
        <v>441</v>
      </c>
      <c r="D8" s="118"/>
      <c r="E8" s="123" t="s">
        <v>471</v>
      </c>
      <c r="F8" s="123" t="s">
        <v>472</v>
      </c>
      <c r="G8" s="124" t="s">
        <v>473</v>
      </c>
      <c r="H8" s="124" t="s">
        <v>473</v>
      </c>
      <c r="I8" s="121">
        <v>20</v>
      </c>
    </row>
    <row r="9" spans="1:9" ht="15.75" hidden="1" thickBot="1" x14ac:dyDescent="0.3">
      <c r="A9" s="15"/>
      <c r="B9" s="1009"/>
      <c r="C9" s="118" t="s">
        <v>439</v>
      </c>
      <c r="D9" s="118"/>
      <c r="E9" s="125" t="s">
        <v>474</v>
      </c>
      <c r="F9" s="123" t="s">
        <v>471</v>
      </c>
      <c r="G9" s="123" t="s">
        <v>472</v>
      </c>
      <c r="H9" s="124" t="s">
        <v>473</v>
      </c>
      <c r="I9" s="121">
        <v>10</v>
      </c>
    </row>
    <row r="10" spans="1:9" ht="15.75" hidden="1" thickBot="1" x14ac:dyDescent="0.3">
      <c r="A10" s="15"/>
      <c r="B10" s="1009"/>
      <c r="C10" s="118" t="s">
        <v>437</v>
      </c>
      <c r="D10" s="118"/>
      <c r="E10" s="125" t="s">
        <v>475</v>
      </c>
      <c r="F10" s="125" t="s">
        <v>474</v>
      </c>
      <c r="G10" s="123" t="s">
        <v>471</v>
      </c>
      <c r="H10" s="123" t="s">
        <v>471</v>
      </c>
      <c r="I10" s="121">
        <v>10</v>
      </c>
    </row>
    <row r="11" spans="1:9" ht="15.75" hidden="1" thickBot="1" x14ac:dyDescent="0.3">
      <c r="A11" s="15"/>
      <c r="B11" s="1009"/>
      <c r="C11" s="118" t="s">
        <v>435</v>
      </c>
      <c r="D11" s="118"/>
      <c r="E11" s="125" t="s">
        <v>475</v>
      </c>
      <c r="F11" s="125" t="s">
        <v>475</v>
      </c>
      <c r="G11" s="125" t="s">
        <v>474</v>
      </c>
      <c r="H11" s="125" t="s">
        <v>474</v>
      </c>
      <c r="I11" s="121">
        <v>5</v>
      </c>
    </row>
    <row r="12" spans="1:9" ht="23.25" hidden="1" thickBot="1" x14ac:dyDescent="0.3">
      <c r="A12" s="15"/>
      <c r="B12" s="15"/>
      <c r="C12" s="126"/>
      <c r="D12" s="126"/>
      <c r="E12" s="118" t="s">
        <v>435</v>
      </c>
      <c r="F12" s="118" t="s">
        <v>437</v>
      </c>
      <c r="G12" s="118" t="s">
        <v>439</v>
      </c>
      <c r="H12" s="118" t="s">
        <v>453</v>
      </c>
      <c r="I12" s="127"/>
    </row>
    <row r="13" spans="1:9" ht="15.75" hidden="1" thickBot="1" x14ac:dyDescent="0.3">
      <c r="A13" s="15"/>
      <c r="B13" s="15"/>
      <c r="C13" s="15"/>
      <c r="D13" s="15"/>
      <c r="E13" s="128"/>
      <c r="F13" s="128"/>
      <c r="G13" s="128"/>
      <c r="H13" s="128"/>
      <c r="I13" s="92"/>
    </row>
    <row r="14" spans="1:9" ht="18" x14ac:dyDescent="0.25">
      <c r="A14" s="914" t="s">
        <v>6</v>
      </c>
      <c r="B14" s="915"/>
      <c r="C14" s="915"/>
      <c r="D14" s="915"/>
      <c r="E14" s="915"/>
      <c r="F14" s="915"/>
      <c r="G14" s="915"/>
      <c r="H14" s="916"/>
      <c r="I14" s="89"/>
    </row>
    <row r="15" spans="1:9" ht="18" x14ac:dyDescent="0.25">
      <c r="A15" s="917" t="s">
        <v>827</v>
      </c>
      <c r="B15" s="918"/>
      <c r="C15" s="918"/>
      <c r="D15" s="918"/>
      <c r="E15" s="918"/>
      <c r="F15" s="918"/>
      <c r="G15" s="918"/>
      <c r="H15" s="919"/>
      <c r="I15" s="89"/>
    </row>
    <row r="16" spans="1:9" ht="18.75" thickBot="1" x14ac:dyDescent="0.3">
      <c r="A16" s="920" t="s">
        <v>415</v>
      </c>
      <c r="B16" s="921"/>
      <c r="C16" s="921"/>
      <c r="D16" s="921"/>
      <c r="E16" s="921"/>
      <c r="F16" s="921"/>
      <c r="G16" s="921"/>
      <c r="H16" s="922"/>
      <c r="I16" s="89"/>
    </row>
    <row r="17" spans="1:9" ht="6" customHeight="1" thickBot="1" x14ac:dyDescent="0.3">
      <c r="A17" s="89"/>
      <c r="B17" s="90"/>
      <c r="C17" s="90"/>
      <c r="D17" s="90"/>
      <c r="E17" s="90"/>
      <c r="F17" s="90"/>
      <c r="G17" s="90"/>
      <c r="H17" s="94"/>
      <c r="I17" s="89"/>
    </row>
    <row r="18" spans="1:9" ht="41.25" customHeight="1" thickBot="1" x14ac:dyDescent="0.3">
      <c r="A18" s="941" t="s">
        <v>357</v>
      </c>
      <c r="B18" s="943"/>
      <c r="C18" s="944" t="str">
        <f>PRESUPUESTO!B5</f>
        <v>MANTENIMIENTO PREVENTIVO Y CORRECTIVO DE LOS TANQUES DE AGUA PARA LA INFRAESTRUCTURA INSTITUCIONAL SEGÚN REQUERIMIENTO DEL MUNICIPIO DE ENVIGADO</v>
      </c>
      <c r="D18" s="1010"/>
      <c r="E18" s="1010"/>
      <c r="F18" s="1010"/>
      <c r="G18" s="1010"/>
      <c r="H18" s="1011"/>
      <c r="I18" s="89"/>
    </row>
    <row r="19" spans="1:9" ht="6" customHeight="1" thickBot="1" x14ac:dyDescent="0.3">
      <c r="A19" s="89"/>
      <c r="B19" s="90"/>
      <c r="C19" s="90"/>
      <c r="D19" s="90"/>
      <c r="E19" s="90"/>
      <c r="F19" s="90"/>
      <c r="G19" s="90"/>
      <c r="H19" s="94"/>
      <c r="I19" s="89"/>
    </row>
    <row r="20" spans="1:9" ht="35.25" customHeight="1" thickBot="1" x14ac:dyDescent="0.3">
      <c r="A20" s="926" t="s">
        <v>476</v>
      </c>
      <c r="B20" s="927"/>
      <c r="C20" s="927"/>
      <c r="D20" s="927"/>
      <c r="E20" s="927"/>
      <c r="F20" s="927"/>
      <c r="G20" s="927"/>
      <c r="H20" s="928"/>
      <c r="I20" s="93"/>
    </row>
    <row r="21" spans="1:9" ht="22.5" x14ac:dyDescent="0.25">
      <c r="A21" s="971" t="s">
        <v>417</v>
      </c>
      <c r="B21" s="129" t="s">
        <v>477</v>
      </c>
      <c r="C21" s="130" t="s">
        <v>478</v>
      </c>
      <c r="D21" s="441">
        <f>+'ARU DEFINITIVO'!D9</f>
        <v>125816171</v>
      </c>
      <c r="E21" s="131" t="s">
        <v>479</v>
      </c>
      <c r="F21" s="996" t="s">
        <v>480</v>
      </c>
      <c r="G21" s="996"/>
      <c r="H21" s="997"/>
      <c r="I21" s="114"/>
    </row>
    <row r="22" spans="1:9" ht="22.5" x14ac:dyDescent="0.25">
      <c r="A22" s="985"/>
      <c r="B22" s="132" t="s">
        <v>481</v>
      </c>
      <c r="C22" s="133" t="s">
        <v>482</v>
      </c>
      <c r="D22" s="442">
        <v>0</v>
      </c>
      <c r="E22" s="134" t="s">
        <v>483</v>
      </c>
      <c r="F22" s="998" t="s">
        <v>419</v>
      </c>
      <c r="G22" s="998"/>
      <c r="H22" s="999"/>
      <c r="I22" s="114"/>
    </row>
    <row r="23" spans="1:9" ht="22.5" x14ac:dyDescent="0.25">
      <c r="A23" s="985"/>
      <c r="B23" s="132" t="s">
        <v>484</v>
      </c>
      <c r="C23" s="133" t="s">
        <v>485</v>
      </c>
      <c r="D23" s="443">
        <f>D22/D21</f>
        <v>0</v>
      </c>
      <c r="E23" s="136" t="s">
        <v>433</v>
      </c>
      <c r="F23" s="136" t="s">
        <v>443</v>
      </c>
      <c r="G23" s="1000" t="s">
        <v>417</v>
      </c>
      <c r="H23" s="1001"/>
      <c r="I23" s="114"/>
    </row>
    <row r="24" spans="1:9" ht="22.5" x14ac:dyDescent="0.25">
      <c r="A24" s="985"/>
      <c r="B24" s="132" t="s">
        <v>486</v>
      </c>
      <c r="C24" s="133" t="s">
        <v>487</v>
      </c>
      <c r="D24" s="444">
        <f>+VLOOKUP(E24,C2:D5,2,FALSE)</f>
        <v>0.1</v>
      </c>
      <c r="E24" s="1002" t="s">
        <v>435</v>
      </c>
      <c r="F24" s="1002" t="str">
        <f>+IF(D23&lt;=0.05,"BAJO",IF(AND(D23&gt;0.05,D23&lt;=0.15),"MEDIO - BAJO",IF(AND(D23&gt;0.15,D23&lt;=0.3),"MEDIO - ALTO","ALTO")))</f>
        <v>BAJO</v>
      </c>
      <c r="G24" s="1003" t="str">
        <f>+IF(G4&lt;=10,"ACEPTABLE",IF(OR(G4=15,G4=20),"TOLERABLE",IF(OR(G4=30,G4=40),"MODERADO",IF(G4=60,"IMPORTANTE",IF(G4&gt;=80,"INACEPTABLE","NO EXISTE")))))</f>
        <v>ACEPTABLE</v>
      </c>
      <c r="H24" s="1004"/>
      <c r="I24" s="114"/>
    </row>
    <row r="25" spans="1:9" x14ac:dyDescent="0.25">
      <c r="A25" s="985"/>
      <c r="B25" s="132" t="s">
        <v>488</v>
      </c>
      <c r="C25" s="133" t="s">
        <v>489</v>
      </c>
      <c r="D25" s="445">
        <f>+D22*D24</f>
        <v>0</v>
      </c>
      <c r="E25" s="1002"/>
      <c r="F25" s="1002"/>
      <c r="G25" s="1003"/>
      <c r="H25" s="1004"/>
      <c r="I25" s="114"/>
    </row>
    <row r="26" spans="1:9" ht="6" customHeight="1" x14ac:dyDescent="0.25">
      <c r="A26" s="985"/>
      <c r="B26" s="137"/>
      <c r="C26" s="138"/>
      <c r="D26" s="138"/>
      <c r="E26" s="139"/>
      <c r="F26" s="139"/>
      <c r="G26" s="140"/>
      <c r="H26" s="141"/>
      <c r="I26" s="114"/>
    </row>
    <row r="27" spans="1:9" x14ac:dyDescent="0.25">
      <c r="A27" s="985"/>
      <c r="B27" s="1005" t="s">
        <v>490</v>
      </c>
      <c r="C27" s="1006"/>
      <c r="D27" s="1006"/>
      <c r="E27" s="1006"/>
      <c r="F27" s="1006"/>
      <c r="G27" s="1006"/>
      <c r="H27" s="1007"/>
      <c r="I27" s="114"/>
    </row>
    <row r="28" spans="1:9" ht="57.75" customHeight="1" thickBot="1" x14ac:dyDescent="0.3">
      <c r="A28" s="986"/>
      <c r="B28" s="993" t="s">
        <v>491</v>
      </c>
      <c r="C28" s="994"/>
      <c r="D28" s="994"/>
      <c r="E28" s="994"/>
      <c r="F28" s="994"/>
      <c r="G28" s="994"/>
      <c r="H28" s="995"/>
      <c r="I28" s="114"/>
    </row>
    <row r="29" spans="1:9" x14ac:dyDescent="0.25">
      <c r="A29" s="971" t="s">
        <v>492</v>
      </c>
      <c r="B29" s="987" t="s">
        <v>493</v>
      </c>
      <c r="C29" s="988"/>
      <c r="D29" s="988"/>
      <c r="E29" s="988"/>
      <c r="F29" s="988"/>
      <c r="G29" s="988"/>
      <c r="H29" s="989"/>
      <c r="I29" s="114"/>
    </row>
    <row r="30" spans="1:9" x14ac:dyDescent="0.25">
      <c r="A30" s="985"/>
      <c r="B30" s="990" t="s">
        <v>494</v>
      </c>
      <c r="C30" s="991"/>
      <c r="D30" s="991"/>
      <c r="E30" s="991"/>
      <c r="F30" s="991"/>
      <c r="G30" s="991"/>
      <c r="H30" s="992"/>
      <c r="I30" s="114"/>
    </row>
    <row r="31" spans="1:9" x14ac:dyDescent="0.25">
      <c r="A31" s="985"/>
      <c r="B31" s="990" t="s">
        <v>495</v>
      </c>
      <c r="C31" s="991"/>
      <c r="D31" s="991"/>
      <c r="E31" s="991"/>
      <c r="F31" s="991"/>
      <c r="G31" s="991"/>
      <c r="H31" s="992"/>
      <c r="I31" s="114"/>
    </row>
    <row r="32" spans="1:9" x14ac:dyDescent="0.25">
      <c r="A32" s="985"/>
      <c r="B32" s="962" t="s">
        <v>496</v>
      </c>
      <c r="C32" s="963"/>
      <c r="D32" s="963"/>
      <c r="E32" s="963"/>
      <c r="F32" s="963"/>
      <c r="G32" s="963"/>
      <c r="H32" s="984"/>
      <c r="I32" s="114"/>
    </row>
    <row r="33" spans="1:9" ht="15.75" thickBot="1" x14ac:dyDescent="0.3">
      <c r="A33" s="986"/>
      <c r="B33" s="993"/>
      <c r="C33" s="994"/>
      <c r="D33" s="994"/>
      <c r="E33" s="994"/>
      <c r="F33" s="994"/>
      <c r="G33" s="994"/>
      <c r="H33" s="995"/>
      <c r="I33" s="114"/>
    </row>
    <row r="34" spans="1:9" ht="25.5" customHeight="1" x14ac:dyDescent="0.25">
      <c r="A34" s="971" t="s">
        <v>497</v>
      </c>
      <c r="B34" s="974" t="s">
        <v>498</v>
      </c>
      <c r="C34" s="975"/>
      <c r="D34" s="975"/>
      <c r="E34" s="975"/>
      <c r="F34" s="975"/>
      <c r="G34" s="975"/>
      <c r="H34" s="976"/>
      <c r="I34" s="114"/>
    </row>
    <row r="35" spans="1:9" ht="18" x14ac:dyDescent="0.25">
      <c r="A35" s="972"/>
      <c r="B35" s="977" t="s">
        <v>499</v>
      </c>
      <c r="C35" s="978"/>
      <c r="D35" s="979"/>
      <c r="E35" s="980" t="s">
        <v>500</v>
      </c>
      <c r="F35" s="980"/>
      <c r="G35" s="980"/>
      <c r="H35" s="981"/>
      <c r="I35" s="114"/>
    </row>
    <row r="36" spans="1:9" ht="43.5" customHeight="1" x14ac:dyDescent="0.25">
      <c r="A36" s="972"/>
      <c r="B36" s="962" t="s">
        <v>501</v>
      </c>
      <c r="C36" s="963"/>
      <c r="D36" s="964"/>
      <c r="E36" s="982" t="s">
        <v>502</v>
      </c>
      <c r="F36" s="982"/>
      <c r="G36" s="982"/>
      <c r="H36" s="983"/>
      <c r="I36" s="114"/>
    </row>
    <row r="37" spans="1:9" ht="45.75" customHeight="1" x14ac:dyDescent="0.25">
      <c r="A37" s="972"/>
      <c r="B37" s="962" t="s">
        <v>503</v>
      </c>
      <c r="C37" s="963"/>
      <c r="D37" s="964"/>
      <c r="E37" s="962"/>
      <c r="F37" s="963"/>
      <c r="G37" s="963"/>
      <c r="H37" s="984"/>
      <c r="I37" s="114"/>
    </row>
    <row r="38" spans="1:9" x14ac:dyDescent="0.25">
      <c r="A38" s="972"/>
      <c r="B38" s="962"/>
      <c r="C38" s="963"/>
      <c r="D38" s="964"/>
      <c r="E38" s="962"/>
      <c r="F38" s="963"/>
      <c r="G38" s="963"/>
      <c r="H38" s="984"/>
      <c r="I38" s="114"/>
    </row>
    <row r="39" spans="1:9" x14ac:dyDescent="0.25">
      <c r="A39" s="972"/>
      <c r="B39" s="962"/>
      <c r="C39" s="963"/>
      <c r="D39" s="964"/>
      <c r="E39" s="965"/>
      <c r="F39" s="965"/>
      <c r="G39" s="965"/>
      <c r="H39" s="966"/>
      <c r="I39" s="114"/>
    </row>
    <row r="40" spans="1:9" x14ac:dyDescent="0.25">
      <c r="A40" s="972"/>
      <c r="B40" s="962"/>
      <c r="C40" s="963"/>
      <c r="D40" s="964"/>
      <c r="E40" s="965"/>
      <c r="F40" s="965"/>
      <c r="G40" s="965"/>
      <c r="H40" s="966"/>
      <c r="I40" s="114"/>
    </row>
    <row r="41" spans="1:9" ht="15.75" thickBot="1" x14ac:dyDescent="0.3">
      <c r="A41" s="973"/>
      <c r="B41" s="967"/>
      <c r="C41" s="968"/>
      <c r="D41" s="969"/>
      <c r="E41" s="967"/>
      <c r="F41" s="968"/>
      <c r="G41" s="968"/>
      <c r="H41" s="970"/>
      <c r="I41" s="114"/>
    </row>
    <row r="42" spans="1:9" ht="40.5" customHeight="1" thickBot="1" x14ac:dyDescent="0.3">
      <c r="A42" s="952" t="s">
        <v>504</v>
      </c>
      <c r="B42" s="953"/>
      <c r="C42" s="953"/>
      <c r="D42" s="953"/>
      <c r="E42" s="953"/>
      <c r="F42" s="954" t="s">
        <v>499</v>
      </c>
      <c r="G42" s="954"/>
      <c r="H42" s="955"/>
      <c r="I42" s="114"/>
    </row>
    <row r="43" spans="1:9" x14ac:dyDescent="0.25">
      <c r="A43" s="142"/>
      <c r="B43" s="142"/>
      <c r="C43" s="114"/>
      <c r="D43" s="114"/>
      <c r="E43" s="114"/>
      <c r="F43" s="114"/>
      <c r="G43" s="114"/>
      <c r="H43" s="114"/>
      <c r="I43" s="114"/>
    </row>
    <row r="44" spans="1:9" x14ac:dyDescent="0.25">
      <c r="A44" s="142"/>
      <c r="B44" s="87"/>
      <c r="C44" s="114"/>
      <c r="D44" s="114"/>
      <c r="E44" s="88" t="s">
        <v>396</v>
      </c>
      <c r="F44" s="16"/>
      <c r="G44" s="17"/>
      <c r="H44" s="114"/>
      <c r="I44" s="114"/>
    </row>
    <row r="45" spans="1:9" x14ac:dyDescent="0.25">
      <c r="A45" s="142"/>
      <c r="B45" s="227"/>
      <c r="C45" s="111"/>
      <c r="D45" s="114"/>
      <c r="E45" s="956"/>
      <c r="F45" s="957"/>
      <c r="G45" s="958"/>
      <c r="H45" s="114"/>
      <c r="I45" s="114"/>
    </row>
    <row r="46" spans="1:9" x14ac:dyDescent="0.25">
      <c r="A46" s="142"/>
      <c r="B46" s="227"/>
      <c r="C46" s="111"/>
      <c r="D46" s="114"/>
      <c r="E46" s="956"/>
      <c r="F46" s="957"/>
      <c r="G46" s="958"/>
      <c r="H46" s="114"/>
      <c r="I46" s="114"/>
    </row>
    <row r="47" spans="1:9" x14ac:dyDescent="0.25">
      <c r="A47" s="142"/>
      <c r="B47" s="87"/>
      <c r="C47" s="19"/>
      <c r="D47" s="114"/>
      <c r="E47" s="956"/>
      <c r="F47" s="957"/>
      <c r="G47" s="958"/>
      <c r="H47" s="114"/>
      <c r="I47" s="114"/>
    </row>
    <row r="48" spans="1:9" x14ac:dyDescent="0.25">
      <c r="A48" s="142"/>
      <c r="B48" s="87"/>
      <c r="C48" s="228"/>
      <c r="D48" s="114"/>
      <c r="E48" s="956"/>
      <c r="F48" s="957"/>
      <c r="G48" s="958"/>
      <c r="H48" s="114"/>
      <c r="I48" s="114"/>
    </row>
    <row r="49" spans="1:9" x14ac:dyDescent="0.25">
      <c r="A49" s="142"/>
      <c r="C49" s="19"/>
      <c r="D49" s="114"/>
      <c r="E49" s="956"/>
      <c r="F49" s="957"/>
      <c r="G49" s="958"/>
      <c r="H49" s="114"/>
      <c r="I49" s="114"/>
    </row>
    <row r="50" spans="1:9" x14ac:dyDescent="0.25">
      <c r="A50" s="142"/>
      <c r="B50" s="19"/>
      <c r="C50" s="114"/>
      <c r="D50" s="114"/>
      <c r="E50" s="956"/>
      <c r="F50" s="957"/>
      <c r="G50" s="958"/>
      <c r="H50" s="114"/>
      <c r="I50" s="114"/>
    </row>
    <row r="51" spans="1:9" x14ac:dyDescent="0.25">
      <c r="A51" s="142"/>
      <c r="B51" s="142"/>
      <c r="C51" s="111"/>
      <c r="D51" s="114"/>
      <c r="E51" s="956"/>
      <c r="F51" s="957"/>
      <c r="G51" s="958"/>
      <c r="H51" s="114"/>
      <c r="I51" s="114"/>
    </row>
    <row r="52" spans="1:9" x14ac:dyDescent="0.25">
      <c r="A52" s="142"/>
      <c r="B52" s="19"/>
      <c r="C52" s="111"/>
      <c r="D52" s="114"/>
      <c r="E52" s="956"/>
      <c r="F52" s="957"/>
      <c r="G52" s="958"/>
      <c r="H52" s="114"/>
      <c r="I52" s="114"/>
    </row>
    <row r="53" spans="1:9" x14ac:dyDescent="0.25">
      <c r="A53" s="142"/>
      <c r="B53" s="19"/>
      <c r="C53" s="19"/>
      <c r="D53" s="114"/>
      <c r="E53" s="956"/>
      <c r="F53" s="957"/>
      <c r="G53" s="958"/>
      <c r="H53" s="114"/>
      <c r="I53" s="114"/>
    </row>
    <row r="54" spans="1:9" x14ac:dyDescent="0.25">
      <c r="A54" s="142"/>
      <c r="B54" s="19"/>
      <c r="C54" s="228"/>
      <c r="D54" s="114"/>
      <c r="E54" s="956"/>
      <c r="F54" s="957"/>
      <c r="G54" s="958"/>
      <c r="H54" s="114"/>
      <c r="I54" s="114"/>
    </row>
    <row r="55" spans="1:9" x14ac:dyDescent="0.25">
      <c r="A55" s="142"/>
      <c r="B55" s="19"/>
      <c r="C55" s="19"/>
      <c r="D55" s="114"/>
      <c r="E55" s="956"/>
      <c r="F55" s="957"/>
      <c r="G55" s="958"/>
      <c r="H55" s="114"/>
      <c r="I55" s="114"/>
    </row>
    <row r="56" spans="1:9" x14ac:dyDescent="0.25">
      <c r="A56" s="142"/>
      <c r="B56" s="19"/>
      <c r="C56" s="114"/>
      <c r="D56" s="114"/>
      <c r="E56" s="956"/>
      <c r="F56" s="957"/>
      <c r="G56" s="958"/>
      <c r="H56" s="114"/>
      <c r="I56" s="114"/>
    </row>
    <row r="57" spans="1:9" x14ac:dyDescent="0.25">
      <c r="A57" s="142"/>
      <c r="B57" s="111"/>
      <c r="C57" s="111"/>
      <c r="D57" s="114"/>
      <c r="E57" s="956"/>
      <c r="F57" s="957"/>
      <c r="G57" s="958"/>
      <c r="H57" s="114"/>
      <c r="I57" s="114"/>
    </row>
    <row r="58" spans="1:9" x14ac:dyDescent="0.25">
      <c r="A58" s="142"/>
      <c r="B58" s="111"/>
      <c r="C58" s="111"/>
      <c r="D58" s="114"/>
      <c r="E58" s="956"/>
      <c r="F58" s="957"/>
      <c r="G58" s="958"/>
      <c r="H58" s="114"/>
      <c r="I58" s="114"/>
    </row>
    <row r="59" spans="1:9" x14ac:dyDescent="0.25">
      <c r="A59" s="142"/>
      <c r="B59" s="19"/>
      <c r="C59" s="19"/>
      <c r="D59" s="114"/>
      <c r="E59" s="956"/>
      <c r="F59" s="957"/>
      <c r="G59" s="958"/>
      <c r="H59" s="114"/>
      <c r="I59" s="114"/>
    </row>
    <row r="60" spans="1:9" x14ac:dyDescent="0.25">
      <c r="A60" s="142"/>
      <c r="B60" s="19"/>
      <c r="C60" s="228"/>
      <c r="D60" s="114"/>
      <c r="E60" s="959"/>
      <c r="F60" s="960"/>
      <c r="G60" s="961"/>
      <c r="H60" s="114"/>
      <c r="I60" s="114"/>
    </row>
  </sheetData>
  <mergeCells count="41">
    <mergeCell ref="B1:B11"/>
    <mergeCell ref="A14:H14"/>
    <mergeCell ref="A15:H15"/>
    <mergeCell ref="A16:H16"/>
    <mergeCell ref="A18:B18"/>
    <mergeCell ref="C18:H18"/>
    <mergeCell ref="A20:H20"/>
    <mergeCell ref="A21:A28"/>
    <mergeCell ref="F21:H21"/>
    <mergeCell ref="F22:H22"/>
    <mergeCell ref="G23:H23"/>
    <mergeCell ref="E24:E25"/>
    <mergeCell ref="F24:F25"/>
    <mergeCell ref="G24:H25"/>
    <mergeCell ref="B27:H27"/>
    <mergeCell ref="B28:H28"/>
    <mergeCell ref="E37:H37"/>
    <mergeCell ref="B38:D38"/>
    <mergeCell ref="E38:H38"/>
    <mergeCell ref="A29:A33"/>
    <mergeCell ref="B29:H29"/>
    <mergeCell ref="B30:H30"/>
    <mergeCell ref="B31:H31"/>
    <mergeCell ref="B32:H32"/>
    <mergeCell ref="B33:H33"/>
    <mergeCell ref="A42:E42"/>
    <mergeCell ref="F42:H42"/>
    <mergeCell ref="E45:G60"/>
    <mergeCell ref="B39:D39"/>
    <mergeCell ref="E39:H39"/>
    <mergeCell ref="B40:D40"/>
    <mergeCell ref="E40:H40"/>
    <mergeCell ref="B41:D41"/>
    <mergeCell ref="E41:H41"/>
    <mergeCell ref="A34:A41"/>
    <mergeCell ref="B34:H34"/>
    <mergeCell ref="B35:D35"/>
    <mergeCell ref="E35:H35"/>
    <mergeCell ref="B36:D36"/>
    <mergeCell ref="E36:H36"/>
    <mergeCell ref="B37:D37"/>
  </mergeCells>
  <conditionalFormatting sqref="F42:H42">
    <cfRule type="cellIs" dxfId="29" priority="4" stopIfTrue="1" operator="equal">
      <formula>"EL CONTRATANTE"</formula>
    </cfRule>
    <cfRule type="cellIs" dxfId="28" priority="5" stopIfTrue="1" operator="equal">
      <formula>"EL CONTRATISTA"</formula>
    </cfRule>
    <cfRule type="cellIs" dxfId="27" priority="6" stopIfTrue="1" operator="equal">
      <formula>"AMBOS"</formula>
    </cfRule>
  </conditionalFormatting>
  <conditionalFormatting sqref="G24:H25">
    <cfRule type="expression" dxfId="26" priority="1" stopIfTrue="1">
      <formula>IF($G$24="INACEPTABLE",TRUE,FALSE)</formula>
    </cfRule>
    <cfRule type="expression" dxfId="25" priority="2" stopIfTrue="1">
      <formula>IF(OR($G$24="MODERADO",$G$24="IMPORTANTE"),TRUE,FALSE)</formula>
    </cfRule>
    <cfRule type="expression" dxfId="24" priority="3" stopIfTrue="1">
      <formula>IF(OR($G$24="ACEPTABLE",$G$24="TOLERABLE"),TRUE,FALSE)</formula>
    </cfRule>
  </conditionalFormatting>
  <dataValidations disablePrompts="1" count="12">
    <dataValidation errorStyle="information" allowBlank="1" showInputMessage="1" showErrorMessage="1" errorTitle="IMPACTO" error="Escoja una de las siguientes opciones:_x000a__x000a_LEVE_x000a_MODERADO_x000a_CATASTROFICO_x000a_" sqref="F24:F25"/>
    <dataValidation type="list" allowBlank="1" showInputMessage="1" showErrorMessage="1" sqref="E22">
      <formula1>"ANTES,DURANTE,DESPUÉS"</formula1>
    </dataValidation>
    <dataValidation allowBlank="1" showInputMessage="1" showErrorMessage="1" promptTitle="NOMBRE CORTO DEL RIESGO" prompt="Los riesgos no son mas que posibles problemas con cosecuencias preocupantes para el contrato o para la Empresa." sqref="E21:F21"/>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CAUSAS" prompt="Describa las principales causas por las cuales se puede presentar el riesgo que ha sido considerado." sqref="B29:H29"/>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SEVERIDAD" prompt="Estime la severidad que tendrían las consecuencias  del riesgo si llegara a ocurrir" sqref="F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RIESGO" prompt="Clasificación del riesgo según la combinación entre Probabilidad y Severidad" sqref="G23"/>
    <dataValidation allowBlank="1" showInputMessage="1" showErrorMessage="1" promptTitle="ASIGNACIÓN DE RIESGOS" prompt="Para cada medida de tratamiento, determine las actividades del PHVA, en que debe participar EL METRO y EL CONTRATISTA para administrar el riesgo." sqref="B34:H34"/>
    <dataValidation allowBlank="1" showInputMessage="1" showErrorMessage="1" promptTitle="ASIGNACIÓN DE RIESGOS" prompt="Determine quien debe asumir las consecuencias y cual es la participación de las partes en la administración del riesgo" sqref="A42"/>
    <dataValidation type="list" allowBlank="1" showInputMessage="1" showErrorMessage="1" sqref="F42:H42">
      <formula1>"EL CONTRATANTE,EL CONTRATISTA,AMBOS"</formula1>
    </dataValidation>
  </dataValidations>
  <pageMargins left="0.7" right="0.7" top="0.75" bottom="0.75" header="0.3" footer="0.3"/>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35"/>
  <sheetViews>
    <sheetView workbookViewId="0">
      <selection activeCell="G21" sqref="G21"/>
    </sheetView>
  </sheetViews>
  <sheetFormatPr baseColWidth="10" defaultColWidth="11.42578125" defaultRowHeight="15" x14ac:dyDescent="0.25"/>
  <cols>
    <col min="1" max="1" width="3.7109375" customWidth="1" collapsed="1"/>
    <col min="2" max="2" width="19.140625" customWidth="1" collapsed="1"/>
    <col min="3" max="3" width="19.5703125" customWidth="1" collapsed="1"/>
    <col min="4" max="10" width="20.7109375" customWidth="1" collapsed="1"/>
    <col min="11" max="13" width="11.42578125" collapsed="1"/>
    <col min="14" max="14" width="40" customWidth="1" collapsed="1"/>
    <col min="15" max="15" width="22.7109375" bestFit="1" customWidth="1" collapsed="1"/>
    <col min="16" max="16" width="16.7109375" bestFit="1" customWidth="1" collapsed="1"/>
    <col min="17" max="16384" width="11.42578125" collapsed="1"/>
  </cols>
  <sheetData>
    <row r="1" spans="2:16" ht="15.75" x14ac:dyDescent="0.25">
      <c r="B1" s="208" t="s">
        <v>6</v>
      </c>
      <c r="C1" s="209"/>
      <c r="D1" s="209"/>
      <c r="E1" s="209"/>
      <c r="F1" s="209"/>
      <c r="G1" s="209"/>
      <c r="H1" s="209"/>
      <c r="I1" s="209"/>
      <c r="J1" s="210"/>
      <c r="K1" s="211"/>
    </row>
    <row r="2" spans="2:16" ht="15.75" x14ac:dyDescent="0.25">
      <c r="B2" s="212" t="s">
        <v>7</v>
      </c>
      <c r="C2" s="213"/>
      <c r="D2" s="213"/>
      <c r="E2" s="213"/>
      <c r="F2" s="213"/>
      <c r="G2" s="213"/>
      <c r="H2" s="213"/>
      <c r="I2" s="213"/>
      <c r="J2" s="214"/>
      <c r="K2" s="211"/>
    </row>
    <row r="3" spans="2:16" ht="16.5" thickBot="1" x14ac:dyDescent="0.3">
      <c r="B3" s="215" t="s">
        <v>415</v>
      </c>
      <c r="C3" s="216"/>
      <c r="D3" s="216"/>
      <c r="E3" s="216"/>
      <c r="F3" s="216"/>
      <c r="G3" s="216"/>
      <c r="H3" s="216"/>
      <c r="I3" s="216"/>
      <c r="J3" s="217"/>
      <c r="K3" s="211"/>
    </row>
    <row r="4" spans="2:16" ht="6" customHeight="1" thickBot="1" x14ac:dyDescent="0.3">
      <c r="B4" s="211"/>
      <c r="C4" s="211"/>
      <c r="D4" s="211"/>
      <c r="E4" s="211"/>
      <c r="F4" s="211"/>
      <c r="G4" s="211"/>
      <c r="H4" s="211"/>
      <c r="I4" s="211"/>
      <c r="J4" s="211"/>
      <c r="K4" s="211"/>
    </row>
    <row r="5" spans="2:16" ht="23.25" customHeight="1" thickBot="1" x14ac:dyDescent="0.3">
      <c r="B5" s="536" t="s">
        <v>357</v>
      </c>
      <c r="C5" s="1012" t="e">
        <f>+#REF!</f>
        <v>#REF!</v>
      </c>
      <c r="D5" s="1013"/>
      <c r="E5" s="1013"/>
      <c r="F5" s="1013"/>
      <c r="G5" s="1013"/>
      <c r="H5" s="1013"/>
      <c r="I5" s="1013"/>
      <c r="J5" s="1014"/>
      <c r="K5" s="211"/>
    </row>
    <row r="6" spans="2:16" ht="6" customHeight="1" thickBot="1" x14ac:dyDescent="0.3">
      <c r="B6" s="211"/>
      <c r="C6" s="211"/>
      <c r="D6" s="211"/>
      <c r="E6" s="211"/>
      <c r="F6" s="211"/>
      <c r="G6" s="211"/>
      <c r="H6" s="211"/>
      <c r="I6" s="211"/>
      <c r="J6" s="211"/>
      <c r="K6" s="211"/>
    </row>
    <row r="7" spans="2:16" x14ac:dyDescent="0.25">
      <c r="B7" s="1015" t="s">
        <v>694</v>
      </c>
      <c r="C7" s="1016"/>
      <c r="D7" s="1016"/>
      <c r="E7" s="1016"/>
      <c r="F7" s="1016"/>
      <c r="G7" s="1016"/>
      <c r="H7" s="1016"/>
      <c r="I7" s="1016"/>
      <c r="J7" s="1017"/>
      <c r="K7" s="211"/>
    </row>
    <row r="8" spans="2:16" ht="30" customHeight="1" thickBot="1" x14ac:dyDescent="0.3">
      <c r="B8" s="1018" t="s">
        <v>695</v>
      </c>
      <c r="C8" s="1019"/>
      <c r="D8" s="1019"/>
      <c r="E8" s="1019"/>
      <c r="F8" s="1019"/>
      <c r="G8" s="1019"/>
      <c r="H8" s="1019"/>
      <c r="I8" s="1019"/>
      <c r="J8" s="1020"/>
      <c r="K8" s="211"/>
    </row>
    <row r="9" spans="2:16" ht="6" customHeight="1" thickBot="1" x14ac:dyDescent="0.3">
      <c r="B9" s="446"/>
      <c r="C9" s="446"/>
      <c r="D9" s="446"/>
      <c r="E9" s="446"/>
      <c r="F9" s="446"/>
      <c r="G9" s="446"/>
      <c r="H9" s="446"/>
      <c r="I9" s="446"/>
      <c r="J9" s="446"/>
      <c r="K9" s="211"/>
    </row>
    <row r="10" spans="2:16" ht="15.75" thickBot="1" x14ac:dyDescent="0.3">
      <c r="B10" s="447" t="s">
        <v>696</v>
      </c>
      <c r="C10" s="448"/>
      <c r="D10" s="448"/>
      <c r="E10" s="448"/>
      <c r="F10" s="448"/>
      <c r="G10" s="448"/>
      <c r="H10" s="448"/>
      <c r="I10" s="448"/>
      <c r="J10" s="449"/>
      <c r="K10" s="211"/>
    </row>
    <row r="11" spans="2:16" ht="6" customHeight="1" thickBot="1" x14ac:dyDescent="0.3">
      <c r="B11" s="446"/>
      <c r="C11" s="446"/>
      <c r="D11" s="446"/>
      <c r="E11" s="446"/>
      <c r="F11" s="446"/>
      <c r="G11" s="446"/>
      <c r="H11" s="446"/>
      <c r="I11" s="446"/>
      <c r="J11" s="446"/>
      <c r="K11" s="211"/>
    </row>
    <row r="12" spans="2:16" ht="15.75" thickBot="1" x14ac:dyDescent="0.3">
      <c r="B12" s="450" t="s">
        <v>42</v>
      </c>
      <c r="C12" s="451" t="s">
        <v>398</v>
      </c>
      <c r="D12" s="452"/>
      <c r="E12" s="453"/>
      <c r="F12" s="453"/>
      <c r="G12" s="453"/>
      <c r="H12" s="453"/>
      <c r="I12" s="453"/>
      <c r="J12" s="451"/>
      <c r="K12" s="211"/>
    </row>
    <row r="13" spans="2:16" x14ac:dyDescent="0.25">
      <c r="B13" s="454"/>
      <c r="C13" s="455" t="s">
        <v>121</v>
      </c>
      <c r="D13" s="456"/>
      <c r="E13" s="457"/>
      <c r="F13" s="457"/>
      <c r="G13" s="457"/>
      <c r="H13" s="457"/>
      <c r="I13" s="457"/>
      <c r="J13" s="455"/>
      <c r="K13" s="211"/>
    </row>
    <row r="14" spans="2:16" ht="15.75" thickBot="1" x14ac:dyDescent="0.3">
      <c r="B14" s="458"/>
      <c r="C14" s="459" t="s">
        <v>697</v>
      </c>
      <c r="D14" s="460" t="e">
        <f>P16</f>
        <v>#DIV/0!</v>
      </c>
      <c r="E14" s="461" t="e">
        <f>P17</f>
        <v>#DIV/0!</v>
      </c>
      <c r="F14" s="461" t="e">
        <f>P18</f>
        <v>#DIV/0!</v>
      </c>
      <c r="G14" s="461" t="e">
        <f>P19</f>
        <v>#DIV/0!</v>
      </c>
      <c r="H14" s="461" t="e">
        <f>P20</f>
        <v>#DIV/0!</v>
      </c>
      <c r="I14" s="461" t="e">
        <f>P21</f>
        <v>#DIV/0!</v>
      </c>
      <c r="J14" s="462" t="e">
        <f>P22</f>
        <v>#DIV/0!</v>
      </c>
      <c r="K14" s="535" t="e">
        <f>SUM(D14:J14)</f>
        <v>#DIV/0!</v>
      </c>
    </row>
    <row r="15" spans="2:16" x14ac:dyDescent="0.25">
      <c r="B15" s="463">
        <v>2005</v>
      </c>
      <c r="C15" s="464" t="s">
        <v>698</v>
      </c>
      <c r="D15" s="465"/>
      <c r="E15" s="466"/>
      <c r="F15" s="466"/>
      <c r="G15" s="466"/>
      <c r="H15" s="466"/>
      <c r="I15" s="466"/>
      <c r="J15" s="467"/>
      <c r="K15" s="211"/>
      <c r="M15" s="635" t="s">
        <v>780</v>
      </c>
      <c r="N15" s="636" t="s">
        <v>72</v>
      </c>
      <c r="O15" s="636" t="s">
        <v>13</v>
      </c>
      <c r="P15" s="636" t="s">
        <v>781</v>
      </c>
    </row>
    <row r="16" spans="2:16" ht="15.75" thickBot="1" x14ac:dyDescent="0.3">
      <c r="B16" s="468"/>
      <c r="C16" s="469" t="s">
        <v>699</v>
      </c>
      <c r="D16" s="470">
        <f t="shared" ref="D16:J16" si="0">D15/12</f>
        <v>0</v>
      </c>
      <c r="E16" s="471">
        <f t="shared" si="0"/>
        <v>0</v>
      </c>
      <c r="F16" s="471">
        <f t="shared" si="0"/>
        <v>0</v>
      </c>
      <c r="G16" s="471">
        <f t="shared" si="0"/>
        <v>0</v>
      </c>
      <c r="H16" s="471">
        <f t="shared" si="0"/>
        <v>0</v>
      </c>
      <c r="I16" s="471">
        <f t="shared" si="0"/>
        <v>0</v>
      </c>
      <c r="J16" s="472">
        <f t="shared" si="0"/>
        <v>0</v>
      </c>
      <c r="K16" s="211"/>
      <c r="M16" s="637">
        <v>1</v>
      </c>
      <c r="N16" s="640"/>
      <c r="O16" s="641"/>
      <c r="P16" s="642" t="e">
        <f>O16/$O$23</f>
        <v>#DIV/0!</v>
      </c>
    </row>
    <row r="17" spans="2:17" x14ac:dyDescent="0.25">
      <c r="B17" s="463">
        <v>2006</v>
      </c>
      <c r="C17" s="464" t="s">
        <v>698</v>
      </c>
      <c r="D17" s="465"/>
      <c r="E17" s="466"/>
      <c r="F17" s="466"/>
      <c r="G17" s="466"/>
      <c r="H17" s="466"/>
      <c r="I17" s="466"/>
      <c r="J17" s="467"/>
      <c r="K17" s="211"/>
      <c r="M17" s="638">
        <v>2</v>
      </c>
      <c r="N17" s="640"/>
      <c r="O17" s="641"/>
      <c r="P17" s="642" t="e">
        <f t="shared" ref="P17:P22" si="1">O17/$O$23</f>
        <v>#DIV/0!</v>
      </c>
    </row>
    <row r="18" spans="2:17" ht="15.75" thickBot="1" x14ac:dyDescent="0.3">
      <c r="B18" s="468"/>
      <c r="C18" s="469" t="s">
        <v>699</v>
      </c>
      <c r="D18" s="470">
        <f t="shared" ref="D18:J18" si="2">D17/12</f>
        <v>0</v>
      </c>
      <c r="E18" s="471">
        <f t="shared" si="2"/>
        <v>0</v>
      </c>
      <c r="F18" s="471">
        <f t="shared" si="2"/>
        <v>0</v>
      </c>
      <c r="G18" s="471">
        <f t="shared" si="2"/>
        <v>0</v>
      </c>
      <c r="H18" s="471">
        <f t="shared" si="2"/>
        <v>0</v>
      </c>
      <c r="I18" s="471">
        <f t="shared" si="2"/>
        <v>0</v>
      </c>
      <c r="J18" s="472">
        <f t="shared" si="2"/>
        <v>0</v>
      </c>
      <c r="K18" s="211"/>
      <c r="M18" s="637">
        <v>3</v>
      </c>
      <c r="N18" s="640"/>
      <c r="O18" s="641"/>
      <c r="P18" s="642" t="e">
        <f t="shared" si="1"/>
        <v>#DIV/0!</v>
      </c>
    </row>
    <row r="19" spans="2:17" x14ac:dyDescent="0.25">
      <c r="B19" s="463">
        <v>2007</v>
      </c>
      <c r="C19" s="464" t="s">
        <v>698</v>
      </c>
      <c r="D19" s="465"/>
      <c r="E19" s="466"/>
      <c r="F19" s="466"/>
      <c r="G19" s="466"/>
      <c r="H19" s="466"/>
      <c r="I19" s="466"/>
      <c r="J19" s="467"/>
      <c r="K19" s="211"/>
      <c r="M19" s="638">
        <v>4</v>
      </c>
      <c r="N19" s="640"/>
      <c r="O19" s="641"/>
      <c r="P19" s="642" t="e">
        <f t="shared" si="1"/>
        <v>#DIV/0!</v>
      </c>
    </row>
    <row r="20" spans="2:17" ht="15.75" thickBot="1" x14ac:dyDescent="0.3">
      <c r="B20" s="468"/>
      <c r="C20" s="469" t="s">
        <v>699</v>
      </c>
      <c r="D20" s="470">
        <f t="shared" ref="D20:J20" si="3">D19/12</f>
        <v>0</v>
      </c>
      <c r="E20" s="471">
        <f t="shared" si="3"/>
        <v>0</v>
      </c>
      <c r="F20" s="471">
        <f t="shared" si="3"/>
        <v>0</v>
      </c>
      <c r="G20" s="471">
        <f t="shared" si="3"/>
        <v>0</v>
      </c>
      <c r="H20" s="471">
        <f t="shared" si="3"/>
        <v>0</v>
      </c>
      <c r="I20" s="471">
        <f t="shared" si="3"/>
        <v>0</v>
      </c>
      <c r="J20" s="472">
        <f t="shared" si="3"/>
        <v>0</v>
      </c>
      <c r="K20" s="211"/>
      <c r="M20" s="637">
        <v>5</v>
      </c>
      <c r="N20" s="640"/>
      <c r="O20" s="641"/>
      <c r="P20" s="642" t="e">
        <f t="shared" si="1"/>
        <v>#DIV/0!</v>
      </c>
    </row>
    <row r="21" spans="2:17" x14ac:dyDescent="0.25">
      <c r="B21" s="463">
        <v>2008</v>
      </c>
      <c r="C21" s="464" t="s">
        <v>698</v>
      </c>
      <c r="D21" s="465"/>
      <c r="E21" s="466"/>
      <c r="F21" s="466"/>
      <c r="G21" s="466"/>
      <c r="H21" s="466"/>
      <c r="I21" s="466"/>
      <c r="J21" s="467"/>
      <c r="K21" s="211"/>
      <c r="M21" s="638">
        <v>6</v>
      </c>
      <c r="N21" s="640"/>
      <c r="O21" s="641"/>
      <c r="P21" s="642" t="e">
        <f t="shared" si="1"/>
        <v>#DIV/0!</v>
      </c>
    </row>
    <row r="22" spans="2:17" ht="15.75" thickBot="1" x14ac:dyDescent="0.3">
      <c r="B22" s="468"/>
      <c r="C22" s="469" t="s">
        <v>699</v>
      </c>
      <c r="D22" s="470">
        <f t="shared" ref="D22:J22" si="4">D21/12</f>
        <v>0</v>
      </c>
      <c r="E22" s="471">
        <f t="shared" si="4"/>
        <v>0</v>
      </c>
      <c r="F22" s="471">
        <f t="shared" si="4"/>
        <v>0</v>
      </c>
      <c r="G22" s="471">
        <f t="shared" si="4"/>
        <v>0</v>
      </c>
      <c r="H22" s="471">
        <f t="shared" si="4"/>
        <v>0</v>
      </c>
      <c r="I22" s="471">
        <f t="shared" si="4"/>
        <v>0</v>
      </c>
      <c r="J22" s="472">
        <f t="shared" si="4"/>
        <v>0</v>
      </c>
      <c r="K22" s="211"/>
      <c r="M22" s="637">
        <v>7</v>
      </c>
      <c r="N22" s="640"/>
      <c r="O22" s="641"/>
      <c r="P22" s="642" t="e">
        <f t="shared" si="1"/>
        <v>#DIV/0!</v>
      </c>
    </row>
    <row r="23" spans="2:17" x14ac:dyDescent="0.25">
      <c r="B23" s="463">
        <v>2009</v>
      </c>
      <c r="C23" s="464" t="s">
        <v>698</v>
      </c>
      <c r="D23" s="465"/>
      <c r="E23" s="466"/>
      <c r="F23" s="466"/>
      <c r="G23" s="466"/>
      <c r="H23" s="466"/>
      <c r="I23" s="466"/>
      <c r="J23" s="467"/>
      <c r="K23" s="211"/>
      <c r="N23" s="639" t="s">
        <v>22</v>
      </c>
      <c r="O23" s="641">
        <f>SUM(O16:O22)</f>
        <v>0</v>
      </c>
      <c r="P23" s="643"/>
      <c r="Q23" s="644"/>
    </row>
    <row r="24" spans="2:17" ht="15.75" thickBot="1" x14ac:dyDescent="0.3">
      <c r="B24" s="468"/>
      <c r="C24" s="469" t="s">
        <v>699</v>
      </c>
      <c r="D24" s="470">
        <f t="shared" ref="D24:J24" si="5">D23/12</f>
        <v>0</v>
      </c>
      <c r="E24" s="471">
        <f t="shared" si="5"/>
        <v>0</v>
      </c>
      <c r="F24" s="471">
        <f t="shared" si="5"/>
        <v>0</v>
      </c>
      <c r="G24" s="471">
        <f t="shared" si="5"/>
        <v>0</v>
      </c>
      <c r="H24" s="471">
        <f t="shared" si="5"/>
        <v>0</v>
      </c>
      <c r="I24" s="471">
        <f t="shared" si="5"/>
        <v>0</v>
      </c>
      <c r="J24" s="472">
        <f t="shared" si="5"/>
        <v>0</v>
      </c>
      <c r="K24" s="211"/>
      <c r="N24" s="639" t="s">
        <v>714</v>
      </c>
      <c r="O24" s="641" t="e">
        <f>#REF!</f>
        <v>#REF!</v>
      </c>
      <c r="P24" s="643"/>
      <c r="Q24" s="644"/>
    </row>
    <row r="25" spans="2:17" x14ac:dyDescent="0.25">
      <c r="B25" s="463">
        <v>2010</v>
      </c>
      <c r="C25" s="464" t="s">
        <v>698</v>
      </c>
      <c r="D25" s="465"/>
      <c r="E25" s="466"/>
      <c r="F25" s="466"/>
      <c r="G25" s="466"/>
      <c r="H25" s="466"/>
      <c r="I25" s="466"/>
      <c r="J25" s="467"/>
      <c r="K25" s="211"/>
      <c r="N25" s="639" t="s">
        <v>782</v>
      </c>
      <c r="O25" s="645" t="e">
        <f>O23/O24</f>
        <v>#REF!</v>
      </c>
      <c r="Q25" s="644"/>
    </row>
    <row r="26" spans="2:17" ht="15.75" thickBot="1" x14ac:dyDescent="0.3">
      <c r="B26" s="468"/>
      <c r="C26" s="469" t="s">
        <v>699</v>
      </c>
      <c r="D26" s="470">
        <f t="shared" ref="D26:J26" si="6">D25/12</f>
        <v>0</v>
      </c>
      <c r="E26" s="471">
        <f t="shared" si="6"/>
        <v>0</v>
      </c>
      <c r="F26" s="471">
        <f t="shared" si="6"/>
        <v>0</v>
      </c>
      <c r="G26" s="471">
        <f t="shared" si="6"/>
        <v>0</v>
      </c>
      <c r="H26" s="471">
        <f t="shared" si="6"/>
        <v>0</v>
      </c>
      <c r="I26" s="471">
        <f t="shared" si="6"/>
        <v>0</v>
      </c>
      <c r="J26" s="472">
        <f t="shared" si="6"/>
        <v>0</v>
      </c>
      <c r="K26" s="211"/>
      <c r="P26" s="646"/>
      <c r="Q26" s="644"/>
    </row>
    <row r="27" spans="2:17" x14ac:dyDescent="0.25">
      <c r="B27" s="463">
        <v>2011</v>
      </c>
      <c r="C27" s="464" t="s">
        <v>698</v>
      </c>
      <c r="D27" s="465"/>
      <c r="E27" s="466"/>
      <c r="F27" s="466"/>
      <c r="G27" s="466"/>
      <c r="H27" s="466"/>
      <c r="I27" s="466"/>
      <c r="J27" s="467"/>
      <c r="K27" s="211"/>
      <c r="P27" s="646"/>
      <c r="Q27" s="644"/>
    </row>
    <row r="28" spans="2:17" ht="15.75" thickBot="1" x14ac:dyDescent="0.3">
      <c r="B28" s="468"/>
      <c r="C28" s="469" t="s">
        <v>699</v>
      </c>
      <c r="D28" s="470">
        <f t="shared" ref="D28:J28" si="7">D27/12</f>
        <v>0</v>
      </c>
      <c r="E28" s="471">
        <f t="shared" si="7"/>
        <v>0</v>
      </c>
      <c r="F28" s="471">
        <f t="shared" si="7"/>
        <v>0</v>
      </c>
      <c r="G28" s="471">
        <f t="shared" si="7"/>
        <v>0</v>
      </c>
      <c r="H28" s="471">
        <f t="shared" si="7"/>
        <v>0</v>
      </c>
      <c r="I28" s="471">
        <f t="shared" si="7"/>
        <v>0</v>
      </c>
      <c r="J28" s="472">
        <f t="shared" si="7"/>
        <v>0</v>
      </c>
      <c r="K28" s="211"/>
      <c r="P28" s="647"/>
      <c r="Q28" s="644"/>
    </row>
    <row r="29" spans="2:17" x14ac:dyDescent="0.25">
      <c r="B29" s="463">
        <v>2012</v>
      </c>
      <c r="C29" s="464" t="s">
        <v>698</v>
      </c>
      <c r="D29" s="465"/>
      <c r="E29" s="466"/>
      <c r="F29" s="466"/>
      <c r="G29" s="466"/>
      <c r="H29" s="466"/>
      <c r="I29" s="466"/>
      <c r="J29" s="467"/>
      <c r="K29" s="211"/>
      <c r="P29" s="647"/>
      <c r="Q29" s="644"/>
    </row>
    <row r="30" spans="2:17" ht="15.75" thickBot="1" x14ac:dyDescent="0.3">
      <c r="B30" s="468"/>
      <c r="C30" s="469" t="s">
        <v>699</v>
      </c>
      <c r="D30" s="470">
        <f t="shared" ref="D30:J30" si="8">D29/12</f>
        <v>0</v>
      </c>
      <c r="E30" s="471">
        <f t="shared" si="8"/>
        <v>0</v>
      </c>
      <c r="F30" s="471">
        <f t="shared" si="8"/>
        <v>0</v>
      </c>
      <c r="G30" s="471">
        <f t="shared" si="8"/>
        <v>0</v>
      </c>
      <c r="H30" s="471">
        <f t="shared" si="8"/>
        <v>0</v>
      </c>
      <c r="I30" s="471">
        <f t="shared" si="8"/>
        <v>0</v>
      </c>
      <c r="J30" s="472">
        <f t="shared" si="8"/>
        <v>0</v>
      </c>
      <c r="K30" s="211"/>
      <c r="P30" s="647"/>
      <c r="Q30" s="648"/>
    </row>
    <row r="31" spans="2:17" x14ac:dyDescent="0.25">
      <c r="B31" s="463">
        <v>2013</v>
      </c>
      <c r="C31" s="464" t="s">
        <v>698</v>
      </c>
      <c r="D31" s="465"/>
      <c r="E31" s="466"/>
      <c r="F31" s="466"/>
      <c r="G31" s="466"/>
      <c r="H31" s="466"/>
      <c r="I31" s="466"/>
      <c r="J31" s="467"/>
      <c r="K31" s="211"/>
      <c r="P31" s="647"/>
    </row>
    <row r="32" spans="2:17" ht="15.75" thickBot="1" x14ac:dyDescent="0.3">
      <c r="B32" s="468"/>
      <c r="C32" s="469" t="s">
        <v>699</v>
      </c>
      <c r="D32" s="470">
        <f t="shared" ref="D32:J32" si="9">D31/12</f>
        <v>0</v>
      </c>
      <c r="E32" s="471">
        <f t="shared" si="9"/>
        <v>0</v>
      </c>
      <c r="F32" s="471">
        <f t="shared" si="9"/>
        <v>0</v>
      </c>
      <c r="G32" s="471">
        <f t="shared" si="9"/>
        <v>0</v>
      </c>
      <c r="H32" s="471">
        <f t="shared" si="9"/>
        <v>0</v>
      </c>
      <c r="I32" s="471">
        <f t="shared" si="9"/>
        <v>0</v>
      </c>
      <c r="J32" s="472">
        <f t="shared" si="9"/>
        <v>0</v>
      </c>
      <c r="K32" s="211"/>
      <c r="O32" s="264"/>
      <c r="P32" s="534"/>
      <c r="Q32" s="264"/>
    </row>
    <row r="33" spans="2:11" x14ac:dyDescent="0.25">
      <c r="B33" s="463">
        <v>2014</v>
      </c>
      <c r="C33" s="464" t="s">
        <v>698</v>
      </c>
      <c r="D33" s="465"/>
      <c r="E33" s="466"/>
      <c r="F33" s="466"/>
      <c r="G33" s="466"/>
      <c r="H33" s="466"/>
      <c r="I33" s="466"/>
      <c r="J33" s="467"/>
      <c r="K33" s="211"/>
    </row>
    <row r="34" spans="2:11" ht="15.75" thickBot="1" x14ac:dyDescent="0.3">
      <c r="B34" s="468"/>
      <c r="C34" s="469" t="s">
        <v>699</v>
      </c>
      <c r="D34" s="470">
        <f t="shared" ref="D34:J34" si="10">D33/12</f>
        <v>0</v>
      </c>
      <c r="E34" s="471">
        <f t="shared" si="10"/>
        <v>0</v>
      </c>
      <c r="F34" s="471">
        <f t="shared" si="10"/>
        <v>0</v>
      </c>
      <c r="G34" s="471">
        <f t="shared" si="10"/>
        <v>0</v>
      </c>
      <c r="H34" s="471">
        <f t="shared" si="10"/>
        <v>0</v>
      </c>
      <c r="I34" s="471">
        <f t="shared" si="10"/>
        <v>0</v>
      </c>
      <c r="J34" s="472">
        <f t="shared" si="10"/>
        <v>0</v>
      </c>
      <c r="K34" s="211"/>
    </row>
    <row r="35" spans="2:11" x14ac:dyDescent="0.25">
      <c r="B35" s="463">
        <v>2015</v>
      </c>
      <c r="C35" s="464" t="s">
        <v>698</v>
      </c>
      <c r="D35" s="465"/>
      <c r="E35" s="466"/>
      <c r="F35" s="466"/>
      <c r="G35" s="466"/>
      <c r="H35" s="466"/>
      <c r="I35" s="466"/>
      <c r="J35" s="467"/>
      <c r="K35" s="211"/>
    </row>
    <row r="36" spans="2:11" ht="15.75" thickBot="1" x14ac:dyDescent="0.3">
      <c r="B36" s="468"/>
      <c r="C36" s="469" t="s">
        <v>699</v>
      </c>
      <c r="D36" s="470">
        <f t="shared" ref="D36:J36" si="11">D35/12</f>
        <v>0</v>
      </c>
      <c r="E36" s="471">
        <f t="shared" si="11"/>
        <v>0</v>
      </c>
      <c r="F36" s="471">
        <f t="shared" si="11"/>
        <v>0</v>
      </c>
      <c r="G36" s="471">
        <f t="shared" si="11"/>
        <v>0</v>
      </c>
      <c r="H36" s="471">
        <f t="shared" si="11"/>
        <v>0</v>
      </c>
      <c r="I36" s="471">
        <f t="shared" si="11"/>
        <v>0</v>
      </c>
      <c r="J36" s="472">
        <f t="shared" si="11"/>
        <v>0</v>
      </c>
      <c r="K36" s="211"/>
    </row>
    <row r="37" spans="2:11" x14ac:dyDescent="0.25">
      <c r="B37" s="463">
        <v>2016</v>
      </c>
      <c r="C37" s="464" t="s">
        <v>698</v>
      </c>
      <c r="D37" s="465"/>
      <c r="E37" s="466"/>
      <c r="F37" s="466"/>
      <c r="G37" s="466"/>
      <c r="H37" s="466"/>
      <c r="I37" s="466"/>
      <c r="J37" s="467"/>
      <c r="K37" s="211"/>
    </row>
    <row r="38" spans="2:11" ht="15.75" thickBot="1" x14ac:dyDescent="0.3">
      <c r="B38" s="468"/>
      <c r="C38" s="469" t="s">
        <v>699</v>
      </c>
      <c r="D38" s="470">
        <f>D37/12</f>
        <v>0</v>
      </c>
      <c r="E38" s="471">
        <f t="shared" ref="E38:J40" si="12">E37/12</f>
        <v>0</v>
      </c>
      <c r="F38" s="471">
        <f t="shared" si="12"/>
        <v>0</v>
      </c>
      <c r="G38" s="471">
        <f t="shared" si="12"/>
        <v>0</v>
      </c>
      <c r="H38" s="471">
        <f t="shared" si="12"/>
        <v>0</v>
      </c>
      <c r="I38" s="471">
        <f t="shared" si="12"/>
        <v>0</v>
      </c>
      <c r="J38" s="472">
        <f t="shared" si="12"/>
        <v>0</v>
      </c>
      <c r="K38" s="211"/>
    </row>
    <row r="39" spans="2:11" x14ac:dyDescent="0.25">
      <c r="B39" s="463">
        <v>2017</v>
      </c>
      <c r="C39" s="464" t="s">
        <v>698</v>
      </c>
      <c r="D39" s="465"/>
      <c r="E39" s="466"/>
      <c r="F39" s="466"/>
      <c r="G39" s="466"/>
      <c r="H39" s="466"/>
      <c r="I39" s="466"/>
      <c r="J39" s="467"/>
      <c r="K39" s="211"/>
    </row>
    <row r="40" spans="2:11" ht="15.75" thickBot="1" x14ac:dyDescent="0.3">
      <c r="B40" s="468"/>
      <c r="C40" s="469" t="s">
        <v>699</v>
      </c>
      <c r="D40" s="470">
        <f>D39/12</f>
        <v>0</v>
      </c>
      <c r="E40" s="471">
        <f>E39/12</f>
        <v>0</v>
      </c>
      <c r="F40" s="471">
        <f>F39/12</f>
        <v>0</v>
      </c>
      <c r="G40" s="471">
        <f t="shared" si="12"/>
        <v>0</v>
      </c>
      <c r="H40" s="471">
        <f t="shared" ref="H40:I40" si="13">H39/12</f>
        <v>0</v>
      </c>
      <c r="I40" s="471">
        <f t="shared" si="13"/>
        <v>0</v>
      </c>
      <c r="J40" s="472">
        <f t="shared" si="12"/>
        <v>0</v>
      </c>
      <c r="K40" s="211"/>
    </row>
    <row r="41" spans="2:11" x14ac:dyDescent="0.25">
      <c r="B41" s="463">
        <v>2018</v>
      </c>
      <c r="C41" s="464" t="s">
        <v>698</v>
      </c>
      <c r="D41" s="465"/>
      <c r="E41" s="466"/>
      <c r="F41" s="466"/>
      <c r="G41" s="466"/>
      <c r="H41" s="466"/>
      <c r="I41" s="466"/>
      <c r="J41" s="467"/>
      <c r="K41" s="211"/>
    </row>
    <row r="42" spans="2:11" ht="15.75" thickBot="1" x14ac:dyDescent="0.3">
      <c r="B42" s="468"/>
      <c r="C42" s="469" t="s">
        <v>699</v>
      </c>
      <c r="D42" s="470">
        <f t="shared" ref="D42" si="14">D41/12</f>
        <v>0</v>
      </c>
      <c r="E42" s="471">
        <f t="shared" ref="E42" si="15">E41/12</f>
        <v>0</v>
      </c>
      <c r="F42" s="471">
        <f t="shared" ref="F42:J42" si="16">F41/12</f>
        <v>0</v>
      </c>
      <c r="G42" s="471">
        <f t="shared" si="16"/>
        <v>0</v>
      </c>
      <c r="H42" s="471">
        <f t="shared" si="16"/>
        <v>0</v>
      </c>
      <c r="I42" s="471">
        <f t="shared" si="16"/>
        <v>0</v>
      </c>
      <c r="J42" s="472">
        <f t="shared" si="16"/>
        <v>0</v>
      </c>
      <c r="K42" s="211"/>
    </row>
    <row r="43" spans="2:11" x14ac:dyDescent="0.25">
      <c r="B43" s="463">
        <v>2019</v>
      </c>
      <c r="C43" s="464" t="s">
        <v>698</v>
      </c>
      <c r="D43" s="465"/>
      <c r="E43" s="466"/>
      <c r="F43" s="466"/>
      <c r="G43" s="466"/>
      <c r="H43" s="466"/>
      <c r="I43" s="466"/>
      <c r="J43" s="467"/>
      <c r="K43" s="211"/>
    </row>
    <row r="44" spans="2:11" ht="15.75" thickBot="1" x14ac:dyDescent="0.3">
      <c r="B44" s="468"/>
      <c r="C44" s="469" t="s">
        <v>699</v>
      </c>
      <c r="D44" s="470">
        <f t="shared" ref="D44:J46" si="17">D43/12</f>
        <v>0</v>
      </c>
      <c r="E44" s="471">
        <f t="shared" si="17"/>
        <v>0</v>
      </c>
      <c r="F44" s="471">
        <f t="shared" si="17"/>
        <v>0</v>
      </c>
      <c r="G44" s="471">
        <f t="shared" si="17"/>
        <v>0</v>
      </c>
      <c r="H44" s="471">
        <f t="shared" si="17"/>
        <v>0</v>
      </c>
      <c r="I44" s="471">
        <f t="shared" si="17"/>
        <v>0</v>
      </c>
      <c r="J44" s="472">
        <f t="shared" si="17"/>
        <v>0</v>
      </c>
      <c r="K44" s="211"/>
    </row>
    <row r="45" spans="2:11" x14ac:dyDescent="0.25">
      <c r="B45" s="463">
        <v>2020</v>
      </c>
      <c r="C45" s="464" t="s">
        <v>698</v>
      </c>
      <c r="D45" s="465"/>
      <c r="E45" s="466"/>
      <c r="F45" s="466"/>
      <c r="G45" s="466"/>
      <c r="H45" s="466"/>
      <c r="I45" s="466"/>
      <c r="J45" s="467"/>
      <c r="K45" s="211"/>
    </row>
    <row r="46" spans="2:11" ht="15.75" thickBot="1" x14ac:dyDescent="0.3">
      <c r="B46" s="468"/>
      <c r="C46" s="469" t="s">
        <v>699</v>
      </c>
      <c r="D46" s="470">
        <f t="shared" si="17"/>
        <v>0</v>
      </c>
      <c r="E46" s="471">
        <f t="shared" si="17"/>
        <v>0</v>
      </c>
      <c r="F46" s="471">
        <f t="shared" si="17"/>
        <v>0</v>
      </c>
      <c r="G46" s="471">
        <f t="shared" si="17"/>
        <v>0</v>
      </c>
      <c r="H46" s="471">
        <f t="shared" si="17"/>
        <v>0</v>
      </c>
      <c r="I46" s="471">
        <f t="shared" si="17"/>
        <v>0</v>
      </c>
      <c r="J46" s="472">
        <f t="shared" si="17"/>
        <v>0</v>
      </c>
      <c r="K46" s="211"/>
    </row>
    <row r="47" spans="2:11" x14ac:dyDescent="0.25">
      <c r="B47" s="473" t="s">
        <v>700</v>
      </c>
      <c r="C47" s="474" t="s">
        <v>698</v>
      </c>
      <c r="D47" s="475" t="e">
        <f>AVERAGE(D15,D17,D19,D21,D23,D25,D27,D29,D31,D33,D35,D37,D39,D41,D43,D45)</f>
        <v>#DIV/0!</v>
      </c>
      <c r="E47" s="475" t="e">
        <f t="shared" ref="E47:J47" si="18">AVERAGE(E15,E17,E19,E21,E23,E25,E27,E29,E31,E33,E35,E37,E39,E41,E43,E45)</f>
        <v>#DIV/0!</v>
      </c>
      <c r="F47" s="475" t="e">
        <f t="shared" si="18"/>
        <v>#DIV/0!</v>
      </c>
      <c r="G47" s="475" t="e">
        <f t="shared" si="18"/>
        <v>#DIV/0!</v>
      </c>
      <c r="H47" s="475" t="e">
        <f t="shared" si="18"/>
        <v>#DIV/0!</v>
      </c>
      <c r="I47" s="475" t="e">
        <f t="shared" si="18"/>
        <v>#DIV/0!</v>
      </c>
      <c r="J47" s="475" t="e">
        <f t="shared" si="18"/>
        <v>#DIV/0!</v>
      </c>
      <c r="K47" s="211"/>
    </row>
    <row r="48" spans="2:11" x14ac:dyDescent="0.25">
      <c r="B48" s="476"/>
      <c r="C48" s="477" t="s">
        <v>699</v>
      </c>
      <c r="D48" s="478">
        <f>AVERAGE(D16,D18,D20,D22,D24,D26,D28,D30,D32,D34,D36,D38,D40,D42,D44,D46)</f>
        <v>0</v>
      </c>
      <c r="E48" s="478">
        <f t="shared" ref="E48:J48" si="19">AVERAGE(E16,E18,E20,E22,E24,E26,E28,E30,E32,E34,E36,E38,E40,E42,E44,E46)</f>
        <v>0</v>
      </c>
      <c r="F48" s="478">
        <f t="shared" si="19"/>
        <v>0</v>
      </c>
      <c r="G48" s="478">
        <f t="shared" si="19"/>
        <v>0</v>
      </c>
      <c r="H48" s="478">
        <f t="shared" si="19"/>
        <v>0</v>
      </c>
      <c r="I48" s="478">
        <f t="shared" si="19"/>
        <v>0</v>
      </c>
      <c r="J48" s="478">
        <f t="shared" si="19"/>
        <v>0</v>
      </c>
      <c r="K48" s="211"/>
    </row>
    <row r="49" spans="2:11" x14ac:dyDescent="0.25">
      <c r="B49" s="479" t="s">
        <v>701</v>
      </c>
      <c r="C49" s="480" t="s">
        <v>698</v>
      </c>
      <c r="D49" s="481" t="e">
        <f>STDEV(D15,D17,D19,D21,D23,D25,D27,D29,D31,D33,D35,D37,D39,D41,D43,D46)</f>
        <v>#DIV/0!</v>
      </c>
      <c r="E49" s="481" t="e">
        <f t="shared" ref="E49:J49" si="20">STDEV(E15,E17,E19,E21,E23,E25,E27,E29,E31,E33,E35,E37,E39,E41,E43,E46)</f>
        <v>#DIV/0!</v>
      </c>
      <c r="F49" s="481" t="e">
        <f t="shared" si="20"/>
        <v>#DIV/0!</v>
      </c>
      <c r="G49" s="481" t="e">
        <f t="shared" si="20"/>
        <v>#DIV/0!</v>
      </c>
      <c r="H49" s="481" t="e">
        <f t="shared" si="20"/>
        <v>#DIV/0!</v>
      </c>
      <c r="I49" s="481" t="e">
        <f t="shared" si="20"/>
        <v>#DIV/0!</v>
      </c>
      <c r="J49" s="481" t="e">
        <f t="shared" si="20"/>
        <v>#DIV/0!</v>
      </c>
      <c r="K49" s="211"/>
    </row>
    <row r="50" spans="2:11" x14ac:dyDescent="0.25">
      <c r="B50" s="482" t="s">
        <v>702</v>
      </c>
      <c r="C50" s="480" t="s">
        <v>699</v>
      </c>
      <c r="D50" s="481">
        <f>STDEV(D16,D18,D20,D22,D24,D26,D28,D30,D32,D34,D36,D38,D40,D42,D44,D46)</f>
        <v>0</v>
      </c>
      <c r="E50" s="481">
        <f t="shared" ref="E50:J50" si="21">STDEV(E16,E18,E20,E22,E24,E26,E28,E30,E32,E34,E36,E38,E40,E42,E44,E46)</f>
        <v>0</v>
      </c>
      <c r="F50" s="481">
        <f t="shared" si="21"/>
        <v>0</v>
      </c>
      <c r="G50" s="481">
        <f t="shared" si="21"/>
        <v>0</v>
      </c>
      <c r="H50" s="481">
        <f t="shared" si="21"/>
        <v>0</v>
      </c>
      <c r="I50" s="481">
        <f t="shared" si="21"/>
        <v>0</v>
      </c>
      <c r="J50" s="481">
        <f t="shared" si="21"/>
        <v>0</v>
      </c>
      <c r="K50" s="211"/>
    </row>
    <row r="51" spans="2:11" x14ac:dyDescent="0.25">
      <c r="B51" s="483" t="s">
        <v>703</v>
      </c>
      <c r="C51" s="477" t="s">
        <v>698</v>
      </c>
      <c r="D51" s="478" t="e">
        <f>D47-D49</f>
        <v>#DIV/0!</v>
      </c>
      <c r="E51" s="478" t="e">
        <f t="shared" ref="E51:J52" si="22">E47-E49</f>
        <v>#DIV/0!</v>
      </c>
      <c r="F51" s="478" t="e">
        <f t="shared" si="22"/>
        <v>#DIV/0!</v>
      </c>
      <c r="G51" s="478" t="e">
        <f t="shared" si="22"/>
        <v>#DIV/0!</v>
      </c>
      <c r="H51" s="478" t="e">
        <f t="shared" si="22"/>
        <v>#DIV/0!</v>
      </c>
      <c r="I51" s="478" t="e">
        <f t="shared" si="22"/>
        <v>#DIV/0!</v>
      </c>
      <c r="J51" s="478" t="e">
        <f t="shared" si="22"/>
        <v>#DIV/0!</v>
      </c>
      <c r="K51" s="211"/>
    </row>
    <row r="52" spans="2:11" x14ac:dyDescent="0.25">
      <c r="B52" s="476"/>
      <c r="C52" s="477" t="s">
        <v>699</v>
      </c>
      <c r="D52" s="478">
        <f>D48-D50</f>
        <v>0</v>
      </c>
      <c r="E52" s="478">
        <f t="shared" si="22"/>
        <v>0</v>
      </c>
      <c r="F52" s="478">
        <f t="shared" si="22"/>
        <v>0</v>
      </c>
      <c r="G52" s="478">
        <f t="shared" si="22"/>
        <v>0</v>
      </c>
      <c r="H52" s="478">
        <f t="shared" si="22"/>
        <v>0</v>
      </c>
      <c r="I52" s="478">
        <f t="shared" si="22"/>
        <v>0</v>
      </c>
      <c r="J52" s="478">
        <f t="shared" si="22"/>
        <v>0</v>
      </c>
      <c r="K52" s="211"/>
    </row>
    <row r="53" spans="2:11" x14ac:dyDescent="0.25">
      <c r="B53" s="479" t="s">
        <v>704</v>
      </c>
      <c r="C53" s="480" t="s">
        <v>698</v>
      </c>
      <c r="D53" s="481" t="e">
        <f>D47+D49</f>
        <v>#DIV/0!</v>
      </c>
      <c r="E53" s="481" t="e">
        <f t="shared" ref="E53:J54" si="23">E47+E49</f>
        <v>#DIV/0!</v>
      </c>
      <c r="F53" s="481" t="e">
        <f t="shared" si="23"/>
        <v>#DIV/0!</v>
      </c>
      <c r="G53" s="481" t="e">
        <f t="shared" si="23"/>
        <v>#DIV/0!</v>
      </c>
      <c r="H53" s="481" t="e">
        <f t="shared" si="23"/>
        <v>#DIV/0!</v>
      </c>
      <c r="I53" s="481" t="e">
        <f t="shared" si="23"/>
        <v>#DIV/0!</v>
      </c>
      <c r="J53" s="481" t="e">
        <f t="shared" si="23"/>
        <v>#DIV/0!</v>
      </c>
      <c r="K53" s="211"/>
    </row>
    <row r="54" spans="2:11" ht="15.75" thickBot="1" x14ac:dyDescent="0.3">
      <c r="B54" s="484"/>
      <c r="C54" s="485" t="s">
        <v>699</v>
      </c>
      <c r="D54" s="486">
        <f>D48+D50</f>
        <v>0</v>
      </c>
      <c r="E54" s="486">
        <f t="shared" si="23"/>
        <v>0</v>
      </c>
      <c r="F54" s="486">
        <f t="shared" si="23"/>
        <v>0</v>
      </c>
      <c r="G54" s="486">
        <f t="shared" si="23"/>
        <v>0</v>
      </c>
      <c r="H54" s="486">
        <f t="shared" si="23"/>
        <v>0</v>
      </c>
      <c r="I54" s="486">
        <f t="shared" si="23"/>
        <v>0</v>
      </c>
      <c r="J54" s="486">
        <f t="shared" si="23"/>
        <v>0</v>
      </c>
      <c r="K54" s="211"/>
    </row>
    <row r="55" spans="2:11" x14ac:dyDescent="0.25">
      <c r="B55" s="487" t="s">
        <v>535</v>
      </c>
      <c r="C55" s="446" t="s">
        <v>705</v>
      </c>
      <c r="D55" s="446"/>
      <c r="E55" s="446"/>
      <c r="F55" s="446"/>
      <c r="G55" s="446"/>
      <c r="H55" s="446"/>
      <c r="I55" s="446"/>
      <c r="J55" s="446"/>
      <c r="K55" s="211"/>
    </row>
    <row r="56" spans="2:11" ht="15.75" thickBot="1" x14ac:dyDescent="0.3">
      <c r="B56" s="446"/>
      <c r="C56" s="446"/>
      <c r="D56" s="446"/>
      <c r="E56" s="446"/>
      <c r="F56" s="446"/>
      <c r="G56" s="446"/>
      <c r="H56" s="446"/>
      <c r="I56" s="446"/>
      <c r="J56" s="446"/>
      <c r="K56" s="211"/>
    </row>
    <row r="57" spans="2:11" ht="45.75" thickBot="1" x14ac:dyDescent="0.3">
      <c r="B57" s="488"/>
      <c r="C57" s="452" t="s">
        <v>706</v>
      </c>
      <c r="D57" s="453" t="str">
        <f t="shared" ref="D57:J57" si="24">"FACTOR REAJUSTE DE "&amp;D12</f>
        <v xml:space="preserve">FACTOR REAJUSTE DE </v>
      </c>
      <c r="E57" s="453" t="str">
        <f t="shared" si="24"/>
        <v xml:space="preserve">FACTOR REAJUSTE DE </v>
      </c>
      <c r="F57" s="453" t="str">
        <f t="shared" si="24"/>
        <v xml:space="preserve">FACTOR REAJUSTE DE </v>
      </c>
      <c r="G57" s="453" t="str">
        <f t="shared" si="24"/>
        <v xml:space="preserve">FACTOR REAJUSTE DE </v>
      </c>
      <c r="H57" s="453" t="str">
        <f t="shared" si="24"/>
        <v xml:space="preserve">FACTOR REAJUSTE DE </v>
      </c>
      <c r="I57" s="453" t="str">
        <f t="shared" si="24"/>
        <v xml:space="preserve">FACTOR REAJUSTE DE </v>
      </c>
      <c r="J57" s="451" t="str">
        <f t="shared" si="24"/>
        <v xml:space="preserve">FACTOR REAJUSTE DE </v>
      </c>
      <c r="K57" s="211"/>
    </row>
    <row r="58" spans="2:11" x14ac:dyDescent="0.25">
      <c r="B58" s="489" t="s">
        <v>700</v>
      </c>
      <c r="C58" s="490" t="e">
        <f>SUM(D58:J58)</f>
        <v>#DIV/0!</v>
      </c>
      <c r="D58" s="491" t="e">
        <f>D48*D14/100</f>
        <v>#DIV/0!</v>
      </c>
      <c r="E58" s="491" t="e">
        <f>E48*E14/100</f>
        <v>#DIV/0!</v>
      </c>
      <c r="F58" s="491" t="e">
        <f>F48*F14/100</f>
        <v>#DIV/0!</v>
      </c>
      <c r="G58" s="491" t="e">
        <f t="shared" ref="G58:J58" si="25">G48*G14/100</f>
        <v>#DIV/0!</v>
      </c>
      <c r="H58" s="491" t="e">
        <f t="shared" si="25"/>
        <v>#DIV/0!</v>
      </c>
      <c r="I58" s="491" t="e">
        <f t="shared" si="25"/>
        <v>#DIV/0!</v>
      </c>
      <c r="J58" s="492" t="e">
        <f t="shared" si="25"/>
        <v>#DIV/0!</v>
      </c>
      <c r="K58" s="211"/>
    </row>
    <row r="59" spans="2:11" x14ac:dyDescent="0.25">
      <c r="B59" s="493" t="s">
        <v>703</v>
      </c>
      <c r="C59" s="494" t="e">
        <f>SUM(D59:J59)</f>
        <v>#DIV/0!</v>
      </c>
      <c r="D59" s="495" t="e">
        <f t="shared" ref="D59:J59" si="26">D14*D52/100</f>
        <v>#DIV/0!</v>
      </c>
      <c r="E59" s="495" t="e">
        <f t="shared" si="26"/>
        <v>#DIV/0!</v>
      </c>
      <c r="F59" s="495" t="e">
        <f t="shared" si="26"/>
        <v>#DIV/0!</v>
      </c>
      <c r="G59" s="495" t="e">
        <f t="shared" si="26"/>
        <v>#DIV/0!</v>
      </c>
      <c r="H59" s="495" t="e">
        <f t="shared" si="26"/>
        <v>#DIV/0!</v>
      </c>
      <c r="I59" s="495" t="e">
        <f t="shared" si="26"/>
        <v>#DIV/0!</v>
      </c>
      <c r="J59" s="496" t="e">
        <f t="shared" si="26"/>
        <v>#DIV/0!</v>
      </c>
      <c r="K59" s="211"/>
    </row>
    <row r="60" spans="2:11" ht="15.75" thickBot="1" x14ac:dyDescent="0.3">
      <c r="B60" s="497" t="s">
        <v>704</v>
      </c>
      <c r="C60" s="498" t="e">
        <f>SUM(D60:J60)</f>
        <v>#DIV/0!</v>
      </c>
      <c r="D60" s="499" t="e">
        <f t="shared" ref="D60:J60" si="27">D54*D14/100</f>
        <v>#DIV/0!</v>
      </c>
      <c r="E60" s="499" t="e">
        <f t="shared" si="27"/>
        <v>#DIV/0!</v>
      </c>
      <c r="F60" s="499" t="e">
        <f t="shared" si="27"/>
        <v>#DIV/0!</v>
      </c>
      <c r="G60" s="499" t="e">
        <f t="shared" si="27"/>
        <v>#DIV/0!</v>
      </c>
      <c r="H60" s="499" t="e">
        <f t="shared" si="27"/>
        <v>#DIV/0!</v>
      </c>
      <c r="I60" s="499" t="e">
        <f t="shared" si="27"/>
        <v>#DIV/0!</v>
      </c>
      <c r="J60" s="500" t="e">
        <f t="shared" si="27"/>
        <v>#DIV/0!</v>
      </c>
      <c r="K60" s="211"/>
    </row>
    <row r="61" spans="2:11" x14ac:dyDescent="0.25">
      <c r="B61" s="446"/>
      <c r="C61" s="446"/>
      <c r="D61" s="446"/>
      <c r="E61" s="446"/>
      <c r="F61" s="446"/>
      <c r="G61" s="446"/>
      <c r="H61" s="446"/>
      <c r="I61" s="446"/>
      <c r="J61" s="446"/>
      <c r="K61" s="211"/>
    </row>
    <row r="62" spans="2:11" ht="15.75" thickBot="1" x14ac:dyDescent="0.3">
      <c r="B62" s="446"/>
      <c r="C62" s="446"/>
      <c r="D62" s="446"/>
      <c r="E62" s="446"/>
      <c r="F62" s="446"/>
      <c r="G62" s="446"/>
      <c r="H62" s="446"/>
      <c r="I62" s="446"/>
      <c r="J62" s="446"/>
      <c r="K62" s="211"/>
    </row>
    <row r="63" spans="2:11" x14ac:dyDescent="0.25">
      <c r="B63" s="501" t="s">
        <v>700</v>
      </c>
      <c r="C63" s="502"/>
      <c r="D63" s="502"/>
      <c r="E63" s="503"/>
      <c r="F63" s="446"/>
      <c r="G63" s="446"/>
      <c r="H63" s="446"/>
      <c r="I63" s="446"/>
      <c r="J63" s="446"/>
      <c r="K63" s="211"/>
    </row>
    <row r="64" spans="2:11" ht="15.75" thickBot="1" x14ac:dyDescent="0.3">
      <c r="B64" s="504" t="s">
        <v>707</v>
      </c>
      <c r="C64" s="505" t="s">
        <v>708</v>
      </c>
      <c r="D64" s="505" t="s">
        <v>709</v>
      </c>
      <c r="E64" s="506" t="s">
        <v>710</v>
      </c>
      <c r="F64" s="446"/>
      <c r="G64" s="446"/>
      <c r="H64" s="446"/>
      <c r="I64" s="446"/>
      <c r="J64" s="446"/>
      <c r="K64" s="211"/>
    </row>
    <row r="65" spans="2:11" x14ac:dyDescent="0.25">
      <c r="B65" s="507">
        <v>1</v>
      </c>
      <c r="C65" s="508">
        <f>+'FLUJO DE CAJA'!D14</f>
        <v>125816171</v>
      </c>
      <c r="D65" s="509" t="e">
        <f>$C$58*B65</f>
        <v>#DIV/0!</v>
      </c>
      <c r="E65" s="510" t="e">
        <f>C65*D65</f>
        <v>#DIV/0!</v>
      </c>
      <c r="F65" s="446"/>
      <c r="G65" s="446"/>
      <c r="H65" s="446"/>
      <c r="I65" s="446"/>
      <c r="J65" s="446"/>
      <c r="K65" s="211"/>
    </row>
    <row r="66" spans="2:11" x14ac:dyDescent="0.25">
      <c r="B66" s="511">
        <v>2</v>
      </c>
      <c r="C66" s="512">
        <f>+'FLUJO DE CAJA'!E14</f>
        <v>125816171</v>
      </c>
      <c r="D66" s="495" t="e">
        <f>$C$58*B66</f>
        <v>#DIV/0!</v>
      </c>
      <c r="E66" s="513" t="e">
        <f t="shared" ref="E66:E69" si="28">C66*D66</f>
        <v>#DIV/0!</v>
      </c>
      <c r="F66" s="446"/>
      <c r="G66" s="446"/>
      <c r="H66" s="446"/>
      <c r="I66" s="446"/>
      <c r="J66" s="446"/>
      <c r="K66" s="211"/>
    </row>
    <row r="67" spans="2:11" x14ac:dyDescent="0.25">
      <c r="B67" s="511">
        <v>3</v>
      </c>
      <c r="C67" s="512">
        <f>+'FLUJO DE CAJA'!F14</f>
        <v>0</v>
      </c>
      <c r="D67" s="495" t="e">
        <f>$C$58*B67</f>
        <v>#DIV/0!</v>
      </c>
      <c r="E67" s="513" t="e">
        <f t="shared" si="28"/>
        <v>#DIV/0!</v>
      </c>
      <c r="F67" s="446"/>
      <c r="G67" s="446"/>
      <c r="H67" s="446"/>
      <c r="I67" s="446"/>
      <c r="J67" s="446"/>
      <c r="K67" s="211"/>
    </row>
    <row r="68" spans="2:11" x14ac:dyDescent="0.25">
      <c r="B68" s="511">
        <v>4</v>
      </c>
      <c r="C68" s="512" t="e">
        <f>+'FLUJO DE CAJA'!#REF!</f>
        <v>#REF!</v>
      </c>
      <c r="D68" s="495" t="e">
        <f t="shared" ref="D68:D69" si="29">$C$58*B68</f>
        <v>#DIV/0!</v>
      </c>
      <c r="E68" s="513" t="e">
        <f t="shared" si="28"/>
        <v>#REF!</v>
      </c>
      <c r="F68" s="446"/>
      <c r="G68" s="446"/>
      <c r="H68" s="446"/>
      <c r="I68" s="446"/>
      <c r="J68" s="446"/>
      <c r="K68" s="211"/>
    </row>
    <row r="69" spans="2:11" x14ac:dyDescent="0.25">
      <c r="B69" s="511">
        <v>5</v>
      </c>
      <c r="C69" s="512" t="e">
        <f>+'FLUJO DE CAJA'!#REF!</f>
        <v>#REF!</v>
      </c>
      <c r="D69" s="495" t="e">
        <f t="shared" si="29"/>
        <v>#DIV/0!</v>
      </c>
      <c r="E69" s="513" t="e">
        <f t="shared" si="28"/>
        <v>#REF!</v>
      </c>
      <c r="F69" s="446"/>
      <c r="G69" s="446"/>
      <c r="H69" s="446"/>
      <c r="I69" s="446"/>
      <c r="J69" s="446"/>
      <c r="K69" s="211"/>
    </row>
    <row r="70" spans="2:11" x14ac:dyDescent="0.25">
      <c r="B70" s="511">
        <v>6</v>
      </c>
      <c r="C70" s="512" t="e">
        <f>+'FLUJO DE CAJA'!#REF!</f>
        <v>#REF!</v>
      </c>
      <c r="D70" s="495" t="e">
        <f t="shared" ref="D70:D82" si="30">$C$58*B70</f>
        <v>#DIV/0!</v>
      </c>
      <c r="E70" s="513" t="e">
        <f t="shared" ref="E70:E82" si="31">C70*D70</f>
        <v>#REF!</v>
      </c>
      <c r="F70" s="446"/>
      <c r="G70" s="446"/>
      <c r="H70" s="446"/>
      <c r="I70" s="446"/>
      <c r="J70" s="446"/>
      <c r="K70" s="211"/>
    </row>
    <row r="71" spans="2:11" x14ac:dyDescent="0.25">
      <c r="B71" s="511">
        <v>7</v>
      </c>
      <c r="C71" s="512" t="e">
        <f>+'FLUJO DE CAJA'!#REF!</f>
        <v>#REF!</v>
      </c>
      <c r="D71" s="495" t="e">
        <f t="shared" si="30"/>
        <v>#DIV/0!</v>
      </c>
      <c r="E71" s="513" t="e">
        <f t="shared" si="31"/>
        <v>#REF!</v>
      </c>
      <c r="F71" s="446"/>
      <c r="G71" s="446"/>
      <c r="H71" s="446"/>
      <c r="I71" s="446"/>
      <c r="J71" s="446"/>
      <c r="K71" s="211"/>
    </row>
    <row r="72" spans="2:11" x14ac:dyDescent="0.25">
      <c r="B72" s="511">
        <v>8</v>
      </c>
      <c r="C72" s="512" t="e">
        <f>+'FLUJO DE CAJA'!#REF!</f>
        <v>#REF!</v>
      </c>
      <c r="D72" s="495" t="e">
        <f t="shared" si="30"/>
        <v>#DIV/0!</v>
      </c>
      <c r="E72" s="513" t="e">
        <f t="shared" si="31"/>
        <v>#REF!</v>
      </c>
      <c r="F72" s="446"/>
      <c r="G72" s="446"/>
      <c r="H72" s="446"/>
      <c r="I72" s="446"/>
      <c r="J72" s="446"/>
      <c r="K72" s="211"/>
    </row>
    <row r="73" spans="2:11" x14ac:dyDescent="0.25">
      <c r="B73" s="511">
        <v>9</v>
      </c>
      <c r="C73" s="512" t="e">
        <f>+'FLUJO DE CAJA'!#REF!</f>
        <v>#REF!</v>
      </c>
      <c r="D73" s="495" t="e">
        <f t="shared" si="30"/>
        <v>#DIV/0!</v>
      </c>
      <c r="E73" s="513" t="e">
        <f t="shared" si="31"/>
        <v>#REF!</v>
      </c>
      <c r="F73" s="446"/>
      <c r="G73" s="446"/>
      <c r="H73" s="446"/>
      <c r="I73" s="446"/>
      <c r="J73" s="446"/>
      <c r="K73" s="211"/>
    </row>
    <row r="74" spans="2:11" x14ac:dyDescent="0.25">
      <c r="B74" s="511">
        <v>10</v>
      </c>
      <c r="C74" s="512" t="e">
        <f>+'FLUJO DE CAJA'!#REF!</f>
        <v>#REF!</v>
      </c>
      <c r="D74" s="495" t="e">
        <f t="shared" si="30"/>
        <v>#DIV/0!</v>
      </c>
      <c r="E74" s="513" t="e">
        <f t="shared" si="31"/>
        <v>#REF!</v>
      </c>
      <c r="F74" s="446"/>
      <c r="G74" s="446"/>
      <c r="H74" s="446"/>
      <c r="I74" s="446"/>
      <c r="J74" s="446"/>
      <c r="K74" s="211"/>
    </row>
    <row r="75" spans="2:11" x14ac:dyDescent="0.25">
      <c r="B75" s="511">
        <v>11</v>
      </c>
      <c r="C75" s="512" t="e">
        <f>+'FLUJO DE CAJA'!#REF!</f>
        <v>#REF!</v>
      </c>
      <c r="D75" s="495" t="e">
        <f t="shared" si="30"/>
        <v>#DIV/0!</v>
      </c>
      <c r="E75" s="513" t="e">
        <f t="shared" si="31"/>
        <v>#REF!</v>
      </c>
      <c r="F75" s="446"/>
      <c r="G75" s="446"/>
      <c r="H75" s="446"/>
      <c r="I75" s="446"/>
      <c r="J75" s="446"/>
      <c r="K75" s="211"/>
    </row>
    <row r="76" spans="2:11" x14ac:dyDescent="0.25">
      <c r="B76" s="511">
        <v>12</v>
      </c>
      <c r="C76" s="512" t="e">
        <f>+'FLUJO DE CAJA'!#REF!</f>
        <v>#REF!</v>
      </c>
      <c r="D76" s="495" t="e">
        <f t="shared" si="30"/>
        <v>#DIV/0!</v>
      </c>
      <c r="E76" s="513" t="e">
        <f t="shared" si="31"/>
        <v>#REF!</v>
      </c>
      <c r="F76" s="446"/>
      <c r="G76" s="446"/>
      <c r="H76" s="446"/>
      <c r="I76" s="446"/>
      <c r="J76" s="446"/>
      <c r="K76" s="211"/>
    </row>
    <row r="77" spans="2:11" x14ac:dyDescent="0.25">
      <c r="B77" s="511">
        <v>13</v>
      </c>
      <c r="C77" s="512" t="e">
        <f>+'FLUJO DE CAJA'!#REF!</f>
        <v>#REF!</v>
      </c>
      <c r="D77" s="495" t="e">
        <f t="shared" si="30"/>
        <v>#DIV/0!</v>
      </c>
      <c r="E77" s="513" t="e">
        <f t="shared" si="31"/>
        <v>#REF!</v>
      </c>
      <c r="F77" s="446"/>
      <c r="G77" s="446"/>
      <c r="H77" s="446"/>
      <c r="I77" s="446"/>
      <c r="J77" s="446"/>
      <c r="K77" s="211"/>
    </row>
    <row r="78" spans="2:11" x14ac:dyDescent="0.25">
      <c r="B78" s="511">
        <v>14</v>
      </c>
      <c r="C78" s="512" t="e">
        <f>+'FLUJO DE CAJA'!#REF!</f>
        <v>#REF!</v>
      </c>
      <c r="D78" s="495" t="e">
        <f t="shared" si="30"/>
        <v>#DIV/0!</v>
      </c>
      <c r="E78" s="513" t="e">
        <f t="shared" si="31"/>
        <v>#REF!</v>
      </c>
      <c r="F78" s="446"/>
      <c r="G78" s="446"/>
      <c r="H78" s="446"/>
      <c r="I78" s="446"/>
      <c r="J78" s="446"/>
      <c r="K78" s="211"/>
    </row>
    <row r="79" spans="2:11" x14ac:dyDescent="0.25">
      <c r="B79" s="511">
        <v>15</v>
      </c>
      <c r="C79" s="512" t="e">
        <f>+'FLUJO DE CAJA'!#REF!</f>
        <v>#REF!</v>
      </c>
      <c r="D79" s="495" t="e">
        <f t="shared" si="30"/>
        <v>#DIV/0!</v>
      </c>
      <c r="E79" s="513" t="e">
        <f t="shared" si="31"/>
        <v>#REF!</v>
      </c>
      <c r="F79" s="446"/>
      <c r="G79" s="446"/>
      <c r="H79" s="446"/>
      <c r="I79" s="446"/>
      <c r="J79" s="446"/>
      <c r="K79" s="211"/>
    </row>
    <row r="80" spans="2:11" x14ac:dyDescent="0.25">
      <c r="B80" s="511">
        <v>16</v>
      </c>
      <c r="C80" s="512" t="e">
        <f>+'FLUJO DE CAJA'!#REF!</f>
        <v>#REF!</v>
      </c>
      <c r="D80" s="495" t="e">
        <f t="shared" si="30"/>
        <v>#DIV/0!</v>
      </c>
      <c r="E80" s="513" t="e">
        <f t="shared" si="31"/>
        <v>#REF!</v>
      </c>
      <c r="F80" s="446"/>
      <c r="G80" s="446"/>
      <c r="H80" s="446"/>
      <c r="I80" s="446"/>
      <c r="J80" s="446"/>
      <c r="K80" s="211"/>
    </row>
    <row r="81" spans="2:11" x14ac:dyDescent="0.25">
      <c r="B81" s="511">
        <v>17</v>
      </c>
      <c r="C81" s="512" t="e">
        <f>+'FLUJO DE CAJA'!#REF!</f>
        <v>#REF!</v>
      </c>
      <c r="D81" s="495" t="e">
        <f t="shared" si="30"/>
        <v>#DIV/0!</v>
      </c>
      <c r="E81" s="513" t="e">
        <f t="shared" si="31"/>
        <v>#REF!</v>
      </c>
      <c r="F81" s="446"/>
      <c r="G81" s="446"/>
      <c r="H81" s="446"/>
      <c r="I81" s="446"/>
      <c r="J81" s="446"/>
      <c r="K81" s="211"/>
    </row>
    <row r="82" spans="2:11" x14ac:dyDescent="0.25">
      <c r="B82" s="511">
        <v>18</v>
      </c>
      <c r="C82" s="512" t="e">
        <f>+'FLUJO DE CAJA'!#REF!</f>
        <v>#REF!</v>
      </c>
      <c r="D82" s="495" t="e">
        <f t="shared" si="30"/>
        <v>#DIV/0!</v>
      </c>
      <c r="E82" s="513" t="e">
        <f t="shared" si="31"/>
        <v>#REF!</v>
      </c>
      <c r="F82" s="446"/>
      <c r="G82" s="446"/>
      <c r="H82" s="446"/>
      <c r="I82" s="446"/>
      <c r="J82" s="446"/>
      <c r="K82" s="211"/>
    </row>
    <row r="83" spans="2:11" x14ac:dyDescent="0.25">
      <c r="B83" s="516" t="s">
        <v>711</v>
      </c>
      <c r="C83" s="517" t="e">
        <f>SUM(C65:C82)</f>
        <v>#REF!</v>
      </c>
      <c r="D83" s="518"/>
      <c r="E83" s="519" t="e">
        <f>SUM(E65:E82)</f>
        <v>#DIV/0!</v>
      </c>
      <c r="F83" s="446"/>
      <c r="G83" s="446"/>
      <c r="H83" s="446"/>
      <c r="I83" s="446"/>
      <c r="J83" s="446"/>
      <c r="K83" s="211"/>
    </row>
    <row r="84" spans="2:11" x14ac:dyDescent="0.25">
      <c r="B84" s="520" t="s">
        <v>712</v>
      </c>
      <c r="C84" s="521"/>
      <c r="D84" s="522"/>
      <c r="E84" s="523" t="e">
        <f>+#REF!</f>
        <v>#REF!</v>
      </c>
      <c r="F84" s="446"/>
      <c r="G84" s="446"/>
      <c r="H84" s="446"/>
      <c r="I84" s="446"/>
      <c r="J84" s="446"/>
      <c r="K84" s="211"/>
    </row>
    <row r="85" spans="2:11" ht="15.75" thickBot="1" x14ac:dyDescent="0.3">
      <c r="B85" s="524" t="s">
        <v>713</v>
      </c>
      <c r="C85" s="525"/>
      <c r="D85" s="526"/>
      <c r="E85" s="527" t="e">
        <f>IF(E83/E84&lt;0.02,0.02,E83/E84)</f>
        <v>#DIV/0!</v>
      </c>
      <c r="F85" s="446"/>
      <c r="G85" s="446"/>
      <c r="H85" s="446"/>
      <c r="I85" s="446"/>
      <c r="J85" s="446"/>
      <c r="K85" s="211"/>
    </row>
    <row r="86" spans="2:11" ht="15.75" thickBot="1" x14ac:dyDescent="0.3">
      <c r="B86" s="446"/>
      <c r="C86" s="446"/>
      <c r="D86" s="446"/>
      <c r="E86" s="446"/>
      <c r="F86" s="446"/>
      <c r="G86" s="446"/>
      <c r="H86" s="446"/>
      <c r="I86" s="446"/>
      <c r="J86" s="446"/>
      <c r="K86" s="211"/>
    </row>
    <row r="87" spans="2:11" x14ac:dyDescent="0.25">
      <c r="B87" s="501" t="s">
        <v>703</v>
      </c>
      <c r="C87" s="502"/>
      <c r="D87" s="502"/>
      <c r="E87" s="503"/>
      <c r="F87" s="446"/>
      <c r="G87" s="446"/>
      <c r="H87" s="446"/>
      <c r="I87" s="446"/>
      <c r="J87" s="446"/>
      <c r="K87" s="211"/>
    </row>
    <row r="88" spans="2:11" ht="15.75" thickBot="1" x14ac:dyDescent="0.3">
      <c r="B88" s="504" t="s">
        <v>707</v>
      </c>
      <c r="C88" s="505" t="s">
        <v>708</v>
      </c>
      <c r="D88" s="505" t="s">
        <v>709</v>
      </c>
      <c r="E88" s="506" t="s">
        <v>710</v>
      </c>
      <c r="F88" s="446"/>
      <c r="G88" s="446"/>
      <c r="H88" s="446"/>
      <c r="I88" s="446"/>
      <c r="J88" s="446"/>
      <c r="K88" s="211"/>
    </row>
    <row r="89" spans="2:11" x14ac:dyDescent="0.25">
      <c r="B89" s="507">
        <v>1</v>
      </c>
      <c r="C89" s="508">
        <f t="shared" ref="C89:C106" si="32">C65</f>
        <v>125816171</v>
      </c>
      <c r="D89" s="509" t="e">
        <f>$C$59*B89</f>
        <v>#DIV/0!</v>
      </c>
      <c r="E89" s="528" t="e">
        <f t="shared" ref="E89:E93" si="33">C89*D89</f>
        <v>#DIV/0!</v>
      </c>
      <c r="F89" s="446"/>
      <c r="G89" s="446"/>
      <c r="H89" s="446"/>
      <c r="I89" s="446"/>
      <c r="J89" s="446"/>
      <c r="K89" s="211"/>
    </row>
    <row r="90" spans="2:11" x14ac:dyDescent="0.25">
      <c r="B90" s="511">
        <v>2</v>
      </c>
      <c r="C90" s="512">
        <f t="shared" si="32"/>
        <v>125816171</v>
      </c>
      <c r="D90" s="495" t="e">
        <f t="shared" ref="D90:D93" si="34">$C$59*B90</f>
        <v>#DIV/0!</v>
      </c>
      <c r="E90" s="529" t="e">
        <f t="shared" si="33"/>
        <v>#DIV/0!</v>
      </c>
      <c r="F90" s="446"/>
      <c r="G90" s="446"/>
      <c r="H90" s="446"/>
      <c r="I90" s="446"/>
      <c r="J90" s="446"/>
      <c r="K90" s="211"/>
    </row>
    <row r="91" spans="2:11" x14ac:dyDescent="0.25">
      <c r="B91" s="511">
        <v>3</v>
      </c>
      <c r="C91" s="512">
        <f t="shared" si="32"/>
        <v>0</v>
      </c>
      <c r="D91" s="495" t="e">
        <f t="shared" si="34"/>
        <v>#DIV/0!</v>
      </c>
      <c r="E91" s="529" t="e">
        <f t="shared" si="33"/>
        <v>#DIV/0!</v>
      </c>
      <c r="F91" s="446"/>
      <c r="G91" s="446"/>
      <c r="H91" s="446"/>
      <c r="I91" s="446"/>
      <c r="J91" s="446"/>
      <c r="K91" s="211"/>
    </row>
    <row r="92" spans="2:11" x14ac:dyDescent="0.25">
      <c r="B92" s="511">
        <v>4</v>
      </c>
      <c r="C92" s="512" t="e">
        <f t="shared" si="32"/>
        <v>#REF!</v>
      </c>
      <c r="D92" s="495" t="e">
        <f t="shared" si="34"/>
        <v>#DIV/0!</v>
      </c>
      <c r="E92" s="529" t="e">
        <f t="shared" si="33"/>
        <v>#REF!</v>
      </c>
      <c r="F92" s="446"/>
      <c r="G92" s="446"/>
      <c r="H92" s="446"/>
      <c r="I92" s="446"/>
      <c r="J92" s="446"/>
      <c r="K92" s="211"/>
    </row>
    <row r="93" spans="2:11" x14ac:dyDescent="0.25">
      <c r="B93" s="511">
        <v>5</v>
      </c>
      <c r="C93" s="512" t="e">
        <f t="shared" si="32"/>
        <v>#REF!</v>
      </c>
      <c r="D93" s="495" t="e">
        <f t="shared" si="34"/>
        <v>#DIV/0!</v>
      </c>
      <c r="E93" s="529" t="e">
        <f t="shared" si="33"/>
        <v>#REF!</v>
      </c>
      <c r="F93" s="446"/>
      <c r="G93" s="446"/>
      <c r="H93" s="446"/>
      <c r="I93" s="446"/>
      <c r="J93" s="446"/>
      <c r="K93" s="211"/>
    </row>
    <row r="94" spans="2:11" x14ac:dyDescent="0.25">
      <c r="B94" s="511">
        <v>6</v>
      </c>
      <c r="C94" s="512" t="e">
        <f t="shared" si="32"/>
        <v>#REF!</v>
      </c>
      <c r="D94" s="495" t="e">
        <f t="shared" ref="D94:D107" si="35">$C$59*B94</f>
        <v>#DIV/0!</v>
      </c>
      <c r="E94" s="529" t="e">
        <f t="shared" ref="E94:E107" si="36">C94*D94</f>
        <v>#REF!</v>
      </c>
      <c r="F94" s="446"/>
      <c r="G94" s="446"/>
      <c r="H94" s="446"/>
      <c r="I94" s="446"/>
      <c r="J94" s="446"/>
      <c r="K94" s="211"/>
    </row>
    <row r="95" spans="2:11" x14ac:dyDescent="0.25">
      <c r="B95" s="511">
        <v>7</v>
      </c>
      <c r="C95" s="512" t="e">
        <f t="shared" si="32"/>
        <v>#REF!</v>
      </c>
      <c r="D95" s="495" t="e">
        <f t="shared" si="35"/>
        <v>#DIV/0!</v>
      </c>
      <c r="E95" s="529" t="e">
        <f t="shared" si="36"/>
        <v>#REF!</v>
      </c>
      <c r="F95" s="446"/>
      <c r="G95" s="446"/>
      <c r="H95" s="446"/>
      <c r="I95" s="446"/>
      <c r="J95" s="446"/>
      <c r="K95" s="211"/>
    </row>
    <row r="96" spans="2:11" x14ac:dyDescent="0.25">
      <c r="B96" s="511">
        <v>8</v>
      </c>
      <c r="C96" s="512" t="e">
        <f t="shared" si="32"/>
        <v>#REF!</v>
      </c>
      <c r="D96" s="495" t="e">
        <f t="shared" si="35"/>
        <v>#DIV/0!</v>
      </c>
      <c r="E96" s="529" t="e">
        <f t="shared" si="36"/>
        <v>#REF!</v>
      </c>
      <c r="F96" s="446"/>
      <c r="G96" s="446"/>
      <c r="H96" s="446"/>
      <c r="I96" s="446"/>
      <c r="J96" s="446"/>
      <c r="K96" s="211"/>
    </row>
    <row r="97" spans="2:11" x14ac:dyDescent="0.25">
      <c r="B97" s="511">
        <v>9</v>
      </c>
      <c r="C97" s="512" t="e">
        <f t="shared" si="32"/>
        <v>#REF!</v>
      </c>
      <c r="D97" s="495" t="e">
        <f t="shared" si="35"/>
        <v>#DIV/0!</v>
      </c>
      <c r="E97" s="529" t="e">
        <f t="shared" si="36"/>
        <v>#REF!</v>
      </c>
      <c r="F97" s="446"/>
      <c r="G97" s="446"/>
      <c r="H97" s="446"/>
      <c r="I97" s="446"/>
      <c r="J97" s="446"/>
      <c r="K97" s="211"/>
    </row>
    <row r="98" spans="2:11" x14ac:dyDescent="0.25">
      <c r="B98" s="511">
        <v>10</v>
      </c>
      <c r="C98" s="512" t="e">
        <f t="shared" si="32"/>
        <v>#REF!</v>
      </c>
      <c r="D98" s="495" t="e">
        <f t="shared" si="35"/>
        <v>#DIV/0!</v>
      </c>
      <c r="E98" s="529" t="e">
        <f t="shared" si="36"/>
        <v>#REF!</v>
      </c>
      <c r="F98" s="446"/>
      <c r="G98" s="446"/>
      <c r="H98" s="446"/>
      <c r="I98" s="446"/>
      <c r="J98" s="446"/>
      <c r="K98" s="211"/>
    </row>
    <row r="99" spans="2:11" x14ac:dyDescent="0.25">
      <c r="B99" s="511">
        <v>11</v>
      </c>
      <c r="C99" s="512" t="e">
        <f t="shared" si="32"/>
        <v>#REF!</v>
      </c>
      <c r="D99" s="495" t="e">
        <f t="shared" si="35"/>
        <v>#DIV/0!</v>
      </c>
      <c r="E99" s="529" t="e">
        <f t="shared" si="36"/>
        <v>#REF!</v>
      </c>
      <c r="F99" s="446"/>
      <c r="G99" s="446"/>
      <c r="H99" s="446"/>
      <c r="I99" s="446"/>
      <c r="J99" s="446"/>
      <c r="K99" s="211"/>
    </row>
    <row r="100" spans="2:11" x14ac:dyDescent="0.25">
      <c r="B100" s="511">
        <v>12</v>
      </c>
      <c r="C100" s="512" t="e">
        <f t="shared" si="32"/>
        <v>#REF!</v>
      </c>
      <c r="D100" s="495" t="e">
        <f t="shared" si="35"/>
        <v>#DIV/0!</v>
      </c>
      <c r="E100" s="529" t="e">
        <f t="shared" si="36"/>
        <v>#REF!</v>
      </c>
      <c r="F100" s="446"/>
      <c r="G100" s="446"/>
      <c r="H100" s="446"/>
      <c r="I100" s="446"/>
      <c r="J100" s="446"/>
      <c r="K100" s="211"/>
    </row>
    <row r="101" spans="2:11" x14ac:dyDescent="0.25">
      <c r="B101" s="511">
        <v>13</v>
      </c>
      <c r="C101" s="512" t="e">
        <f t="shared" si="32"/>
        <v>#REF!</v>
      </c>
      <c r="D101" s="495" t="e">
        <f t="shared" si="35"/>
        <v>#DIV/0!</v>
      </c>
      <c r="E101" s="529" t="e">
        <f t="shared" si="36"/>
        <v>#REF!</v>
      </c>
      <c r="F101" s="446"/>
      <c r="G101" s="446"/>
      <c r="H101" s="446"/>
      <c r="I101" s="446"/>
      <c r="J101" s="446"/>
      <c r="K101" s="211"/>
    </row>
    <row r="102" spans="2:11" x14ac:dyDescent="0.25">
      <c r="B102" s="511">
        <v>14</v>
      </c>
      <c r="C102" s="512" t="e">
        <f t="shared" si="32"/>
        <v>#REF!</v>
      </c>
      <c r="D102" s="495" t="e">
        <f t="shared" si="35"/>
        <v>#DIV/0!</v>
      </c>
      <c r="E102" s="529" t="e">
        <f t="shared" si="36"/>
        <v>#REF!</v>
      </c>
      <c r="F102" s="446"/>
      <c r="G102" s="446"/>
      <c r="H102" s="446"/>
      <c r="I102" s="446"/>
      <c r="J102" s="446"/>
      <c r="K102" s="211"/>
    </row>
    <row r="103" spans="2:11" x14ac:dyDescent="0.25">
      <c r="B103" s="511">
        <v>15</v>
      </c>
      <c r="C103" s="512" t="e">
        <f t="shared" si="32"/>
        <v>#REF!</v>
      </c>
      <c r="D103" s="495" t="e">
        <f t="shared" si="35"/>
        <v>#DIV/0!</v>
      </c>
      <c r="E103" s="529" t="e">
        <f t="shared" si="36"/>
        <v>#REF!</v>
      </c>
      <c r="F103" s="446"/>
      <c r="G103" s="446"/>
      <c r="H103" s="446"/>
      <c r="I103" s="446"/>
      <c r="J103" s="446"/>
      <c r="K103" s="211"/>
    </row>
    <row r="104" spans="2:11" x14ac:dyDescent="0.25">
      <c r="B104" s="511">
        <v>16</v>
      </c>
      <c r="C104" s="512" t="e">
        <f t="shared" si="32"/>
        <v>#REF!</v>
      </c>
      <c r="D104" s="495" t="e">
        <f t="shared" si="35"/>
        <v>#DIV/0!</v>
      </c>
      <c r="E104" s="529" t="e">
        <f t="shared" si="36"/>
        <v>#REF!</v>
      </c>
      <c r="F104" s="446"/>
      <c r="G104" s="446"/>
      <c r="H104" s="446"/>
      <c r="I104" s="446"/>
      <c r="J104" s="446"/>
      <c r="K104" s="211"/>
    </row>
    <row r="105" spans="2:11" x14ac:dyDescent="0.25">
      <c r="B105" s="511">
        <v>17</v>
      </c>
      <c r="C105" s="512" t="e">
        <f t="shared" si="32"/>
        <v>#REF!</v>
      </c>
      <c r="D105" s="495" t="e">
        <f t="shared" si="35"/>
        <v>#DIV/0!</v>
      </c>
      <c r="E105" s="529" t="e">
        <f t="shared" si="36"/>
        <v>#REF!</v>
      </c>
      <c r="F105" s="446"/>
      <c r="G105" s="446"/>
      <c r="H105" s="446"/>
      <c r="I105" s="446"/>
      <c r="J105" s="446"/>
      <c r="K105" s="211"/>
    </row>
    <row r="106" spans="2:11" x14ac:dyDescent="0.25">
      <c r="B106" s="511">
        <v>18</v>
      </c>
      <c r="C106" s="512" t="e">
        <f t="shared" si="32"/>
        <v>#REF!</v>
      </c>
      <c r="D106" s="495" t="e">
        <f t="shared" si="35"/>
        <v>#DIV/0!</v>
      </c>
      <c r="E106" s="529" t="e">
        <f t="shared" si="36"/>
        <v>#REF!</v>
      </c>
      <c r="F106" s="446"/>
      <c r="G106" s="446"/>
      <c r="H106" s="446"/>
      <c r="I106" s="446"/>
      <c r="J106" s="446"/>
      <c r="K106" s="211"/>
    </row>
    <row r="107" spans="2:11" ht="15.75" thickBot="1" x14ac:dyDescent="0.3">
      <c r="B107" s="514">
        <v>19</v>
      </c>
      <c r="C107" s="515" t="e">
        <f>#REF!</f>
        <v>#REF!</v>
      </c>
      <c r="D107" s="499" t="e">
        <f t="shared" si="35"/>
        <v>#DIV/0!</v>
      </c>
      <c r="E107" s="530" t="e">
        <f t="shared" si="36"/>
        <v>#REF!</v>
      </c>
      <c r="F107" s="446"/>
      <c r="G107" s="446"/>
      <c r="H107" s="446"/>
      <c r="I107" s="446"/>
      <c r="J107" s="446"/>
      <c r="K107" s="211"/>
    </row>
    <row r="108" spans="2:11" x14ac:dyDescent="0.25">
      <c r="B108" s="516" t="s">
        <v>711</v>
      </c>
      <c r="C108" s="517" t="e">
        <f>SUM(C89:C107)</f>
        <v>#REF!</v>
      </c>
      <c r="D108" s="518"/>
      <c r="E108" s="519" t="e">
        <f>SUM(E89:E107)</f>
        <v>#DIV/0!</v>
      </c>
      <c r="F108" s="446"/>
      <c r="G108" s="446"/>
      <c r="H108" s="446"/>
      <c r="I108" s="446"/>
      <c r="J108" s="446"/>
      <c r="K108" s="211"/>
    </row>
    <row r="109" spans="2:11" x14ac:dyDescent="0.25">
      <c r="B109" s="520" t="s">
        <v>712</v>
      </c>
      <c r="C109" s="521"/>
      <c r="D109" s="522"/>
      <c r="E109" s="523" t="e">
        <f>+E84</f>
        <v>#REF!</v>
      </c>
      <c r="F109" s="446"/>
      <c r="G109" s="446"/>
      <c r="H109" s="446"/>
      <c r="I109" s="446"/>
      <c r="J109" s="446"/>
      <c r="K109" s="211"/>
    </row>
    <row r="110" spans="2:11" ht="15.75" thickBot="1" x14ac:dyDescent="0.3">
      <c r="B110" s="524" t="s">
        <v>713</v>
      </c>
      <c r="C110" s="525"/>
      <c r="D110" s="526"/>
      <c r="E110" s="527" t="e">
        <f>E108/E109</f>
        <v>#DIV/0!</v>
      </c>
      <c r="F110" s="446"/>
      <c r="G110" s="446"/>
      <c r="H110" s="446"/>
      <c r="I110" s="446"/>
      <c r="J110" s="446"/>
      <c r="K110" s="211"/>
    </row>
    <row r="111" spans="2:11" ht="15.75" thickBot="1" x14ac:dyDescent="0.3">
      <c r="B111" s="446"/>
      <c r="C111" s="446"/>
      <c r="D111" s="446"/>
      <c r="E111" s="446"/>
      <c r="F111" s="446"/>
      <c r="G111" s="446"/>
      <c r="H111" s="446"/>
      <c r="I111" s="446"/>
      <c r="J111" s="446"/>
      <c r="K111" s="211"/>
    </row>
    <row r="112" spans="2:11" x14ac:dyDescent="0.25">
      <c r="B112" s="501" t="s">
        <v>704</v>
      </c>
      <c r="C112" s="502"/>
      <c r="D112" s="502"/>
      <c r="E112" s="503"/>
      <c r="F112" s="446"/>
      <c r="G112" s="446"/>
      <c r="H112" s="446"/>
      <c r="I112" s="446"/>
      <c r="J112" s="446"/>
      <c r="K112" s="211"/>
    </row>
    <row r="113" spans="2:11" ht="15.75" thickBot="1" x14ac:dyDescent="0.3">
      <c r="B113" s="504" t="s">
        <v>707</v>
      </c>
      <c r="C113" s="505" t="s">
        <v>708</v>
      </c>
      <c r="D113" s="505" t="s">
        <v>709</v>
      </c>
      <c r="E113" s="506" t="s">
        <v>710</v>
      </c>
      <c r="F113" s="446"/>
      <c r="G113" s="446"/>
      <c r="H113" s="446"/>
      <c r="I113" s="446"/>
      <c r="J113" s="446"/>
      <c r="K113" s="211"/>
    </row>
    <row r="114" spans="2:11" x14ac:dyDescent="0.25">
      <c r="B114" s="507">
        <v>1</v>
      </c>
      <c r="C114" s="508">
        <f t="shared" ref="C114:C132" si="37">C89</f>
        <v>125816171</v>
      </c>
      <c r="D114" s="531" t="e">
        <f>$C$60*B114</f>
        <v>#DIV/0!</v>
      </c>
      <c r="E114" s="528" t="e">
        <f t="shared" ref="E114:E118" si="38">C114*D114</f>
        <v>#DIV/0!</v>
      </c>
      <c r="F114" s="446"/>
      <c r="G114" s="446"/>
      <c r="H114" s="446"/>
      <c r="I114" s="446"/>
      <c r="J114" s="446"/>
      <c r="K114" s="211"/>
    </row>
    <row r="115" spans="2:11" x14ac:dyDescent="0.25">
      <c r="B115" s="511">
        <v>2</v>
      </c>
      <c r="C115" s="512">
        <f t="shared" si="37"/>
        <v>125816171</v>
      </c>
      <c r="D115" s="532" t="e">
        <f t="shared" ref="D115:D118" si="39">$C$60*B115</f>
        <v>#DIV/0!</v>
      </c>
      <c r="E115" s="529" t="e">
        <f t="shared" si="38"/>
        <v>#DIV/0!</v>
      </c>
      <c r="F115" s="446"/>
      <c r="G115" s="446"/>
      <c r="H115" s="446"/>
      <c r="I115" s="446"/>
      <c r="J115" s="446"/>
      <c r="K115" s="211"/>
    </row>
    <row r="116" spans="2:11" x14ac:dyDescent="0.25">
      <c r="B116" s="511">
        <v>3</v>
      </c>
      <c r="C116" s="512">
        <f t="shared" si="37"/>
        <v>0</v>
      </c>
      <c r="D116" s="532" t="e">
        <f t="shared" si="39"/>
        <v>#DIV/0!</v>
      </c>
      <c r="E116" s="529" t="e">
        <f t="shared" si="38"/>
        <v>#DIV/0!</v>
      </c>
      <c r="F116" s="446"/>
      <c r="G116" s="446"/>
      <c r="H116" s="446"/>
      <c r="I116" s="446"/>
      <c r="J116" s="446"/>
      <c r="K116" s="211"/>
    </row>
    <row r="117" spans="2:11" x14ac:dyDescent="0.25">
      <c r="B117" s="511">
        <v>4</v>
      </c>
      <c r="C117" s="512" t="e">
        <f t="shared" si="37"/>
        <v>#REF!</v>
      </c>
      <c r="D117" s="532" t="e">
        <f t="shared" si="39"/>
        <v>#DIV/0!</v>
      </c>
      <c r="E117" s="529" t="e">
        <f t="shared" si="38"/>
        <v>#REF!</v>
      </c>
      <c r="F117" s="446"/>
      <c r="G117" s="446"/>
      <c r="H117" s="446"/>
      <c r="I117" s="446"/>
      <c r="J117" s="446"/>
      <c r="K117" s="211"/>
    </row>
    <row r="118" spans="2:11" x14ac:dyDescent="0.25">
      <c r="B118" s="511">
        <v>5</v>
      </c>
      <c r="C118" s="512" t="e">
        <f t="shared" si="37"/>
        <v>#REF!</v>
      </c>
      <c r="D118" s="532" t="e">
        <f t="shared" si="39"/>
        <v>#DIV/0!</v>
      </c>
      <c r="E118" s="529" t="e">
        <f t="shared" si="38"/>
        <v>#REF!</v>
      </c>
      <c r="F118" s="446"/>
      <c r="G118" s="446"/>
      <c r="H118" s="446"/>
      <c r="I118" s="446"/>
      <c r="J118" s="446"/>
      <c r="K118" s="211"/>
    </row>
    <row r="119" spans="2:11" x14ac:dyDescent="0.25">
      <c r="B119" s="511">
        <v>6</v>
      </c>
      <c r="C119" s="512" t="e">
        <f t="shared" si="37"/>
        <v>#REF!</v>
      </c>
      <c r="D119" s="532" t="e">
        <f t="shared" ref="D119:D132" si="40">$C$60*B119</f>
        <v>#DIV/0!</v>
      </c>
      <c r="E119" s="529" t="e">
        <f t="shared" ref="E119:E132" si="41">C119*D119</f>
        <v>#REF!</v>
      </c>
      <c r="F119" s="446"/>
      <c r="G119" s="446"/>
      <c r="H119" s="446"/>
      <c r="I119" s="446"/>
      <c r="J119" s="446"/>
      <c r="K119" s="211"/>
    </row>
    <row r="120" spans="2:11" x14ac:dyDescent="0.25">
      <c r="B120" s="511">
        <v>7</v>
      </c>
      <c r="C120" s="512" t="e">
        <f t="shared" si="37"/>
        <v>#REF!</v>
      </c>
      <c r="D120" s="532" t="e">
        <f t="shared" si="40"/>
        <v>#DIV/0!</v>
      </c>
      <c r="E120" s="529" t="e">
        <f t="shared" si="41"/>
        <v>#REF!</v>
      </c>
      <c r="F120" s="446"/>
      <c r="G120" s="446"/>
      <c r="H120" s="446"/>
      <c r="I120" s="446"/>
      <c r="J120" s="446"/>
      <c r="K120" s="211"/>
    </row>
    <row r="121" spans="2:11" x14ac:dyDescent="0.25">
      <c r="B121" s="511">
        <v>8</v>
      </c>
      <c r="C121" s="512" t="e">
        <f t="shared" si="37"/>
        <v>#REF!</v>
      </c>
      <c r="D121" s="532" t="e">
        <f t="shared" si="40"/>
        <v>#DIV/0!</v>
      </c>
      <c r="E121" s="529" t="e">
        <f t="shared" si="41"/>
        <v>#REF!</v>
      </c>
      <c r="F121" s="446"/>
      <c r="G121" s="446"/>
      <c r="H121" s="446"/>
      <c r="I121" s="446"/>
      <c r="J121" s="446"/>
      <c r="K121" s="211"/>
    </row>
    <row r="122" spans="2:11" x14ac:dyDescent="0.25">
      <c r="B122" s="511">
        <v>9</v>
      </c>
      <c r="C122" s="512" t="e">
        <f t="shared" si="37"/>
        <v>#REF!</v>
      </c>
      <c r="D122" s="532" t="e">
        <f t="shared" si="40"/>
        <v>#DIV/0!</v>
      </c>
      <c r="E122" s="529" t="e">
        <f t="shared" si="41"/>
        <v>#REF!</v>
      </c>
      <c r="F122" s="446"/>
      <c r="G122" s="446"/>
      <c r="H122" s="446"/>
      <c r="I122" s="446"/>
      <c r="J122" s="446"/>
      <c r="K122" s="211"/>
    </row>
    <row r="123" spans="2:11" x14ac:dyDescent="0.25">
      <c r="B123" s="511">
        <v>10</v>
      </c>
      <c r="C123" s="512" t="e">
        <f t="shared" si="37"/>
        <v>#REF!</v>
      </c>
      <c r="D123" s="532" t="e">
        <f t="shared" si="40"/>
        <v>#DIV/0!</v>
      </c>
      <c r="E123" s="529" t="e">
        <f t="shared" si="41"/>
        <v>#REF!</v>
      </c>
      <c r="F123" s="446"/>
      <c r="G123" s="446"/>
      <c r="H123" s="446"/>
      <c r="I123" s="446"/>
      <c r="J123" s="446"/>
      <c r="K123" s="211"/>
    </row>
    <row r="124" spans="2:11" x14ac:dyDescent="0.25">
      <c r="B124" s="511">
        <v>11</v>
      </c>
      <c r="C124" s="512" t="e">
        <f t="shared" si="37"/>
        <v>#REF!</v>
      </c>
      <c r="D124" s="532" t="e">
        <f t="shared" si="40"/>
        <v>#DIV/0!</v>
      </c>
      <c r="E124" s="529" t="e">
        <f t="shared" si="41"/>
        <v>#REF!</v>
      </c>
      <c r="F124" s="446"/>
      <c r="G124" s="446"/>
      <c r="H124" s="446"/>
      <c r="I124" s="446"/>
      <c r="J124" s="446"/>
      <c r="K124" s="211"/>
    </row>
    <row r="125" spans="2:11" x14ac:dyDescent="0.25">
      <c r="B125" s="511">
        <v>12</v>
      </c>
      <c r="C125" s="512" t="e">
        <f t="shared" si="37"/>
        <v>#REF!</v>
      </c>
      <c r="D125" s="532" t="e">
        <f t="shared" si="40"/>
        <v>#DIV/0!</v>
      </c>
      <c r="E125" s="529" t="e">
        <f t="shared" si="41"/>
        <v>#REF!</v>
      </c>
      <c r="F125" s="446"/>
      <c r="G125" s="446"/>
      <c r="H125" s="446"/>
      <c r="I125" s="446"/>
      <c r="J125" s="446"/>
      <c r="K125" s="211"/>
    </row>
    <row r="126" spans="2:11" x14ac:dyDescent="0.25">
      <c r="B126" s="511">
        <v>13</v>
      </c>
      <c r="C126" s="512" t="e">
        <f t="shared" si="37"/>
        <v>#REF!</v>
      </c>
      <c r="D126" s="532" t="e">
        <f t="shared" si="40"/>
        <v>#DIV/0!</v>
      </c>
      <c r="E126" s="529" t="e">
        <f t="shared" si="41"/>
        <v>#REF!</v>
      </c>
      <c r="F126" s="446"/>
      <c r="G126" s="446"/>
      <c r="H126" s="446"/>
      <c r="I126" s="446"/>
      <c r="J126" s="446"/>
      <c r="K126" s="211"/>
    </row>
    <row r="127" spans="2:11" x14ac:dyDescent="0.25">
      <c r="B127" s="511">
        <v>14</v>
      </c>
      <c r="C127" s="512" t="e">
        <f t="shared" si="37"/>
        <v>#REF!</v>
      </c>
      <c r="D127" s="532" t="e">
        <f t="shared" si="40"/>
        <v>#DIV/0!</v>
      </c>
      <c r="E127" s="529" t="e">
        <f t="shared" si="41"/>
        <v>#REF!</v>
      </c>
      <c r="F127" s="446"/>
      <c r="G127" s="446"/>
      <c r="H127" s="446"/>
      <c r="I127" s="446"/>
      <c r="J127" s="446"/>
      <c r="K127" s="211"/>
    </row>
    <row r="128" spans="2:11" x14ac:dyDescent="0.25">
      <c r="B128" s="511">
        <v>15</v>
      </c>
      <c r="C128" s="512" t="e">
        <f t="shared" si="37"/>
        <v>#REF!</v>
      </c>
      <c r="D128" s="532" t="e">
        <f t="shared" si="40"/>
        <v>#DIV/0!</v>
      </c>
      <c r="E128" s="529" t="e">
        <f t="shared" si="41"/>
        <v>#REF!</v>
      </c>
      <c r="F128" s="446"/>
      <c r="G128" s="446"/>
      <c r="H128" s="446"/>
      <c r="I128" s="446"/>
      <c r="J128" s="446"/>
      <c r="K128" s="211"/>
    </row>
    <row r="129" spans="2:11" x14ac:dyDescent="0.25">
      <c r="B129" s="511">
        <v>16</v>
      </c>
      <c r="C129" s="512" t="e">
        <f t="shared" si="37"/>
        <v>#REF!</v>
      </c>
      <c r="D129" s="532" t="e">
        <f t="shared" si="40"/>
        <v>#DIV/0!</v>
      </c>
      <c r="E129" s="529" t="e">
        <f t="shared" si="41"/>
        <v>#REF!</v>
      </c>
      <c r="F129" s="446"/>
      <c r="G129" s="446"/>
      <c r="H129" s="446"/>
      <c r="I129" s="446"/>
      <c r="J129" s="446"/>
      <c r="K129" s="211"/>
    </row>
    <row r="130" spans="2:11" x14ac:dyDescent="0.25">
      <c r="B130" s="511">
        <v>17</v>
      </c>
      <c r="C130" s="512" t="e">
        <f t="shared" si="37"/>
        <v>#REF!</v>
      </c>
      <c r="D130" s="532" t="e">
        <f t="shared" si="40"/>
        <v>#DIV/0!</v>
      </c>
      <c r="E130" s="529" t="e">
        <f t="shared" si="41"/>
        <v>#REF!</v>
      </c>
      <c r="F130" s="446"/>
      <c r="G130" s="446"/>
      <c r="H130" s="446"/>
      <c r="I130" s="446"/>
      <c r="J130" s="446"/>
      <c r="K130" s="211"/>
    </row>
    <row r="131" spans="2:11" x14ac:dyDescent="0.25">
      <c r="B131" s="511">
        <v>18</v>
      </c>
      <c r="C131" s="512" t="e">
        <f t="shared" si="37"/>
        <v>#REF!</v>
      </c>
      <c r="D131" s="532" t="e">
        <f t="shared" si="40"/>
        <v>#DIV/0!</v>
      </c>
      <c r="E131" s="529" t="e">
        <f t="shared" si="41"/>
        <v>#REF!</v>
      </c>
      <c r="F131" s="446"/>
      <c r="G131" s="446"/>
      <c r="H131" s="446"/>
      <c r="I131" s="446"/>
      <c r="J131" s="446"/>
      <c r="K131" s="211"/>
    </row>
    <row r="132" spans="2:11" ht="15.75" thickBot="1" x14ac:dyDescent="0.3">
      <c r="B132" s="514">
        <v>19</v>
      </c>
      <c r="C132" s="515" t="e">
        <f t="shared" si="37"/>
        <v>#REF!</v>
      </c>
      <c r="D132" s="533" t="e">
        <f t="shared" si="40"/>
        <v>#DIV/0!</v>
      </c>
      <c r="E132" s="530" t="e">
        <f t="shared" si="41"/>
        <v>#REF!</v>
      </c>
      <c r="F132" s="446"/>
      <c r="G132" s="446"/>
      <c r="H132" s="446"/>
      <c r="I132" s="446"/>
      <c r="J132" s="446"/>
      <c r="K132" s="211"/>
    </row>
    <row r="133" spans="2:11" x14ac:dyDescent="0.25">
      <c r="B133" s="516" t="s">
        <v>711</v>
      </c>
      <c r="C133" s="517" t="e">
        <f>SUM(C114:C132)</f>
        <v>#REF!</v>
      </c>
      <c r="D133" s="518"/>
      <c r="E133" s="519" t="e">
        <f>SUM(E114:E132)</f>
        <v>#DIV/0!</v>
      </c>
      <c r="F133" s="446"/>
      <c r="G133" s="446"/>
      <c r="H133" s="446"/>
      <c r="I133" s="446"/>
      <c r="J133" s="446"/>
      <c r="K133" s="211"/>
    </row>
    <row r="134" spans="2:11" x14ac:dyDescent="0.25">
      <c r="B134" s="520" t="s">
        <v>712</v>
      </c>
      <c r="C134" s="521"/>
      <c r="D134" s="522"/>
      <c r="E134" s="523" t="e">
        <f>+E109</f>
        <v>#REF!</v>
      </c>
      <c r="F134" s="446"/>
      <c r="G134" s="446"/>
      <c r="H134" s="446"/>
      <c r="I134" s="446"/>
      <c r="J134" s="446"/>
      <c r="K134" s="211"/>
    </row>
    <row r="135" spans="2:11" ht="15.75" thickBot="1" x14ac:dyDescent="0.3">
      <c r="B135" s="524" t="s">
        <v>713</v>
      </c>
      <c r="C135" s="525"/>
      <c r="D135" s="526"/>
      <c r="E135" s="527" t="e">
        <f>E133/E134</f>
        <v>#DIV/0!</v>
      </c>
      <c r="F135" s="446"/>
      <c r="G135" s="446"/>
      <c r="H135" s="446"/>
      <c r="I135" s="446"/>
      <c r="J135" s="446"/>
      <c r="K135" s="211"/>
    </row>
  </sheetData>
  <mergeCells count="3">
    <mergeCell ref="C5:J5"/>
    <mergeCell ref="B7:J7"/>
    <mergeCell ref="B8:J8"/>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10"/>
  <sheetViews>
    <sheetView workbookViewId="0">
      <pane xSplit="3" ySplit="3" topLeftCell="AC4" activePane="bottomRight" state="frozen"/>
      <selection pane="topRight" activeCell="D1" sqref="D1"/>
      <selection pane="bottomLeft" activeCell="A4" sqref="A4"/>
      <selection pane="bottomRight" activeCell="AH1" sqref="AH1:AI1048576"/>
    </sheetView>
  </sheetViews>
  <sheetFormatPr baseColWidth="10" defaultRowHeight="15" x14ac:dyDescent="0.25"/>
  <cols>
    <col min="1" max="1" width="11.42578125" customWidth="1" collapsed="1"/>
    <col min="2" max="2" width="34.7109375" customWidth="1" collapsed="1"/>
    <col min="3" max="35" width="11.42578125" collapsed="1"/>
    <col min="36" max="63" width="11.42578125" style="264" collapsed="1"/>
    <col min="64" max="16384" width="11.42578125" collapsed="1"/>
  </cols>
  <sheetData>
    <row r="1" spans="1:63" x14ac:dyDescent="0.25">
      <c r="A1" s="1112" t="s">
        <v>128</v>
      </c>
      <c r="B1" s="1113"/>
      <c r="C1" s="1113"/>
      <c r="D1" s="1113"/>
      <c r="E1" s="1113"/>
      <c r="F1" s="1113"/>
      <c r="G1" s="1113"/>
      <c r="H1" s="1113"/>
      <c r="I1" s="1113"/>
      <c r="J1" s="1113"/>
      <c r="K1" s="1113"/>
      <c r="L1" s="1113"/>
      <c r="M1" s="1113"/>
      <c r="N1" s="1113"/>
      <c r="O1" s="1113"/>
      <c r="P1" s="1113"/>
      <c r="Q1" s="1113"/>
      <c r="R1" s="1113"/>
      <c r="S1" s="1113"/>
      <c r="T1" s="1113"/>
      <c r="U1" s="1113"/>
      <c r="V1" s="1113"/>
      <c r="W1" s="1113"/>
      <c r="X1" s="1113"/>
      <c r="Y1" s="1113"/>
      <c r="Z1" s="1113"/>
      <c r="AA1" s="1113"/>
      <c r="AB1" s="1113"/>
      <c r="AC1" s="1113"/>
    </row>
    <row r="2" spans="1:63" x14ac:dyDescent="0.25">
      <c r="A2" s="1075" t="s">
        <v>129</v>
      </c>
      <c r="B2" s="1076"/>
      <c r="C2" s="68" t="s">
        <v>130</v>
      </c>
      <c r="D2" s="1111" t="s">
        <v>131</v>
      </c>
      <c r="E2" s="1111"/>
      <c r="F2" s="1111" t="s">
        <v>132</v>
      </c>
      <c r="G2" s="1111"/>
      <c r="H2" s="1111" t="s">
        <v>133</v>
      </c>
      <c r="I2" s="1111"/>
      <c r="J2" s="1111" t="s">
        <v>134</v>
      </c>
      <c r="K2" s="1111"/>
      <c r="L2" s="1111" t="s">
        <v>135</v>
      </c>
      <c r="M2" s="1111"/>
      <c r="N2" s="1111" t="s">
        <v>136</v>
      </c>
      <c r="O2" s="1111"/>
      <c r="P2" s="1111" t="s">
        <v>137</v>
      </c>
      <c r="Q2" s="1111"/>
      <c r="R2" s="1111" t="s">
        <v>138</v>
      </c>
      <c r="S2" s="1111"/>
      <c r="T2" s="1111" t="s">
        <v>139</v>
      </c>
      <c r="U2" s="1111"/>
      <c r="V2" s="1111" t="s">
        <v>140</v>
      </c>
      <c r="W2" s="1111"/>
      <c r="X2" s="1111" t="s">
        <v>141</v>
      </c>
      <c r="Y2" s="1111"/>
      <c r="Z2" s="1111" t="s">
        <v>142</v>
      </c>
      <c r="AA2" s="1111"/>
      <c r="AB2" s="1111" t="s">
        <v>143</v>
      </c>
      <c r="AC2" s="1111"/>
      <c r="AD2" s="1111" t="s">
        <v>769</v>
      </c>
      <c r="AE2" s="1111"/>
      <c r="AF2" s="1111" t="s">
        <v>770</v>
      </c>
      <c r="AG2" s="1111"/>
      <c r="AH2" s="1111" t="s">
        <v>787</v>
      </c>
      <c r="AI2" s="1111"/>
    </row>
    <row r="3" spans="1:63" x14ac:dyDescent="0.25">
      <c r="A3" s="1075" t="s">
        <v>144</v>
      </c>
      <c r="B3" s="1076"/>
      <c r="C3" s="68" t="s">
        <v>145</v>
      </c>
      <c r="D3" s="1075" t="s">
        <v>146</v>
      </c>
      <c r="E3" s="1076"/>
      <c r="F3" s="1075">
        <v>7.68</v>
      </c>
      <c r="G3" s="1076"/>
      <c r="H3" s="1075">
        <v>7.46</v>
      </c>
      <c r="I3" s="1076"/>
      <c r="J3" s="1096">
        <v>7.8</v>
      </c>
      <c r="K3" s="1097"/>
      <c r="L3" s="1075">
        <v>6.66</v>
      </c>
      <c r="M3" s="1076"/>
      <c r="N3" s="1075">
        <v>3.11</v>
      </c>
      <c r="O3" s="1076"/>
      <c r="P3" s="1075">
        <v>3.82</v>
      </c>
      <c r="Q3" s="1076"/>
      <c r="R3" s="1075">
        <v>6.81</v>
      </c>
      <c r="S3" s="1076"/>
      <c r="T3" s="1075">
        <v>2.06</v>
      </c>
      <c r="U3" s="1109"/>
      <c r="V3" s="1110">
        <v>1.8</v>
      </c>
      <c r="W3" s="1110"/>
      <c r="X3" s="1090">
        <v>3.06</v>
      </c>
      <c r="Y3" s="1091"/>
      <c r="Z3" s="1107">
        <v>7.52</v>
      </c>
      <c r="AA3" s="1108"/>
      <c r="AB3" s="1107">
        <v>4.87</v>
      </c>
      <c r="AC3" s="1108"/>
      <c r="AD3" s="1107">
        <v>4.8499999999999996</v>
      </c>
      <c r="AE3" s="1108"/>
      <c r="AF3" s="1107">
        <v>3.29</v>
      </c>
      <c r="AG3" s="1108"/>
      <c r="AH3" s="1114">
        <v>3.6</v>
      </c>
      <c r="AI3" s="1115"/>
    </row>
    <row r="4" spans="1:63" x14ac:dyDescent="0.25">
      <c r="A4" s="69" t="s">
        <v>147</v>
      </c>
      <c r="B4" s="70"/>
      <c r="C4" s="71" t="s">
        <v>148</v>
      </c>
      <c r="D4" s="1058">
        <v>-33.78</v>
      </c>
      <c r="E4" s="1059"/>
      <c r="F4" s="1058">
        <v>60.16</v>
      </c>
      <c r="G4" s="1059"/>
      <c r="H4" s="1058">
        <v>6.83</v>
      </c>
      <c r="I4" s="1059"/>
      <c r="J4" s="1058">
        <v>12.38</v>
      </c>
      <c r="K4" s="1059"/>
      <c r="L4" s="1064">
        <v>13.4</v>
      </c>
      <c r="M4" s="1065"/>
      <c r="N4" s="1058">
        <v>0.01</v>
      </c>
      <c r="O4" s="1059"/>
      <c r="P4" s="1058">
        <v>9.7799999999999994</v>
      </c>
      <c r="Q4" s="1059"/>
      <c r="R4" s="1058">
        <v>11.21</v>
      </c>
      <c r="S4" s="1059"/>
      <c r="T4" s="1058">
        <v>0.42</v>
      </c>
      <c r="U4" s="1060"/>
      <c r="V4" s="1049">
        <v>2.02</v>
      </c>
      <c r="W4" s="1050"/>
      <c r="X4" s="1042">
        <v>3.96</v>
      </c>
      <c r="Y4" s="1051"/>
      <c r="Z4" s="1052">
        <v>-8.9499999999999993</v>
      </c>
      <c r="AA4" s="1053"/>
      <c r="AB4" s="1052">
        <v>-5.15</v>
      </c>
      <c r="AC4" s="1053"/>
      <c r="AD4" s="1052">
        <v>4.7699999999999996</v>
      </c>
      <c r="AE4" s="1053"/>
      <c r="AF4" s="1052">
        <v>14.85</v>
      </c>
      <c r="AG4" s="1053"/>
      <c r="AH4" s="1116">
        <v>4.9000000000000004</v>
      </c>
      <c r="AI4" s="1117"/>
    </row>
    <row r="5" spans="1:63" s="65" customFormat="1" x14ac:dyDescent="0.25">
      <c r="A5" s="72" t="s">
        <v>118</v>
      </c>
      <c r="B5" s="263"/>
      <c r="C5" s="73" t="s">
        <v>149</v>
      </c>
      <c r="D5" s="1056">
        <v>0</v>
      </c>
      <c r="E5" s="1057"/>
      <c r="F5" s="1056">
        <v>0</v>
      </c>
      <c r="G5" s="1057"/>
      <c r="H5" s="1056">
        <v>0</v>
      </c>
      <c r="I5" s="1057"/>
      <c r="J5" s="1056">
        <v>0</v>
      </c>
      <c r="K5" s="1057"/>
      <c r="L5" s="1056">
        <v>0</v>
      </c>
      <c r="M5" s="1057"/>
      <c r="N5" s="1046">
        <v>0.95</v>
      </c>
      <c r="O5" s="1047"/>
      <c r="P5" s="1056">
        <v>2</v>
      </c>
      <c r="Q5" s="1057"/>
      <c r="R5" s="1056">
        <v>15.9</v>
      </c>
      <c r="S5" s="1057"/>
      <c r="T5" s="1056">
        <v>3</v>
      </c>
      <c r="U5" s="1086"/>
      <c r="V5" s="1049">
        <v>3</v>
      </c>
      <c r="W5" s="1050"/>
      <c r="X5" s="1042">
        <v>9.5</v>
      </c>
      <c r="Y5" s="1051"/>
      <c r="Z5" s="1042">
        <v>10</v>
      </c>
      <c r="AA5" s="1043"/>
      <c r="AB5" s="1042">
        <v>9.6</v>
      </c>
      <c r="AC5" s="1043"/>
      <c r="AD5" s="1042">
        <v>0</v>
      </c>
      <c r="AE5" s="1043"/>
      <c r="AF5" s="1042">
        <v>9.18</v>
      </c>
      <c r="AG5" s="1043"/>
      <c r="AH5" s="1049">
        <v>11.29</v>
      </c>
      <c r="AI5" s="1050"/>
      <c r="AJ5" s="264"/>
      <c r="AK5" s="264"/>
      <c r="AL5" s="264"/>
      <c r="AM5" s="264"/>
      <c r="AN5" s="264"/>
      <c r="AO5" s="264"/>
      <c r="AP5" s="264"/>
      <c r="AQ5" s="264"/>
      <c r="AR5" s="264"/>
      <c r="AS5" s="264"/>
      <c r="AT5" s="264"/>
      <c r="AU5" s="264"/>
      <c r="AV5" s="264"/>
      <c r="AW5" s="264"/>
      <c r="AX5" s="264"/>
      <c r="AY5" s="264"/>
      <c r="AZ5" s="264"/>
      <c r="BA5" s="264"/>
      <c r="BB5" s="264"/>
      <c r="BC5" s="264"/>
      <c r="BD5" s="264"/>
      <c r="BE5" s="264"/>
      <c r="BF5" s="264"/>
      <c r="BG5" s="264"/>
      <c r="BH5" s="264"/>
      <c r="BI5" s="264"/>
      <c r="BJ5" s="264"/>
      <c r="BK5" s="264"/>
    </row>
    <row r="6" spans="1:63" s="264" customFormat="1" x14ac:dyDescent="0.25">
      <c r="A6" s="72" t="s">
        <v>150</v>
      </c>
      <c r="B6" s="263"/>
      <c r="C6" s="73" t="s">
        <v>151</v>
      </c>
      <c r="D6" s="1046">
        <v>1.1399999999999999</v>
      </c>
      <c r="E6" s="1106"/>
      <c r="F6" s="1046">
        <v>9.39</v>
      </c>
      <c r="G6" s="1047"/>
      <c r="H6" s="1046">
        <v>16.89</v>
      </c>
      <c r="I6" s="1047"/>
      <c r="J6" s="1046">
        <v>15.58</v>
      </c>
      <c r="K6" s="1047"/>
      <c r="L6" s="1046">
        <v>0.69</v>
      </c>
      <c r="M6" s="1047"/>
      <c r="N6" s="1046">
        <v>4.0199999999999996</v>
      </c>
      <c r="O6" s="1047"/>
      <c r="P6" s="1056">
        <v>3</v>
      </c>
      <c r="Q6" s="1057"/>
      <c r="R6" s="1056">
        <v>7.95</v>
      </c>
      <c r="S6" s="1057"/>
      <c r="T6" s="1056">
        <v>-3.84</v>
      </c>
      <c r="U6" s="1086"/>
      <c r="V6" s="1049">
        <v>21.42</v>
      </c>
      <c r="W6" s="1050"/>
      <c r="X6" s="1042">
        <v>0</v>
      </c>
      <c r="Y6" s="1051"/>
      <c r="Z6" s="1042">
        <v>11.18</v>
      </c>
      <c r="AA6" s="1043"/>
      <c r="AB6" s="1042">
        <v>3.3</v>
      </c>
      <c r="AC6" s="1043"/>
      <c r="AD6" s="1042">
        <v>-1.95</v>
      </c>
      <c r="AE6" s="1043"/>
      <c r="AF6" s="1042">
        <v>-2.8</v>
      </c>
      <c r="AG6" s="1043"/>
      <c r="AH6" s="1049">
        <v>9.0399999999999991</v>
      </c>
      <c r="AI6" s="1050"/>
    </row>
    <row r="7" spans="1:63" x14ac:dyDescent="0.25">
      <c r="A7" s="72" t="s">
        <v>152</v>
      </c>
      <c r="B7" s="263"/>
      <c r="C7" s="73" t="s">
        <v>153</v>
      </c>
      <c r="D7" s="1046">
        <v>4.8899999999999997</v>
      </c>
      <c r="E7" s="1047"/>
      <c r="F7" s="1046">
        <v>12.61</v>
      </c>
      <c r="G7" s="1047"/>
      <c r="H7" s="1046">
        <v>13.92</v>
      </c>
      <c r="I7" s="1047"/>
      <c r="J7" s="1046">
        <v>4.96</v>
      </c>
      <c r="K7" s="1047"/>
      <c r="L7" s="1046">
        <v>2.02</v>
      </c>
      <c r="M7" s="1047"/>
      <c r="N7" s="1056">
        <v>5.3</v>
      </c>
      <c r="O7" s="1057"/>
      <c r="P7" s="1046">
        <v>10.57</v>
      </c>
      <c r="Q7" s="1047"/>
      <c r="R7" s="1046">
        <v>2.94</v>
      </c>
      <c r="S7" s="1047"/>
      <c r="T7" s="1046">
        <v>4.38</v>
      </c>
      <c r="U7" s="1048"/>
      <c r="V7" s="1049">
        <v>3.09</v>
      </c>
      <c r="W7" s="1050"/>
      <c r="X7" s="1042">
        <v>6</v>
      </c>
      <c r="Y7" s="1051"/>
      <c r="Z7" s="1042">
        <v>-8.0399999999999991</v>
      </c>
      <c r="AA7" s="1043"/>
      <c r="AB7" s="1042">
        <v>14.86</v>
      </c>
      <c r="AC7" s="1043"/>
      <c r="AD7" s="1042">
        <v>3.07</v>
      </c>
      <c r="AE7" s="1043"/>
      <c r="AF7" s="1042">
        <v>5.14</v>
      </c>
      <c r="AG7" s="1043"/>
      <c r="AH7" s="1049">
        <v>2.38</v>
      </c>
      <c r="AI7" s="1050"/>
    </row>
    <row r="8" spans="1:63" s="65" customFormat="1" x14ac:dyDescent="0.25">
      <c r="A8" s="72" t="s">
        <v>119</v>
      </c>
      <c r="B8" s="263"/>
      <c r="C8" s="73" t="s">
        <v>123</v>
      </c>
      <c r="D8" s="1046">
        <v>-6.82</v>
      </c>
      <c r="E8" s="1047"/>
      <c r="F8" s="1046">
        <v>24.12</v>
      </c>
      <c r="G8" s="1047"/>
      <c r="H8" s="1046">
        <v>2.66</v>
      </c>
      <c r="I8" s="1047"/>
      <c r="J8" s="1046">
        <v>4.45</v>
      </c>
      <c r="K8" s="1047"/>
      <c r="L8" s="1046">
        <v>-13.12</v>
      </c>
      <c r="M8" s="1047"/>
      <c r="N8" s="1046">
        <v>-5.92</v>
      </c>
      <c r="O8" s="1047"/>
      <c r="P8" s="1046">
        <v>39.159999999999997</v>
      </c>
      <c r="Q8" s="1047"/>
      <c r="R8" s="1046">
        <v>-10.53</v>
      </c>
      <c r="S8" s="1047"/>
      <c r="T8" s="1046">
        <v>1.82</v>
      </c>
      <c r="U8" s="1048"/>
      <c r="V8" s="1049">
        <v>2.78</v>
      </c>
      <c r="W8" s="1050"/>
      <c r="X8" s="1042">
        <v>8.99</v>
      </c>
      <c r="Y8" s="1051"/>
      <c r="Z8" s="1042">
        <v>-3.11</v>
      </c>
      <c r="AA8" s="1043"/>
      <c r="AB8" s="1042">
        <v>13.82</v>
      </c>
      <c r="AC8" s="1043"/>
      <c r="AD8" s="1042">
        <v>18.510000000000002</v>
      </c>
      <c r="AE8" s="1043"/>
      <c r="AF8" s="1042">
        <v>1.4</v>
      </c>
      <c r="AG8" s="1043"/>
      <c r="AH8" s="1049">
        <v>18.579999999999998</v>
      </c>
      <c r="AI8" s="1050"/>
      <c r="AJ8" s="264"/>
      <c r="AK8" s="264"/>
      <c r="AL8" s="264"/>
      <c r="AM8" s="264"/>
      <c r="AN8" s="264"/>
      <c r="AO8" s="264"/>
      <c r="AP8" s="264"/>
      <c r="AQ8" s="264"/>
      <c r="AR8" s="264"/>
      <c r="AS8" s="264"/>
      <c r="AT8" s="264"/>
      <c r="AU8" s="264"/>
      <c r="AV8" s="264"/>
      <c r="AW8" s="264"/>
      <c r="AX8" s="264"/>
      <c r="AY8" s="264"/>
      <c r="AZ8" s="264"/>
      <c r="BA8" s="264"/>
      <c r="BB8" s="264"/>
      <c r="BC8" s="264"/>
      <c r="BD8" s="264"/>
      <c r="BE8" s="264"/>
      <c r="BF8" s="264"/>
      <c r="BG8" s="264"/>
      <c r="BH8" s="264"/>
      <c r="BI8" s="264"/>
      <c r="BJ8" s="264"/>
      <c r="BK8" s="264"/>
    </row>
    <row r="9" spans="1:63" x14ac:dyDescent="0.25">
      <c r="A9" s="72" t="s">
        <v>154</v>
      </c>
      <c r="B9" s="263"/>
      <c r="C9" s="73" t="s">
        <v>155</v>
      </c>
      <c r="D9" s="1046">
        <v>15.29</v>
      </c>
      <c r="E9" s="1047"/>
      <c r="F9" s="1046">
        <v>14.87</v>
      </c>
      <c r="G9" s="1047"/>
      <c r="H9" s="1046">
        <v>1.63</v>
      </c>
      <c r="I9" s="1047"/>
      <c r="J9" s="1056">
        <v>0</v>
      </c>
      <c r="K9" s="1057"/>
      <c r="L9" s="1056">
        <v>0</v>
      </c>
      <c r="M9" s="1057"/>
      <c r="N9" s="1046">
        <v>9.82</v>
      </c>
      <c r="O9" s="1047"/>
      <c r="P9" s="1046">
        <v>3.48</v>
      </c>
      <c r="Q9" s="1047"/>
      <c r="R9" s="1046">
        <v>27.86</v>
      </c>
      <c r="S9" s="1047"/>
      <c r="T9" s="1046">
        <v>7.53</v>
      </c>
      <c r="U9" s="1048"/>
      <c r="V9" s="1049">
        <v>0</v>
      </c>
      <c r="W9" s="1050"/>
      <c r="X9" s="1042">
        <v>-0.21</v>
      </c>
      <c r="Y9" s="1051"/>
      <c r="Z9" s="1042">
        <v>-1.34</v>
      </c>
      <c r="AA9" s="1043"/>
      <c r="AB9" s="1042">
        <v>86.26</v>
      </c>
      <c r="AC9" s="1043"/>
      <c r="AD9" s="1042">
        <v>8.08</v>
      </c>
      <c r="AE9" s="1043"/>
      <c r="AF9" s="1042">
        <v>2.04</v>
      </c>
      <c r="AG9" s="1043"/>
      <c r="AH9" s="1049">
        <v>10.15</v>
      </c>
      <c r="AI9" s="1050"/>
    </row>
    <row r="10" spans="1:63" x14ac:dyDescent="0.25">
      <c r="A10" s="72" t="s">
        <v>156</v>
      </c>
      <c r="B10" s="263"/>
      <c r="C10" s="73" t="s">
        <v>157</v>
      </c>
      <c r="D10" s="1046">
        <v>8.2200000000000006</v>
      </c>
      <c r="E10" s="1047"/>
      <c r="F10" s="1046">
        <v>13.23</v>
      </c>
      <c r="G10" s="1047"/>
      <c r="H10" s="1046">
        <v>4.68</v>
      </c>
      <c r="I10" s="1047"/>
      <c r="J10" s="1046">
        <v>8.19</v>
      </c>
      <c r="K10" s="1047"/>
      <c r="L10" s="1046">
        <v>2.19</v>
      </c>
      <c r="M10" s="1047"/>
      <c r="N10" s="1046">
        <v>1.85</v>
      </c>
      <c r="O10" s="1047"/>
      <c r="P10" s="1046">
        <v>1.1299999999999999</v>
      </c>
      <c r="Q10" s="1047"/>
      <c r="R10" s="1056">
        <v>2.8</v>
      </c>
      <c r="S10" s="1057"/>
      <c r="T10" s="1056">
        <v>2.4500000000000002</v>
      </c>
      <c r="U10" s="1086"/>
      <c r="V10" s="1049">
        <v>5.55</v>
      </c>
      <c r="W10" s="1050"/>
      <c r="X10" s="1042">
        <v>15.13</v>
      </c>
      <c r="Y10" s="1051"/>
      <c r="Z10" s="1042">
        <v>8.59</v>
      </c>
      <c r="AA10" s="1043"/>
      <c r="AB10" s="1042">
        <v>6.43</v>
      </c>
      <c r="AC10" s="1043"/>
      <c r="AD10" s="1042">
        <v>2.4</v>
      </c>
      <c r="AE10" s="1043"/>
      <c r="AF10" s="1042">
        <v>3.2</v>
      </c>
      <c r="AG10" s="1043"/>
      <c r="AH10" s="1049">
        <v>5.08</v>
      </c>
      <c r="AI10" s="1050"/>
    </row>
    <row r="11" spans="1:63" s="65" customFormat="1" x14ac:dyDescent="0.25">
      <c r="A11" s="72" t="s">
        <v>158</v>
      </c>
      <c r="B11" s="263"/>
      <c r="C11" s="73" t="s">
        <v>126</v>
      </c>
      <c r="D11" s="1046">
        <v>19.690000000000001</v>
      </c>
      <c r="E11" s="1047"/>
      <c r="F11" s="1046">
        <v>3.22</v>
      </c>
      <c r="G11" s="1047"/>
      <c r="H11" s="1046">
        <v>-10.69</v>
      </c>
      <c r="I11" s="1047"/>
      <c r="J11" s="1046">
        <v>19.61</v>
      </c>
      <c r="K11" s="1047"/>
      <c r="L11" s="1046">
        <v>15.01</v>
      </c>
      <c r="M11" s="1047"/>
      <c r="N11" s="1046">
        <v>7.58</v>
      </c>
      <c r="O11" s="1047"/>
      <c r="P11" s="1046">
        <v>9.56</v>
      </c>
      <c r="Q11" s="1047"/>
      <c r="R11" s="1046">
        <v>1.97</v>
      </c>
      <c r="S11" s="1047"/>
      <c r="T11" s="1046">
        <v>9.1300000000000008</v>
      </c>
      <c r="U11" s="1048"/>
      <c r="V11" s="1049">
        <v>8.93</v>
      </c>
      <c r="W11" s="1050"/>
      <c r="X11" s="1042">
        <v>14.63</v>
      </c>
      <c r="Y11" s="1051"/>
      <c r="Z11" s="1042">
        <v>6.51</v>
      </c>
      <c r="AA11" s="1043"/>
      <c r="AB11" s="1042">
        <v>13.85</v>
      </c>
      <c r="AC11" s="1043"/>
      <c r="AD11" s="1042">
        <v>-3.1</v>
      </c>
      <c r="AE11" s="1043"/>
      <c r="AF11" s="1042">
        <v>6.15</v>
      </c>
      <c r="AG11" s="1043"/>
      <c r="AH11" s="1049">
        <v>12.52</v>
      </c>
      <c r="AI11" s="1050"/>
      <c r="AJ11" s="264"/>
      <c r="AK11" s="264"/>
      <c r="AL11" s="264"/>
      <c r="AM11" s="264"/>
      <c r="AN11" s="264"/>
      <c r="AO11" s="264"/>
      <c r="AP11" s="264"/>
      <c r="AQ11" s="264"/>
      <c r="AR11" s="264"/>
      <c r="AS11" s="264"/>
      <c r="AT11" s="264"/>
      <c r="AU11" s="264"/>
      <c r="AV11" s="264"/>
      <c r="AW11" s="264"/>
      <c r="AX11" s="264"/>
      <c r="AY11" s="264"/>
      <c r="AZ11" s="264"/>
      <c r="BA11" s="264"/>
      <c r="BB11" s="264"/>
      <c r="BC11" s="264"/>
      <c r="BD11" s="264"/>
      <c r="BE11" s="264"/>
      <c r="BF11" s="264"/>
      <c r="BG11" s="264"/>
      <c r="BH11" s="264"/>
      <c r="BI11" s="264"/>
      <c r="BJ11" s="264"/>
      <c r="BK11" s="264"/>
    </row>
    <row r="12" spans="1:63" s="65" customFormat="1" x14ac:dyDescent="0.25">
      <c r="A12" s="72" t="s">
        <v>120</v>
      </c>
      <c r="B12" s="263"/>
      <c r="C12" s="73" t="s">
        <v>127</v>
      </c>
      <c r="D12" s="1056">
        <v>33.79</v>
      </c>
      <c r="E12" s="1057"/>
      <c r="F12" s="1046">
        <v>22.16</v>
      </c>
      <c r="G12" s="1047"/>
      <c r="H12" s="1046">
        <v>5.81</v>
      </c>
      <c r="I12" s="1047"/>
      <c r="J12" s="1046">
        <v>25.13</v>
      </c>
      <c r="K12" s="1047"/>
      <c r="L12" s="1046">
        <v>0.61</v>
      </c>
      <c r="M12" s="1047"/>
      <c r="N12" s="1046">
        <v>-1.93</v>
      </c>
      <c r="O12" s="1047"/>
      <c r="P12" s="1046">
        <v>8.64</v>
      </c>
      <c r="Q12" s="1047"/>
      <c r="R12" s="1046">
        <v>-6.48</v>
      </c>
      <c r="S12" s="1047"/>
      <c r="T12" s="1046">
        <v>-0.27</v>
      </c>
      <c r="U12" s="1048"/>
      <c r="V12" s="1049">
        <v>5.18</v>
      </c>
      <c r="W12" s="1050"/>
      <c r="X12" s="1042">
        <v>14.27</v>
      </c>
      <c r="Y12" s="1051"/>
      <c r="Z12" s="1042">
        <v>3.13</v>
      </c>
      <c r="AA12" s="1043"/>
      <c r="AB12" s="1042">
        <v>14.89</v>
      </c>
      <c r="AC12" s="1043"/>
      <c r="AD12" s="1042">
        <v>-2.21</v>
      </c>
      <c r="AE12" s="1043"/>
      <c r="AF12" s="1042">
        <v>5.21</v>
      </c>
      <c r="AG12" s="1043"/>
      <c r="AH12" s="1049">
        <v>16.579999999999998</v>
      </c>
      <c r="AI12" s="1050"/>
      <c r="AJ12" s="264"/>
      <c r="AK12" s="264"/>
      <c r="AL12" s="264"/>
      <c r="AM12" s="264"/>
      <c r="AN12" s="264"/>
      <c r="AO12" s="264"/>
      <c r="AP12" s="264"/>
      <c r="AQ12" s="264"/>
      <c r="AR12" s="264"/>
      <c r="AS12" s="264"/>
      <c r="AT12" s="264"/>
      <c r="AU12" s="264"/>
      <c r="AV12" s="264"/>
      <c r="AW12" s="264"/>
      <c r="AX12" s="264"/>
      <c r="AY12" s="264"/>
      <c r="AZ12" s="264"/>
      <c r="BA12" s="264"/>
      <c r="BB12" s="264"/>
      <c r="BC12" s="264"/>
      <c r="BD12" s="264"/>
      <c r="BE12" s="264"/>
      <c r="BF12" s="264"/>
      <c r="BG12" s="264"/>
      <c r="BH12" s="264"/>
      <c r="BI12" s="264"/>
      <c r="BJ12" s="264"/>
      <c r="BK12" s="264"/>
    </row>
    <row r="13" spans="1:63" x14ac:dyDescent="0.25">
      <c r="A13" s="72" t="s">
        <v>159</v>
      </c>
      <c r="B13" s="263"/>
      <c r="C13" s="74" t="s">
        <v>160</v>
      </c>
      <c r="D13" s="1082">
        <v>28.5</v>
      </c>
      <c r="E13" s="1083"/>
      <c r="F13" s="1077">
        <v>9.08</v>
      </c>
      <c r="G13" s="1078"/>
      <c r="H13" s="1077">
        <v>13.54</v>
      </c>
      <c r="I13" s="1078"/>
      <c r="J13" s="1077">
        <v>20.98</v>
      </c>
      <c r="K13" s="1078"/>
      <c r="L13" s="1077">
        <v>-1.47</v>
      </c>
      <c r="M13" s="1078"/>
      <c r="N13" s="1077">
        <v>4.01</v>
      </c>
      <c r="O13" s="1078"/>
      <c r="P13" s="1077">
        <v>2.73</v>
      </c>
      <c r="Q13" s="1078"/>
      <c r="R13" s="1077">
        <v>5.64</v>
      </c>
      <c r="S13" s="1078"/>
      <c r="T13" s="1077">
        <v>1.08</v>
      </c>
      <c r="U13" s="1079"/>
      <c r="V13" s="1049">
        <v>-0.89</v>
      </c>
      <c r="W13" s="1050"/>
      <c r="X13" s="1073">
        <v>-1.22</v>
      </c>
      <c r="Y13" s="1103"/>
      <c r="Z13" s="1073">
        <v>11.16</v>
      </c>
      <c r="AA13" s="1074"/>
      <c r="AB13" s="1073">
        <v>2.85</v>
      </c>
      <c r="AC13" s="1074"/>
      <c r="AD13" s="1073">
        <v>0.65</v>
      </c>
      <c r="AE13" s="1074"/>
      <c r="AF13" s="1073">
        <v>0.72</v>
      </c>
      <c r="AG13" s="1074"/>
      <c r="AH13" s="1118">
        <v>4.38</v>
      </c>
      <c r="AI13" s="1119"/>
    </row>
    <row r="14" spans="1:63" ht="15" customHeight="1" x14ac:dyDescent="0.25">
      <c r="A14" s="1075" t="s">
        <v>161</v>
      </c>
      <c r="B14" s="1076"/>
      <c r="C14" s="68" t="s">
        <v>162</v>
      </c>
      <c r="D14" s="1096">
        <v>6</v>
      </c>
      <c r="E14" s="1097"/>
      <c r="F14" s="1096">
        <v>14.6</v>
      </c>
      <c r="G14" s="1097"/>
      <c r="H14" s="1075">
        <v>3.47</v>
      </c>
      <c r="I14" s="1076"/>
      <c r="J14" s="1075">
        <v>10.77</v>
      </c>
      <c r="K14" s="1076"/>
      <c r="L14" s="1075">
        <v>0.05</v>
      </c>
      <c r="M14" s="1076"/>
      <c r="N14" s="1075">
        <v>2.0099999999999998</v>
      </c>
      <c r="O14" s="1076"/>
      <c r="P14" s="1075">
        <v>10.11</v>
      </c>
      <c r="Q14" s="1076"/>
      <c r="R14" s="1075">
        <v>1.42</v>
      </c>
      <c r="S14" s="1076"/>
      <c r="T14" s="1075">
        <v>3.42</v>
      </c>
      <c r="U14" s="1076"/>
      <c r="V14" s="1094">
        <v>4.0999999999999996</v>
      </c>
      <c r="W14" s="1095"/>
      <c r="X14" s="1090">
        <v>9.64</v>
      </c>
      <c r="Y14" s="1091"/>
      <c r="Z14" s="1090">
        <v>3.57</v>
      </c>
      <c r="AA14" s="1091"/>
      <c r="AB14" s="1090">
        <v>13.47</v>
      </c>
      <c r="AC14" s="1091"/>
      <c r="AD14" s="1090">
        <v>2.97</v>
      </c>
      <c r="AE14" s="1091"/>
      <c r="AF14" s="1090">
        <v>5.0599999999999996</v>
      </c>
      <c r="AG14" s="1091"/>
      <c r="AH14" s="1094">
        <v>11.7</v>
      </c>
      <c r="AI14" s="1095"/>
    </row>
    <row r="15" spans="1:63" s="65" customFormat="1" x14ac:dyDescent="0.25">
      <c r="A15" s="1092" t="s">
        <v>163</v>
      </c>
      <c r="B15" s="1093"/>
      <c r="C15" s="71" t="s">
        <v>124</v>
      </c>
      <c r="D15" s="1058">
        <v>9.58</v>
      </c>
      <c r="E15" s="1059"/>
      <c r="F15" s="1064">
        <v>4.3</v>
      </c>
      <c r="G15" s="1065"/>
      <c r="H15" s="1064">
        <v>5.36</v>
      </c>
      <c r="I15" s="1065"/>
      <c r="J15" s="1058">
        <v>6.72</v>
      </c>
      <c r="K15" s="1059"/>
      <c r="L15" s="1058">
        <v>9.9499999999999993</v>
      </c>
      <c r="M15" s="1059"/>
      <c r="N15" s="1058">
        <v>1.93</v>
      </c>
      <c r="O15" s="1059"/>
      <c r="P15" s="1058">
        <v>4.09</v>
      </c>
      <c r="Q15" s="1059"/>
      <c r="R15" s="1058">
        <v>3.15</v>
      </c>
      <c r="S15" s="1059"/>
      <c r="T15" s="1058">
        <v>5.0999999999999996</v>
      </c>
      <c r="U15" s="1060"/>
      <c r="V15" s="1049">
        <v>0.48</v>
      </c>
      <c r="W15" s="1050"/>
      <c r="X15" s="1042">
        <v>8.0500000000000007</v>
      </c>
      <c r="Y15" s="1051"/>
      <c r="Z15" s="1052">
        <v>3.84</v>
      </c>
      <c r="AA15" s="1053"/>
      <c r="AB15" s="1052">
        <v>14.32</v>
      </c>
      <c r="AC15" s="1053"/>
      <c r="AD15" s="1052">
        <v>0.65</v>
      </c>
      <c r="AE15" s="1053"/>
      <c r="AF15" s="1052">
        <v>2.94</v>
      </c>
      <c r="AG15" s="1053"/>
      <c r="AH15" s="1116">
        <v>7.55</v>
      </c>
      <c r="AI15" s="1117"/>
      <c r="AJ15" s="264"/>
      <c r="AK15" s="264"/>
      <c r="AL15" s="264"/>
      <c r="AM15" s="264"/>
      <c r="AN15" s="264"/>
      <c r="AO15" s="264"/>
      <c r="AP15" s="264"/>
      <c r="AQ15" s="264"/>
      <c r="AR15" s="264"/>
      <c r="AS15" s="264"/>
      <c r="AT15" s="264"/>
      <c r="AU15" s="264"/>
      <c r="AV15" s="264"/>
      <c r="AW15" s="264"/>
      <c r="AX15" s="264"/>
      <c r="AY15" s="264"/>
      <c r="AZ15" s="264"/>
      <c r="BA15" s="264"/>
      <c r="BB15" s="264"/>
      <c r="BC15" s="264"/>
      <c r="BD15" s="264"/>
      <c r="BE15" s="264"/>
      <c r="BF15" s="264"/>
      <c r="BG15" s="264"/>
      <c r="BH15" s="264"/>
      <c r="BI15" s="264"/>
      <c r="BJ15" s="264"/>
      <c r="BK15" s="264"/>
    </row>
    <row r="16" spans="1:63" x14ac:dyDescent="0.25">
      <c r="A16" s="72" t="s">
        <v>164</v>
      </c>
      <c r="B16" s="75"/>
      <c r="C16" s="73" t="s">
        <v>165</v>
      </c>
      <c r="D16" s="1046">
        <v>11.05</v>
      </c>
      <c r="E16" s="1047"/>
      <c r="F16" s="1056">
        <v>10.3</v>
      </c>
      <c r="G16" s="1057"/>
      <c r="H16" s="1046">
        <v>6.36</v>
      </c>
      <c r="I16" s="1047"/>
      <c r="J16" s="1046">
        <v>11.57</v>
      </c>
      <c r="K16" s="1047"/>
      <c r="L16" s="1046">
        <v>3.84</v>
      </c>
      <c r="M16" s="1047"/>
      <c r="N16" s="1056">
        <v>1</v>
      </c>
      <c r="O16" s="1057"/>
      <c r="P16" s="1046">
        <v>4.22</v>
      </c>
      <c r="Q16" s="1047"/>
      <c r="R16" s="1056">
        <v>-3.3</v>
      </c>
      <c r="S16" s="1057"/>
      <c r="T16" s="1056">
        <v>4.6399999999999997</v>
      </c>
      <c r="U16" s="1086"/>
      <c r="V16" s="1049">
        <v>8</v>
      </c>
      <c r="W16" s="1050"/>
      <c r="X16" s="1042">
        <v>-10.27</v>
      </c>
      <c r="Y16" s="1051"/>
      <c r="Z16" s="1042">
        <v>8.19</v>
      </c>
      <c r="AA16" s="1043"/>
      <c r="AB16" s="1042">
        <v>8.64</v>
      </c>
      <c r="AC16" s="1043"/>
      <c r="AD16" s="1042">
        <v>11.42</v>
      </c>
      <c r="AE16" s="1043"/>
      <c r="AF16" s="1042">
        <v>8.94</v>
      </c>
      <c r="AG16" s="1043"/>
      <c r="AH16" s="1049">
        <v>1.05</v>
      </c>
      <c r="AI16" s="1050"/>
    </row>
    <row r="17" spans="1:63" s="264" customFormat="1" x14ac:dyDescent="0.25">
      <c r="A17" s="72" t="s">
        <v>166</v>
      </c>
      <c r="B17" s="75"/>
      <c r="C17" s="73" t="s">
        <v>167</v>
      </c>
      <c r="D17" s="1056">
        <v>-2.4</v>
      </c>
      <c r="E17" s="1057"/>
      <c r="F17" s="1046">
        <v>17.940000000000001</v>
      </c>
      <c r="G17" s="1047"/>
      <c r="H17" s="1046">
        <v>8.5500000000000007</v>
      </c>
      <c r="I17" s="1047"/>
      <c r="J17" s="1046">
        <v>4.51</v>
      </c>
      <c r="K17" s="1047"/>
      <c r="L17" s="1046">
        <v>-10.28</v>
      </c>
      <c r="M17" s="1047"/>
      <c r="N17" s="1046">
        <v>4.0199999999999996</v>
      </c>
      <c r="O17" s="1047"/>
      <c r="P17" s="1046">
        <v>1.91</v>
      </c>
      <c r="Q17" s="1047"/>
      <c r="R17" s="1046">
        <v>-7.88</v>
      </c>
      <c r="S17" s="1047"/>
      <c r="T17" s="1046">
        <v>0.22</v>
      </c>
      <c r="U17" s="1048"/>
      <c r="V17" s="1049">
        <v>11.99</v>
      </c>
      <c r="W17" s="1050"/>
      <c r="X17" s="1042">
        <v>15.63</v>
      </c>
      <c r="Y17" s="1051"/>
      <c r="Z17" s="1042">
        <v>5.17</v>
      </c>
      <c r="AA17" s="1043"/>
      <c r="AB17" s="1042">
        <v>14.66</v>
      </c>
      <c r="AC17" s="1043"/>
      <c r="AD17" s="1042">
        <v>3.76</v>
      </c>
      <c r="AE17" s="1043"/>
      <c r="AF17" s="1042">
        <v>3.45</v>
      </c>
      <c r="AG17" s="1043"/>
      <c r="AH17" s="1049">
        <v>9.81</v>
      </c>
      <c r="AI17" s="1050"/>
    </row>
    <row r="18" spans="1:63" x14ac:dyDescent="0.25">
      <c r="A18" s="72" t="s">
        <v>168</v>
      </c>
      <c r="B18" s="75"/>
      <c r="C18" s="73" t="s">
        <v>169</v>
      </c>
      <c r="D18" s="1046">
        <v>3.37</v>
      </c>
      <c r="E18" s="1047"/>
      <c r="F18" s="1046">
        <v>4.03</v>
      </c>
      <c r="G18" s="1047"/>
      <c r="H18" s="1046">
        <v>7.98</v>
      </c>
      <c r="I18" s="1047"/>
      <c r="J18" s="1046">
        <v>3.33</v>
      </c>
      <c r="K18" s="1047"/>
      <c r="L18" s="1056">
        <v>3.1</v>
      </c>
      <c r="M18" s="1057"/>
      <c r="N18" s="1046">
        <v>5.98</v>
      </c>
      <c r="O18" s="1047"/>
      <c r="P18" s="1046">
        <v>3.82</v>
      </c>
      <c r="Q18" s="1047"/>
      <c r="R18" s="1046">
        <v>1.47</v>
      </c>
      <c r="S18" s="1047"/>
      <c r="T18" s="1046">
        <v>5.64</v>
      </c>
      <c r="U18" s="1048"/>
      <c r="V18" s="1049">
        <v>7.15</v>
      </c>
      <c r="W18" s="1050"/>
      <c r="X18" s="1042">
        <v>0.67</v>
      </c>
      <c r="Y18" s="1051"/>
      <c r="Z18" s="1042">
        <v>5.56</v>
      </c>
      <c r="AA18" s="1043"/>
      <c r="AB18" s="1042">
        <v>14.5</v>
      </c>
      <c r="AC18" s="1043"/>
      <c r="AD18" s="1042">
        <v>1.93</v>
      </c>
      <c r="AE18" s="1043"/>
      <c r="AF18" s="1042">
        <v>0.87</v>
      </c>
      <c r="AG18" s="1043"/>
      <c r="AH18" s="1049">
        <v>1.64</v>
      </c>
      <c r="AI18" s="1050"/>
    </row>
    <row r="19" spans="1:63" x14ac:dyDescent="0.25">
      <c r="A19" s="1084" t="s">
        <v>170</v>
      </c>
      <c r="B19" s="1085"/>
      <c r="C19" s="73" t="s">
        <v>171</v>
      </c>
      <c r="D19" s="1046">
        <v>6.53</v>
      </c>
      <c r="E19" s="1047"/>
      <c r="F19" s="1056">
        <v>7.48</v>
      </c>
      <c r="G19" s="1057"/>
      <c r="H19" s="1046">
        <v>6.48</v>
      </c>
      <c r="I19" s="1047"/>
      <c r="J19" s="1046">
        <v>2.33</v>
      </c>
      <c r="K19" s="1047"/>
      <c r="L19" s="1046">
        <v>3.69</v>
      </c>
      <c r="M19" s="1047"/>
      <c r="N19" s="1046">
        <v>2.4300000000000002</v>
      </c>
      <c r="O19" s="1047"/>
      <c r="P19" s="1046">
        <v>2.83</v>
      </c>
      <c r="Q19" s="1047"/>
      <c r="R19" s="1046">
        <v>10.65</v>
      </c>
      <c r="S19" s="1047"/>
      <c r="T19" s="1046">
        <v>4.76</v>
      </c>
      <c r="U19" s="1048"/>
      <c r="V19" s="1049">
        <v>0.12</v>
      </c>
      <c r="W19" s="1050"/>
      <c r="X19" s="1042">
        <v>4.13</v>
      </c>
      <c r="Y19" s="1051"/>
      <c r="Z19" s="1042">
        <v>6.2</v>
      </c>
      <c r="AA19" s="1043"/>
      <c r="AB19" s="1042">
        <v>1.2</v>
      </c>
      <c r="AC19" s="1043"/>
      <c r="AD19" s="1042">
        <v>-0.06</v>
      </c>
      <c r="AE19" s="1043"/>
      <c r="AF19" s="1042">
        <v>1.72</v>
      </c>
      <c r="AG19" s="1043"/>
      <c r="AH19" s="1049">
        <v>1.74</v>
      </c>
      <c r="AI19" s="1050"/>
    </row>
    <row r="20" spans="1:63" x14ac:dyDescent="0.25">
      <c r="A20" s="72" t="s">
        <v>172</v>
      </c>
      <c r="B20" s="75"/>
      <c r="C20" s="73" t="s">
        <v>173</v>
      </c>
      <c r="D20" s="1046">
        <v>8.65</v>
      </c>
      <c r="E20" s="1047"/>
      <c r="F20" s="1046">
        <v>7.58</v>
      </c>
      <c r="G20" s="1047"/>
      <c r="H20" s="1046">
        <v>10.41</v>
      </c>
      <c r="I20" s="1047"/>
      <c r="J20" s="1046">
        <v>11.97</v>
      </c>
      <c r="K20" s="1047"/>
      <c r="L20" s="1046">
        <v>2.21</v>
      </c>
      <c r="M20" s="1047"/>
      <c r="N20" s="1046">
        <v>0.23</v>
      </c>
      <c r="O20" s="1047"/>
      <c r="P20" s="1056">
        <v>-0.5</v>
      </c>
      <c r="Q20" s="1057"/>
      <c r="R20" s="1056">
        <v>1.9</v>
      </c>
      <c r="S20" s="1057"/>
      <c r="T20" s="1056">
        <v>4.5599999999999996</v>
      </c>
      <c r="U20" s="1086"/>
      <c r="V20" s="1049">
        <v>-1.46</v>
      </c>
      <c r="W20" s="1050"/>
      <c r="X20" s="1042">
        <v>16.59</v>
      </c>
      <c r="Y20" s="1051"/>
      <c r="Z20" s="1042">
        <v>6.24</v>
      </c>
      <c r="AA20" s="1043"/>
      <c r="AB20" s="1042">
        <v>2.8</v>
      </c>
      <c r="AC20" s="1043"/>
      <c r="AD20" s="1042">
        <v>3.49</v>
      </c>
      <c r="AE20" s="1043"/>
      <c r="AF20" s="1042">
        <v>-3.21</v>
      </c>
      <c r="AG20" s="1043"/>
      <c r="AH20" s="1049">
        <v>11.55</v>
      </c>
      <c r="AI20" s="1050"/>
    </row>
    <row r="21" spans="1:63" x14ac:dyDescent="0.25">
      <c r="A21" s="1080" t="s">
        <v>174</v>
      </c>
      <c r="B21" s="1081"/>
      <c r="C21" s="74" t="s">
        <v>175</v>
      </c>
      <c r="D21" s="1077">
        <v>6.82</v>
      </c>
      <c r="E21" s="1078"/>
      <c r="F21" s="1077">
        <v>2.56</v>
      </c>
      <c r="G21" s="1078"/>
      <c r="H21" s="1077">
        <v>3.37</v>
      </c>
      <c r="I21" s="1078"/>
      <c r="J21" s="1077">
        <v>1.22</v>
      </c>
      <c r="K21" s="1078"/>
      <c r="L21" s="1082">
        <v>0</v>
      </c>
      <c r="M21" s="1083"/>
      <c r="N21" s="1104">
        <v>1.75</v>
      </c>
      <c r="O21" s="1105"/>
      <c r="P21" s="1077">
        <v>-1.67</v>
      </c>
      <c r="Q21" s="1078"/>
      <c r="R21" s="1077">
        <v>-2.0099999999999998</v>
      </c>
      <c r="S21" s="1078"/>
      <c r="T21" s="1077">
        <v>-0.21</v>
      </c>
      <c r="U21" s="1079"/>
      <c r="V21" s="1049">
        <v>-7.81</v>
      </c>
      <c r="W21" s="1050"/>
      <c r="X21" s="1073">
        <v>23.25</v>
      </c>
      <c r="Y21" s="1103"/>
      <c r="Z21" s="1073">
        <v>7.92</v>
      </c>
      <c r="AA21" s="1074"/>
      <c r="AB21" s="1073">
        <v>24.53</v>
      </c>
      <c r="AC21" s="1074"/>
      <c r="AD21" s="1073">
        <v>5.64</v>
      </c>
      <c r="AE21" s="1074"/>
      <c r="AF21" s="1073">
        <v>-0.42</v>
      </c>
      <c r="AG21" s="1074"/>
      <c r="AH21" s="1118">
        <v>5.95</v>
      </c>
      <c r="AI21" s="1119"/>
    </row>
    <row r="22" spans="1:63" ht="15" customHeight="1" x14ac:dyDescent="0.25">
      <c r="A22" s="1075" t="s">
        <v>176</v>
      </c>
      <c r="B22" s="1076"/>
      <c r="C22" s="68" t="s">
        <v>177</v>
      </c>
      <c r="D22" s="1075">
        <v>6.03</v>
      </c>
      <c r="E22" s="1076"/>
      <c r="F22" s="1075">
        <v>9.16</v>
      </c>
      <c r="G22" s="1076"/>
      <c r="H22" s="1096">
        <v>7.56</v>
      </c>
      <c r="I22" s="1097"/>
      <c r="J22" s="1096">
        <v>7.5</v>
      </c>
      <c r="K22" s="1097"/>
      <c r="L22" s="1075">
        <v>0.95</v>
      </c>
      <c r="M22" s="1076"/>
      <c r="N22" s="1096">
        <v>0.6</v>
      </c>
      <c r="O22" s="1097"/>
      <c r="P22" s="1075">
        <v>2.16</v>
      </c>
      <c r="Q22" s="1076"/>
      <c r="R22" s="1075">
        <v>-0.23</v>
      </c>
      <c r="S22" s="1076"/>
      <c r="T22" s="1075">
        <v>3.79</v>
      </c>
      <c r="U22" s="1076"/>
      <c r="V22" s="1094">
        <v>3.34</v>
      </c>
      <c r="W22" s="1095"/>
      <c r="X22" s="1090">
        <v>7.41</v>
      </c>
      <c r="Y22" s="1091"/>
      <c r="Z22" s="1090">
        <v>6.19</v>
      </c>
      <c r="AA22" s="1091"/>
      <c r="AB22" s="1090">
        <v>9.8800000000000008</v>
      </c>
      <c r="AC22" s="1091"/>
      <c r="AD22" s="1090">
        <v>3.84</v>
      </c>
      <c r="AE22" s="1091"/>
      <c r="AF22" s="1090">
        <v>2.0499999999999998</v>
      </c>
      <c r="AG22" s="1091"/>
      <c r="AH22" s="1094">
        <v>6.89</v>
      </c>
      <c r="AI22" s="1095"/>
    </row>
    <row r="23" spans="1:63" x14ac:dyDescent="0.25">
      <c r="A23" s="69" t="s">
        <v>178</v>
      </c>
      <c r="B23" s="76"/>
      <c r="C23" s="71" t="s">
        <v>179</v>
      </c>
      <c r="D23" s="1058">
        <v>7.02</v>
      </c>
      <c r="E23" s="1059"/>
      <c r="F23" s="1058">
        <v>4.13</v>
      </c>
      <c r="G23" s="1059"/>
      <c r="H23" s="1064">
        <v>4.8</v>
      </c>
      <c r="I23" s="1065"/>
      <c r="J23" s="1058">
        <v>5.48</v>
      </c>
      <c r="K23" s="1059"/>
      <c r="L23" s="1058">
        <v>2.19</v>
      </c>
      <c r="M23" s="1059"/>
      <c r="N23" s="1058">
        <v>0.37</v>
      </c>
      <c r="O23" s="1059"/>
      <c r="P23" s="1058">
        <v>1.76</v>
      </c>
      <c r="Q23" s="1059"/>
      <c r="R23" s="1058">
        <v>2.91</v>
      </c>
      <c r="S23" s="1059"/>
      <c r="T23" s="1058">
        <v>-1.44</v>
      </c>
      <c r="U23" s="1060"/>
      <c r="V23" s="1049">
        <v>11.46</v>
      </c>
      <c r="W23" s="1050"/>
      <c r="X23" s="1042">
        <v>9.26</v>
      </c>
      <c r="Y23" s="1051"/>
      <c r="Z23" s="1052">
        <v>3.15</v>
      </c>
      <c r="AA23" s="1053"/>
      <c r="AB23" s="1052">
        <v>13.04</v>
      </c>
      <c r="AC23" s="1053"/>
      <c r="AD23" s="1052">
        <v>11.99</v>
      </c>
      <c r="AE23" s="1053"/>
      <c r="AF23" s="1052">
        <v>0.1</v>
      </c>
      <c r="AG23" s="1053"/>
      <c r="AH23" s="1116">
        <v>10.17</v>
      </c>
      <c r="AI23" s="1117"/>
    </row>
    <row r="24" spans="1:63" s="65" customFormat="1" x14ac:dyDescent="0.25">
      <c r="A24" s="1080" t="s">
        <v>180</v>
      </c>
      <c r="B24" s="1081"/>
      <c r="C24" s="74" t="s">
        <v>125</v>
      </c>
      <c r="D24" s="1077">
        <v>12.79</v>
      </c>
      <c r="E24" s="1078"/>
      <c r="F24" s="1077">
        <v>10.46</v>
      </c>
      <c r="G24" s="1078"/>
      <c r="H24" s="1077">
        <v>13.07</v>
      </c>
      <c r="I24" s="1078"/>
      <c r="J24" s="1077">
        <v>10.54</v>
      </c>
      <c r="K24" s="1078"/>
      <c r="L24" s="1082">
        <v>0</v>
      </c>
      <c r="M24" s="1083"/>
      <c r="N24" s="1077">
        <v>-0.12</v>
      </c>
      <c r="O24" s="1078"/>
      <c r="P24" s="1077">
        <v>0.04</v>
      </c>
      <c r="Q24" s="1078"/>
      <c r="R24" s="1077">
        <v>0.79</v>
      </c>
      <c r="S24" s="1078"/>
      <c r="T24" s="1077">
        <v>0</v>
      </c>
      <c r="U24" s="1079"/>
      <c r="V24" s="1049">
        <v>0.23</v>
      </c>
      <c r="W24" s="1050"/>
      <c r="X24" s="1042">
        <v>-2.86</v>
      </c>
      <c r="Y24" s="1051"/>
      <c r="Z24" s="1073">
        <v>-3.17</v>
      </c>
      <c r="AA24" s="1074"/>
      <c r="AB24" s="1073">
        <v>2.3199999999999998</v>
      </c>
      <c r="AC24" s="1074"/>
      <c r="AD24" s="1073">
        <v>9.5299999999999994</v>
      </c>
      <c r="AE24" s="1074"/>
      <c r="AF24" s="1073">
        <v>0</v>
      </c>
      <c r="AG24" s="1074"/>
      <c r="AH24" s="1118">
        <v>0.52</v>
      </c>
      <c r="AI24" s="1119"/>
      <c r="AJ24" s="264"/>
      <c r="AK24" s="264"/>
      <c r="AL24" s="264"/>
      <c r="AM24" s="264"/>
      <c r="AN24" s="264"/>
      <c r="AO24" s="264"/>
      <c r="AP24" s="264"/>
      <c r="AQ24" s="264"/>
      <c r="AR24" s="264"/>
      <c r="AS24" s="264"/>
      <c r="AT24" s="264"/>
      <c r="AU24" s="264"/>
      <c r="AV24" s="264"/>
      <c r="AW24" s="264"/>
      <c r="AX24" s="264"/>
      <c r="AY24" s="264"/>
      <c r="AZ24" s="264"/>
      <c r="BA24" s="264"/>
      <c r="BB24" s="264"/>
      <c r="BC24" s="264"/>
      <c r="BD24" s="264"/>
      <c r="BE24" s="264"/>
      <c r="BF24" s="264"/>
      <c r="BG24" s="264"/>
      <c r="BH24" s="264"/>
      <c r="BI24" s="264"/>
      <c r="BJ24" s="264"/>
      <c r="BK24" s="264"/>
    </row>
    <row r="25" spans="1:63" x14ac:dyDescent="0.25">
      <c r="A25" s="1101" t="s">
        <v>181</v>
      </c>
      <c r="B25" s="1102"/>
      <c r="C25" s="68" t="s">
        <v>182</v>
      </c>
      <c r="D25" s="1096">
        <v>12.4</v>
      </c>
      <c r="E25" s="1097"/>
      <c r="F25" s="1075">
        <v>9.9700000000000006</v>
      </c>
      <c r="G25" s="1076"/>
      <c r="H25" s="1075">
        <v>12.43</v>
      </c>
      <c r="I25" s="1076"/>
      <c r="J25" s="1096">
        <v>10.3</v>
      </c>
      <c r="K25" s="1097"/>
      <c r="L25" s="1075">
        <v>0.19</v>
      </c>
      <c r="M25" s="1076"/>
      <c r="N25" s="1075">
        <v>-0.09</v>
      </c>
      <c r="O25" s="1076"/>
      <c r="P25" s="1075">
        <v>0.18</v>
      </c>
      <c r="Q25" s="1076"/>
      <c r="R25" s="1075">
        <v>0.93</v>
      </c>
      <c r="S25" s="1076"/>
      <c r="T25" s="1075">
        <v>-0.15</v>
      </c>
      <c r="U25" s="1076"/>
      <c r="V25" s="1094">
        <v>1.25</v>
      </c>
      <c r="W25" s="1095"/>
      <c r="X25" s="1090">
        <v>-1.96</v>
      </c>
      <c r="Y25" s="1091"/>
      <c r="Z25" s="1090">
        <v>-2.52</v>
      </c>
      <c r="AA25" s="1091"/>
      <c r="AB25" s="1090">
        <v>3.32</v>
      </c>
      <c r="AC25" s="1091"/>
      <c r="AD25" s="1090">
        <v>9.93</v>
      </c>
      <c r="AE25" s="1091"/>
      <c r="AF25" s="1090">
        <v>0.09</v>
      </c>
      <c r="AG25" s="1091"/>
      <c r="AH25" s="1094">
        <v>1.83</v>
      </c>
      <c r="AI25" s="1095"/>
    </row>
    <row r="26" spans="1:63" x14ac:dyDescent="0.25">
      <c r="A26" s="1101" t="s">
        <v>183</v>
      </c>
      <c r="B26" s="1102"/>
      <c r="C26" s="68" t="s">
        <v>184</v>
      </c>
      <c r="D26" s="1075">
        <v>6.42</v>
      </c>
      <c r="E26" s="1076"/>
      <c r="F26" s="1075">
        <v>12.64</v>
      </c>
      <c r="G26" s="1076"/>
      <c r="H26" s="1075">
        <v>5.26</v>
      </c>
      <c r="I26" s="1076"/>
      <c r="J26" s="1075">
        <v>9.81</v>
      </c>
      <c r="K26" s="1076"/>
      <c r="L26" s="1096">
        <v>0.36</v>
      </c>
      <c r="M26" s="1097"/>
      <c r="N26" s="1075">
        <v>0.99</v>
      </c>
      <c r="O26" s="1076"/>
      <c r="P26" s="1096">
        <v>7</v>
      </c>
      <c r="Q26" s="1097"/>
      <c r="R26" s="1096">
        <v>0.95</v>
      </c>
      <c r="S26" s="1097"/>
      <c r="T26" s="1096">
        <v>3.33</v>
      </c>
      <c r="U26" s="1098"/>
      <c r="V26" s="1099">
        <v>3.71</v>
      </c>
      <c r="W26" s="1099"/>
      <c r="X26" s="1100">
        <v>8.41</v>
      </c>
      <c r="Y26" s="1100"/>
      <c r="Z26" s="1090">
        <v>4.04</v>
      </c>
      <c r="AA26" s="1091"/>
      <c r="AB26" s="1090">
        <v>11.89</v>
      </c>
      <c r="AC26" s="1091"/>
      <c r="AD26" s="1090">
        <v>3.45</v>
      </c>
      <c r="AE26" s="1091"/>
      <c r="AF26" s="1090">
        <v>3.93</v>
      </c>
      <c r="AG26" s="1091"/>
      <c r="AH26" s="1094">
        <v>9.92</v>
      </c>
      <c r="AI26" s="1095"/>
    </row>
    <row r="27" spans="1:63" x14ac:dyDescent="0.25">
      <c r="A27" s="1075" t="s">
        <v>185</v>
      </c>
      <c r="B27" s="1076"/>
      <c r="C27" s="68" t="s">
        <v>186</v>
      </c>
      <c r="D27" s="1075">
        <v>7.37</v>
      </c>
      <c r="E27" s="1076"/>
      <c r="F27" s="1075">
        <v>11.24</v>
      </c>
      <c r="G27" s="1076"/>
      <c r="H27" s="1075">
        <v>5.85</v>
      </c>
      <c r="I27" s="1076"/>
      <c r="J27" s="1075">
        <v>9.24</v>
      </c>
      <c r="K27" s="1076"/>
      <c r="L27" s="1075">
        <v>2.0699999999999998</v>
      </c>
      <c r="M27" s="1076"/>
      <c r="N27" s="1075">
        <v>1.59</v>
      </c>
      <c r="O27" s="1076"/>
      <c r="P27" s="1075">
        <v>6.08</v>
      </c>
      <c r="Q27" s="1076"/>
      <c r="R27" s="1075">
        <v>2.61</v>
      </c>
      <c r="S27" s="1076"/>
      <c r="T27" s="1075">
        <v>2.96</v>
      </c>
      <c r="U27" s="1076"/>
      <c r="V27" s="1094">
        <v>3.14</v>
      </c>
      <c r="W27" s="1095"/>
      <c r="X27" s="1090">
        <v>6.88</v>
      </c>
      <c r="Y27" s="1091"/>
      <c r="Z27" s="1090">
        <v>5</v>
      </c>
      <c r="AA27" s="1091"/>
      <c r="AB27" s="1090">
        <v>9.9</v>
      </c>
      <c r="AC27" s="1091"/>
      <c r="AD27" s="1090">
        <v>3.84</v>
      </c>
      <c r="AE27" s="1091"/>
      <c r="AF27" s="1090">
        <v>3.75</v>
      </c>
      <c r="AG27" s="1091"/>
      <c r="AH27" s="1094">
        <v>8.1999999999999993</v>
      </c>
      <c r="AI27" s="1095"/>
    </row>
    <row r="28" spans="1:63" x14ac:dyDescent="0.25">
      <c r="A28" s="1092" t="s">
        <v>187</v>
      </c>
      <c r="B28" s="1093"/>
      <c r="C28" s="77" t="s">
        <v>188</v>
      </c>
      <c r="D28" s="1058">
        <v>7.59</v>
      </c>
      <c r="E28" s="1059"/>
      <c r="F28" s="1058">
        <v>8.36</v>
      </c>
      <c r="G28" s="1059"/>
      <c r="H28" s="1058">
        <v>6.02</v>
      </c>
      <c r="I28" s="1059"/>
      <c r="J28" s="1058">
        <v>12.06</v>
      </c>
      <c r="K28" s="1059"/>
      <c r="L28" s="1058">
        <v>0.28000000000000003</v>
      </c>
      <c r="M28" s="1059"/>
      <c r="N28" s="1058">
        <v>-0.44</v>
      </c>
      <c r="O28" s="1059"/>
      <c r="P28" s="1064">
        <v>-0.6</v>
      </c>
      <c r="Q28" s="1065"/>
      <c r="R28" s="1064">
        <v>-2.37</v>
      </c>
      <c r="S28" s="1065"/>
      <c r="T28" s="1064">
        <v>11.29</v>
      </c>
      <c r="U28" s="1089"/>
      <c r="V28" s="1049">
        <v>4.76</v>
      </c>
      <c r="W28" s="1050"/>
      <c r="X28" s="1042">
        <v>-6.86</v>
      </c>
      <c r="Y28" s="1051"/>
      <c r="Z28" s="1052">
        <v>26.4</v>
      </c>
      <c r="AA28" s="1053"/>
      <c r="AB28" s="1052">
        <v>7.66</v>
      </c>
      <c r="AC28" s="1053"/>
      <c r="AD28" s="1052">
        <v>-0.11</v>
      </c>
      <c r="AE28" s="1053"/>
      <c r="AF28" s="1052">
        <v>6.17</v>
      </c>
      <c r="AG28" s="1053"/>
      <c r="AH28" s="1116">
        <v>0</v>
      </c>
      <c r="AI28" s="1117"/>
    </row>
    <row r="29" spans="1:63" x14ac:dyDescent="0.25">
      <c r="A29" s="1084" t="s">
        <v>189</v>
      </c>
      <c r="B29" s="1085"/>
      <c r="C29" s="78" t="s">
        <v>190</v>
      </c>
      <c r="D29" s="1046">
        <v>0.38</v>
      </c>
      <c r="E29" s="1047"/>
      <c r="F29" s="1046">
        <v>4.17</v>
      </c>
      <c r="G29" s="1047"/>
      <c r="H29" s="1046">
        <v>7.06</v>
      </c>
      <c r="I29" s="1047"/>
      <c r="J29" s="1046">
        <v>1.56</v>
      </c>
      <c r="K29" s="1047"/>
      <c r="L29" s="1046">
        <v>3.79</v>
      </c>
      <c r="M29" s="1047"/>
      <c r="N29" s="1046">
        <v>1.52</v>
      </c>
      <c r="O29" s="1047"/>
      <c r="P29" s="1046">
        <v>-1.42</v>
      </c>
      <c r="Q29" s="1047"/>
      <c r="R29" s="1046">
        <v>0.47</v>
      </c>
      <c r="S29" s="1047"/>
      <c r="T29" s="1046">
        <v>0.89</v>
      </c>
      <c r="U29" s="1048"/>
      <c r="V29" s="1049">
        <v>0</v>
      </c>
      <c r="W29" s="1050"/>
      <c r="X29" s="1042">
        <v>1.7</v>
      </c>
      <c r="Y29" s="1051"/>
      <c r="Z29" s="1042">
        <v>0</v>
      </c>
      <c r="AA29" s="1043"/>
      <c r="AB29" s="1042">
        <v>17.350000000000001</v>
      </c>
      <c r="AC29" s="1043"/>
      <c r="AD29" s="1042">
        <v>0</v>
      </c>
      <c r="AE29" s="1043"/>
      <c r="AF29" s="1042">
        <v>0</v>
      </c>
      <c r="AG29" s="1043"/>
      <c r="AH29" s="1049">
        <v>8.1199999999999992</v>
      </c>
      <c r="AI29" s="1050"/>
    </row>
    <row r="30" spans="1:63" x14ac:dyDescent="0.25">
      <c r="A30" s="1084" t="s">
        <v>191</v>
      </c>
      <c r="B30" s="1085"/>
      <c r="C30" s="78" t="s">
        <v>192</v>
      </c>
      <c r="D30" s="1046">
        <v>5.88</v>
      </c>
      <c r="E30" s="1047"/>
      <c r="F30" s="1046">
        <v>7.67</v>
      </c>
      <c r="G30" s="1047"/>
      <c r="H30" s="1046">
        <v>5.18</v>
      </c>
      <c r="I30" s="1047"/>
      <c r="J30" s="1046">
        <v>9.19</v>
      </c>
      <c r="K30" s="1047"/>
      <c r="L30" s="1046">
        <v>9.34</v>
      </c>
      <c r="M30" s="1047"/>
      <c r="N30" s="1056">
        <v>3.6</v>
      </c>
      <c r="O30" s="1057"/>
      <c r="P30" s="1046">
        <v>14.55</v>
      </c>
      <c r="Q30" s="1047"/>
      <c r="R30" s="1046">
        <v>-4.1399999999999997</v>
      </c>
      <c r="S30" s="1047"/>
      <c r="T30" s="1046">
        <v>10.39</v>
      </c>
      <c r="U30" s="1048"/>
      <c r="V30" s="1049">
        <v>9.15</v>
      </c>
      <c r="W30" s="1050"/>
      <c r="X30" s="1042">
        <v>17.53</v>
      </c>
      <c r="Y30" s="1051"/>
      <c r="Z30" s="1042">
        <v>15.52</v>
      </c>
      <c r="AA30" s="1043"/>
      <c r="AB30" s="1042">
        <v>8.67</v>
      </c>
      <c r="AC30" s="1043"/>
      <c r="AD30" s="1042">
        <v>9.2899999999999991</v>
      </c>
      <c r="AE30" s="1043"/>
      <c r="AF30" s="1042">
        <v>7.01</v>
      </c>
      <c r="AG30" s="1043"/>
      <c r="AH30" s="1049">
        <v>12.02</v>
      </c>
      <c r="AI30" s="1050"/>
    </row>
    <row r="31" spans="1:63" x14ac:dyDescent="0.25">
      <c r="A31" s="1084" t="s">
        <v>193</v>
      </c>
      <c r="B31" s="1085"/>
      <c r="C31" s="78" t="s">
        <v>194</v>
      </c>
      <c r="D31" s="1046">
        <v>10.06</v>
      </c>
      <c r="E31" s="1047"/>
      <c r="F31" s="1046">
        <v>2.08</v>
      </c>
      <c r="G31" s="1047"/>
      <c r="H31" s="1046">
        <v>0.72</v>
      </c>
      <c r="I31" s="1047"/>
      <c r="J31" s="1046">
        <v>5.01</v>
      </c>
      <c r="K31" s="1047"/>
      <c r="L31" s="1056">
        <v>0</v>
      </c>
      <c r="M31" s="1057"/>
      <c r="N31" s="1046">
        <v>1.35</v>
      </c>
      <c r="O31" s="1047"/>
      <c r="P31" s="1046">
        <v>3.86</v>
      </c>
      <c r="Q31" s="1047"/>
      <c r="R31" s="1046">
        <v>-20.79</v>
      </c>
      <c r="S31" s="1047"/>
      <c r="T31" s="1046">
        <v>25.27</v>
      </c>
      <c r="U31" s="1048"/>
      <c r="V31" s="1049">
        <v>-38.93</v>
      </c>
      <c r="W31" s="1050"/>
      <c r="X31" s="1042">
        <v>39.270000000000003</v>
      </c>
      <c r="Y31" s="1051"/>
      <c r="Z31" s="1042">
        <v>0</v>
      </c>
      <c r="AA31" s="1043"/>
      <c r="AB31" s="1042">
        <v>30.26</v>
      </c>
      <c r="AC31" s="1043"/>
      <c r="AD31" s="1042">
        <v>0</v>
      </c>
      <c r="AE31" s="1043"/>
      <c r="AF31" s="1042">
        <v>0</v>
      </c>
      <c r="AG31" s="1043"/>
      <c r="AH31" s="1049">
        <v>-13.11</v>
      </c>
      <c r="AI31" s="1050"/>
    </row>
    <row r="32" spans="1:63" x14ac:dyDescent="0.25">
      <c r="A32" s="1084" t="s">
        <v>195</v>
      </c>
      <c r="B32" s="1085"/>
      <c r="C32" s="78" t="s">
        <v>196</v>
      </c>
      <c r="D32" s="1046">
        <v>42.49</v>
      </c>
      <c r="E32" s="1047"/>
      <c r="F32" s="1056">
        <v>37.29</v>
      </c>
      <c r="G32" s="1057"/>
      <c r="H32" s="1046">
        <v>12.12</v>
      </c>
      <c r="I32" s="1047"/>
      <c r="J32" s="1046">
        <v>26.32</v>
      </c>
      <c r="K32" s="1047"/>
      <c r="L32" s="1046">
        <v>31.48</v>
      </c>
      <c r="M32" s="1047"/>
      <c r="N32" s="1046">
        <v>25.76</v>
      </c>
      <c r="O32" s="1047"/>
      <c r="P32" s="1046">
        <v>22.28</v>
      </c>
      <c r="Q32" s="1047"/>
      <c r="R32" s="1056">
        <v>-6.3</v>
      </c>
      <c r="S32" s="1057"/>
      <c r="T32" s="1056">
        <v>-7.3</v>
      </c>
      <c r="U32" s="1086"/>
      <c r="V32" s="1049">
        <v>-10.57</v>
      </c>
      <c r="W32" s="1050"/>
      <c r="X32" s="1042">
        <v>34.94</v>
      </c>
      <c r="Y32" s="1051"/>
      <c r="Z32" s="1042">
        <v>-25.47</v>
      </c>
      <c r="AA32" s="1043"/>
      <c r="AB32" s="1042">
        <v>12.67</v>
      </c>
      <c r="AC32" s="1043"/>
      <c r="AD32" s="1042">
        <v>-0.6</v>
      </c>
      <c r="AE32" s="1043"/>
      <c r="AF32" s="1042">
        <v>5.51</v>
      </c>
      <c r="AG32" s="1043"/>
      <c r="AH32" s="1049">
        <v>-0.53</v>
      </c>
      <c r="AI32" s="1050"/>
    </row>
    <row r="33" spans="1:35" x14ac:dyDescent="0.25">
      <c r="A33" s="1084" t="s">
        <v>197</v>
      </c>
      <c r="B33" s="1085"/>
      <c r="C33" s="78" t="s">
        <v>198</v>
      </c>
      <c r="D33" s="1046">
        <v>41.06</v>
      </c>
      <c r="E33" s="1047"/>
      <c r="F33" s="1046">
        <v>46.92</v>
      </c>
      <c r="G33" s="1047"/>
      <c r="H33" s="1046">
        <v>19.829999999999998</v>
      </c>
      <c r="I33" s="1047"/>
      <c r="J33" s="1046">
        <v>24.64</v>
      </c>
      <c r="K33" s="1047"/>
      <c r="L33" s="1046">
        <v>15.61</v>
      </c>
      <c r="M33" s="1047"/>
      <c r="N33" s="1046">
        <v>31.26</v>
      </c>
      <c r="O33" s="1047"/>
      <c r="P33" s="1046">
        <v>33.89</v>
      </c>
      <c r="Q33" s="1047"/>
      <c r="R33" s="1046">
        <v>3.82</v>
      </c>
      <c r="S33" s="1047"/>
      <c r="T33" s="1046">
        <v>-11.88</v>
      </c>
      <c r="U33" s="1048"/>
      <c r="V33" s="1049">
        <v>-20.420000000000002</v>
      </c>
      <c r="W33" s="1050"/>
      <c r="X33" s="1042">
        <v>25.12</v>
      </c>
      <c r="Y33" s="1051"/>
      <c r="Z33" s="1042">
        <v>-30.85</v>
      </c>
      <c r="AA33" s="1043"/>
      <c r="AB33" s="1042">
        <v>19.38</v>
      </c>
      <c r="AC33" s="1043"/>
      <c r="AD33" s="1042">
        <v>-0.35</v>
      </c>
      <c r="AE33" s="1043"/>
      <c r="AF33" s="1042">
        <v>7.24</v>
      </c>
      <c r="AG33" s="1043"/>
      <c r="AH33" s="1049">
        <v>20.23</v>
      </c>
      <c r="AI33" s="1050"/>
    </row>
    <row r="34" spans="1:35" x14ac:dyDescent="0.25">
      <c r="A34" s="1084" t="s">
        <v>199</v>
      </c>
      <c r="B34" s="1085"/>
      <c r="C34" s="78" t="s">
        <v>200</v>
      </c>
      <c r="D34" s="1046">
        <v>42.42</v>
      </c>
      <c r="E34" s="1047"/>
      <c r="F34" s="1056">
        <v>35.61</v>
      </c>
      <c r="G34" s="1057"/>
      <c r="H34" s="1046">
        <v>10.77</v>
      </c>
      <c r="I34" s="1047"/>
      <c r="J34" s="1046">
        <v>26.98</v>
      </c>
      <c r="K34" s="1047"/>
      <c r="L34" s="1046">
        <v>36.49</v>
      </c>
      <c r="M34" s="1047"/>
      <c r="N34" s="1046">
        <v>22.25</v>
      </c>
      <c r="O34" s="1047"/>
      <c r="P34" s="1046">
        <v>18.260000000000002</v>
      </c>
      <c r="Q34" s="1047"/>
      <c r="R34" s="1046">
        <v>-4.87</v>
      </c>
      <c r="S34" s="1047"/>
      <c r="T34" s="1046">
        <v>-9.4</v>
      </c>
      <c r="U34" s="1048"/>
      <c r="V34" s="1049">
        <v>-12.64</v>
      </c>
      <c r="W34" s="1050"/>
      <c r="X34" s="1042">
        <v>41.9</v>
      </c>
      <c r="Y34" s="1051"/>
      <c r="Z34" s="1042">
        <v>-22.37</v>
      </c>
      <c r="AA34" s="1043"/>
      <c r="AB34" s="1042">
        <v>12.1</v>
      </c>
      <c r="AC34" s="1043"/>
      <c r="AD34" s="1042">
        <v>-0.54</v>
      </c>
      <c r="AE34" s="1043"/>
      <c r="AF34" s="1042">
        <v>5.16</v>
      </c>
      <c r="AG34" s="1043"/>
      <c r="AH34" s="1049">
        <v>-1.38</v>
      </c>
      <c r="AI34" s="1050"/>
    </row>
    <row r="35" spans="1:35" x14ac:dyDescent="0.25">
      <c r="A35" s="1084" t="s">
        <v>201</v>
      </c>
      <c r="B35" s="1085"/>
      <c r="C35" s="78" t="s">
        <v>202</v>
      </c>
      <c r="D35" s="1056">
        <v>5.05</v>
      </c>
      <c r="E35" s="1057"/>
      <c r="F35" s="1046">
        <v>6.66</v>
      </c>
      <c r="G35" s="1047"/>
      <c r="H35" s="1046">
        <v>5.66</v>
      </c>
      <c r="I35" s="1047"/>
      <c r="J35" s="1046">
        <v>6.11</v>
      </c>
      <c r="K35" s="1047"/>
      <c r="L35" s="1046">
        <v>5.87</v>
      </c>
      <c r="M35" s="1047"/>
      <c r="N35" s="1046">
        <v>6.05</v>
      </c>
      <c r="O35" s="1047"/>
      <c r="P35" s="1046">
        <v>4.3899999999999997</v>
      </c>
      <c r="Q35" s="1047"/>
      <c r="R35" s="1046">
        <v>7.41</v>
      </c>
      <c r="S35" s="1047"/>
      <c r="T35" s="1046">
        <v>3.2</v>
      </c>
      <c r="U35" s="1048"/>
      <c r="V35" s="1049">
        <v>5.85</v>
      </c>
      <c r="W35" s="1050"/>
      <c r="X35" s="1042">
        <v>7.2</v>
      </c>
      <c r="Y35" s="1051"/>
      <c r="Z35" s="1042">
        <v>1.1200000000000001</v>
      </c>
      <c r="AA35" s="1043"/>
      <c r="AB35" s="1042">
        <v>1.43</v>
      </c>
      <c r="AC35" s="1043"/>
      <c r="AD35" s="1042">
        <v>2.4900000000000002</v>
      </c>
      <c r="AE35" s="1043"/>
      <c r="AF35" s="1042">
        <v>7.01</v>
      </c>
      <c r="AG35" s="1043"/>
      <c r="AH35" s="1049">
        <v>2.79</v>
      </c>
      <c r="AI35" s="1050"/>
    </row>
    <row r="36" spans="1:35" x14ac:dyDescent="0.25">
      <c r="A36" s="1084" t="s">
        <v>203</v>
      </c>
      <c r="B36" s="1085"/>
      <c r="C36" s="78" t="s">
        <v>204</v>
      </c>
      <c r="D36" s="1046">
        <v>7.76</v>
      </c>
      <c r="E36" s="1047"/>
      <c r="F36" s="1046">
        <v>3.86</v>
      </c>
      <c r="G36" s="1047"/>
      <c r="H36" s="1056">
        <v>2.8</v>
      </c>
      <c r="I36" s="1057"/>
      <c r="J36" s="1046">
        <v>2.58</v>
      </c>
      <c r="K36" s="1047"/>
      <c r="L36" s="1046">
        <v>0.76</v>
      </c>
      <c r="M36" s="1047"/>
      <c r="N36" s="1046">
        <v>-0.38</v>
      </c>
      <c r="O36" s="1047"/>
      <c r="P36" s="1046">
        <v>-1.38</v>
      </c>
      <c r="Q36" s="1047"/>
      <c r="R36" s="1046">
        <v>-3.56</v>
      </c>
      <c r="S36" s="1047"/>
      <c r="T36" s="1046">
        <v>-0.16</v>
      </c>
      <c r="U36" s="1048"/>
      <c r="V36" s="1049">
        <v>0.5</v>
      </c>
      <c r="W36" s="1050"/>
      <c r="X36" s="1042">
        <v>2.11</v>
      </c>
      <c r="Y36" s="1051"/>
      <c r="Z36" s="1042">
        <v>0.01</v>
      </c>
      <c r="AA36" s="1043"/>
      <c r="AB36" s="1042">
        <v>4.3899999999999997</v>
      </c>
      <c r="AC36" s="1043"/>
      <c r="AD36" s="1042">
        <v>-5.74</v>
      </c>
      <c r="AE36" s="1043"/>
      <c r="AF36" s="1042">
        <v>1.1000000000000001</v>
      </c>
      <c r="AG36" s="1043"/>
      <c r="AH36" s="1049">
        <v>0.86</v>
      </c>
      <c r="AI36" s="1050"/>
    </row>
    <row r="37" spans="1:35" x14ac:dyDescent="0.25">
      <c r="A37" s="1084" t="s">
        <v>205</v>
      </c>
      <c r="B37" s="1085"/>
      <c r="C37" s="78" t="s">
        <v>206</v>
      </c>
      <c r="D37" s="1046">
        <v>2.5099999999999998</v>
      </c>
      <c r="E37" s="1047"/>
      <c r="F37" s="1046">
        <v>2.34</v>
      </c>
      <c r="G37" s="1047"/>
      <c r="H37" s="1046">
        <v>1.29</v>
      </c>
      <c r="I37" s="1047"/>
      <c r="J37" s="1046">
        <v>1.07</v>
      </c>
      <c r="K37" s="1047"/>
      <c r="L37" s="1046">
        <v>1.07</v>
      </c>
      <c r="M37" s="1047"/>
      <c r="N37" s="1046">
        <v>1.51</v>
      </c>
      <c r="O37" s="1047"/>
      <c r="P37" s="1056">
        <v>7</v>
      </c>
      <c r="Q37" s="1057"/>
      <c r="R37" s="1056">
        <v>15.73</v>
      </c>
      <c r="S37" s="1057"/>
      <c r="T37" s="1056">
        <v>3.38</v>
      </c>
      <c r="U37" s="1086"/>
      <c r="V37" s="1049">
        <v>3.95</v>
      </c>
      <c r="W37" s="1050"/>
      <c r="X37" s="1042">
        <v>9.19</v>
      </c>
      <c r="Y37" s="1051"/>
      <c r="Z37" s="1042">
        <v>6.97</v>
      </c>
      <c r="AA37" s="1043"/>
      <c r="AB37" s="1042">
        <v>5.92</v>
      </c>
      <c r="AC37" s="1043"/>
      <c r="AD37" s="1042">
        <v>1.0900000000000001</v>
      </c>
      <c r="AE37" s="1043"/>
      <c r="AF37" s="1042">
        <v>7.28</v>
      </c>
      <c r="AG37" s="1043"/>
      <c r="AH37" s="1049">
        <v>7.87</v>
      </c>
      <c r="AI37" s="1050"/>
    </row>
    <row r="38" spans="1:35" x14ac:dyDescent="0.25">
      <c r="A38" s="1084" t="s">
        <v>168</v>
      </c>
      <c r="B38" s="1085"/>
      <c r="C38" s="78" t="s">
        <v>207</v>
      </c>
      <c r="D38" s="1046">
        <v>1.31</v>
      </c>
      <c r="E38" s="1047"/>
      <c r="F38" s="1046">
        <v>4.6900000000000004</v>
      </c>
      <c r="G38" s="1047"/>
      <c r="H38" s="1046">
        <v>5.01</v>
      </c>
      <c r="I38" s="1047"/>
      <c r="J38" s="1046">
        <v>5.01</v>
      </c>
      <c r="K38" s="1047"/>
      <c r="L38" s="1046">
        <v>9.98</v>
      </c>
      <c r="M38" s="1047"/>
      <c r="N38" s="1056">
        <v>0</v>
      </c>
      <c r="O38" s="1057"/>
      <c r="P38" s="1046">
        <v>5.28</v>
      </c>
      <c r="Q38" s="1047"/>
      <c r="R38" s="1046">
        <v>-13.54</v>
      </c>
      <c r="S38" s="1047"/>
      <c r="T38" s="1046">
        <v>7.25</v>
      </c>
      <c r="U38" s="1048"/>
      <c r="V38" s="1049">
        <v>6.06</v>
      </c>
      <c r="W38" s="1050"/>
      <c r="X38" s="1042">
        <v>13.72</v>
      </c>
      <c r="Y38" s="1051"/>
      <c r="Z38" s="1042">
        <v>16.84</v>
      </c>
      <c r="AA38" s="1043"/>
      <c r="AB38" s="1042">
        <v>-6.43</v>
      </c>
      <c r="AC38" s="1043"/>
      <c r="AD38" s="1042">
        <v>0</v>
      </c>
      <c r="AE38" s="1043"/>
      <c r="AF38" s="1042">
        <v>0</v>
      </c>
      <c r="AG38" s="1043"/>
      <c r="AH38" s="1049">
        <v>3.6</v>
      </c>
      <c r="AI38" s="1050"/>
    </row>
    <row r="39" spans="1:35" x14ac:dyDescent="0.25">
      <c r="A39" s="1084" t="s">
        <v>208</v>
      </c>
      <c r="B39" s="1085"/>
      <c r="C39" s="78" t="s">
        <v>209</v>
      </c>
      <c r="D39" s="1056">
        <v>0</v>
      </c>
      <c r="E39" s="1057"/>
      <c r="F39" s="1056">
        <v>33.1</v>
      </c>
      <c r="G39" s="1057"/>
      <c r="H39" s="1046">
        <v>45.54</v>
      </c>
      <c r="I39" s="1047"/>
      <c r="J39" s="1046">
        <v>40.770000000000003</v>
      </c>
      <c r="K39" s="1047"/>
      <c r="L39" s="1046">
        <v>-35.67</v>
      </c>
      <c r="M39" s="1047"/>
      <c r="N39" s="1056">
        <v>10</v>
      </c>
      <c r="O39" s="1057"/>
      <c r="P39" s="1056">
        <v>15</v>
      </c>
      <c r="Q39" s="1057"/>
      <c r="R39" s="1056">
        <v>11.2</v>
      </c>
      <c r="S39" s="1057"/>
      <c r="T39" s="1056">
        <v>0</v>
      </c>
      <c r="U39" s="1086"/>
      <c r="V39" s="1049">
        <v>0</v>
      </c>
      <c r="W39" s="1050"/>
      <c r="X39" s="1042">
        <v>0</v>
      </c>
      <c r="Y39" s="1051"/>
      <c r="Z39" s="1042">
        <v>0</v>
      </c>
      <c r="AA39" s="1043"/>
      <c r="AB39" s="1042">
        <v>0</v>
      </c>
      <c r="AC39" s="1043"/>
      <c r="AD39" s="1042">
        <v>0</v>
      </c>
      <c r="AE39" s="1043"/>
      <c r="AF39" s="1042">
        <v>0</v>
      </c>
      <c r="AG39" s="1043"/>
      <c r="AH39" s="1049">
        <v>0</v>
      </c>
      <c r="AI39" s="1050"/>
    </row>
    <row r="40" spans="1:35" x14ac:dyDescent="0.25">
      <c r="A40" s="1084" t="s">
        <v>210</v>
      </c>
      <c r="B40" s="1085"/>
      <c r="C40" s="78" t="s">
        <v>211</v>
      </c>
      <c r="D40" s="1046">
        <v>-3.35</v>
      </c>
      <c r="E40" s="1047"/>
      <c r="F40" s="1046">
        <v>16.37</v>
      </c>
      <c r="G40" s="1047"/>
      <c r="H40" s="1056">
        <v>5</v>
      </c>
      <c r="I40" s="1057"/>
      <c r="J40" s="1046">
        <v>11.37</v>
      </c>
      <c r="K40" s="1047"/>
      <c r="L40" s="1046">
        <v>2.82</v>
      </c>
      <c r="M40" s="1047"/>
      <c r="N40" s="1046">
        <v>2.81</v>
      </c>
      <c r="O40" s="1047"/>
      <c r="P40" s="1046">
        <v>0.45</v>
      </c>
      <c r="Q40" s="1047"/>
      <c r="R40" s="1046">
        <v>4.54</v>
      </c>
      <c r="S40" s="1047"/>
      <c r="T40" s="1046">
        <v>2.16</v>
      </c>
      <c r="U40" s="1048"/>
      <c r="V40" s="1049">
        <v>5</v>
      </c>
      <c r="W40" s="1050"/>
      <c r="X40" s="1042">
        <v>13.41</v>
      </c>
      <c r="Y40" s="1051"/>
      <c r="Z40" s="1042">
        <v>7.38</v>
      </c>
      <c r="AA40" s="1043"/>
      <c r="AB40" s="1042">
        <v>5.12</v>
      </c>
      <c r="AC40" s="1043"/>
      <c r="AD40" s="1042">
        <v>1.61</v>
      </c>
      <c r="AE40" s="1043"/>
      <c r="AF40" s="1042">
        <v>2.86</v>
      </c>
      <c r="AG40" s="1043"/>
      <c r="AH40" s="1049">
        <v>4.92</v>
      </c>
      <c r="AI40" s="1050"/>
    </row>
    <row r="41" spans="1:35" x14ac:dyDescent="0.25">
      <c r="A41" s="1084" t="s">
        <v>212</v>
      </c>
      <c r="B41" s="1085"/>
      <c r="C41" s="78" t="s">
        <v>213</v>
      </c>
      <c r="D41" s="1046">
        <v>41.72</v>
      </c>
      <c r="E41" s="1047"/>
      <c r="F41" s="1056">
        <v>35.6</v>
      </c>
      <c r="G41" s="1057"/>
      <c r="H41" s="1046">
        <v>10.34</v>
      </c>
      <c r="I41" s="1047"/>
      <c r="J41" s="1046">
        <v>29.95</v>
      </c>
      <c r="K41" s="1047"/>
      <c r="L41" s="1046">
        <v>20.66</v>
      </c>
      <c r="M41" s="1047"/>
      <c r="N41" s="1046">
        <v>21.97</v>
      </c>
      <c r="O41" s="1047"/>
      <c r="P41" s="1046">
        <v>16.34</v>
      </c>
      <c r="Q41" s="1047"/>
      <c r="R41" s="1046">
        <v>1.22</v>
      </c>
      <c r="S41" s="1047"/>
      <c r="T41" s="1046">
        <v>-10.02</v>
      </c>
      <c r="U41" s="1048"/>
      <c r="V41" s="1049">
        <v>-16.170000000000002</v>
      </c>
      <c r="W41" s="1050"/>
      <c r="X41" s="1042">
        <v>41.86</v>
      </c>
      <c r="Y41" s="1051"/>
      <c r="Z41" s="1042">
        <v>-29.14</v>
      </c>
      <c r="AA41" s="1043"/>
      <c r="AB41" s="1042">
        <v>16.79</v>
      </c>
      <c r="AC41" s="1043"/>
      <c r="AD41" s="1042">
        <v>0</v>
      </c>
      <c r="AE41" s="1043"/>
      <c r="AF41" s="1042">
        <v>5.5</v>
      </c>
      <c r="AG41" s="1043"/>
      <c r="AH41" s="1049">
        <v>8.42</v>
      </c>
      <c r="AI41" s="1050"/>
    </row>
    <row r="42" spans="1:35" x14ac:dyDescent="0.25">
      <c r="A42" s="1084" t="s">
        <v>214</v>
      </c>
      <c r="B42" s="1085"/>
      <c r="C42" s="78" t="s">
        <v>215</v>
      </c>
      <c r="D42" s="1046">
        <v>42.44</v>
      </c>
      <c r="E42" s="1047"/>
      <c r="F42" s="1046">
        <v>35.590000000000003</v>
      </c>
      <c r="G42" s="1047"/>
      <c r="H42" s="1046">
        <v>12.36</v>
      </c>
      <c r="I42" s="1047"/>
      <c r="J42" s="1046">
        <v>15.51</v>
      </c>
      <c r="K42" s="1047"/>
      <c r="L42" s="1046">
        <v>35.229999999999997</v>
      </c>
      <c r="M42" s="1047"/>
      <c r="N42" s="1046">
        <v>22.07</v>
      </c>
      <c r="O42" s="1047"/>
      <c r="P42" s="1046">
        <v>10.24</v>
      </c>
      <c r="Q42" s="1047"/>
      <c r="R42" s="1046">
        <v>10.58</v>
      </c>
      <c r="S42" s="1047"/>
      <c r="T42" s="1046">
        <v>-4.38</v>
      </c>
      <c r="U42" s="1048"/>
      <c r="V42" s="1049">
        <v>-2.39</v>
      </c>
      <c r="W42" s="1050"/>
      <c r="X42" s="1042">
        <v>13.28</v>
      </c>
      <c r="Y42" s="1051"/>
      <c r="Z42" s="1042">
        <v>-25.97</v>
      </c>
      <c r="AA42" s="1043"/>
      <c r="AB42" s="1042">
        <v>6.51</v>
      </c>
      <c r="AC42" s="1043"/>
      <c r="AD42" s="1042">
        <v>0</v>
      </c>
      <c r="AE42" s="1043"/>
      <c r="AF42" s="1042">
        <v>6.08</v>
      </c>
      <c r="AG42" s="1043"/>
      <c r="AH42" s="1049">
        <v>1.89</v>
      </c>
      <c r="AI42" s="1050"/>
    </row>
    <row r="43" spans="1:35" x14ac:dyDescent="0.25">
      <c r="A43" s="1084" t="s">
        <v>216</v>
      </c>
      <c r="B43" s="1085"/>
      <c r="C43" s="78" t="s">
        <v>217</v>
      </c>
      <c r="D43" s="1056">
        <v>0</v>
      </c>
      <c r="E43" s="1057"/>
      <c r="F43" s="1056">
        <v>0</v>
      </c>
      <c r="G43" s="1057"/>
      <c r="H43" s="1056">
        <v>0</v>
      </c>
      <c r="I43" s="1057"/>
      <c r="J43" s="1056">
        <v>0</v>
      </c>
      <c r="K43" s="1057"/>
      <c r="L43" s="1056">
        <v>0</v>
      </c>
      <c r="M43" s="1057"/>
      <c r="N43" s="1056">
        <v>0</v>
      </c>
      <c r="O43" s="1057"/>
      <c r="P43" s="1046">
        <v>8.1300000000000008</v>
      </c>
      <c r="Q43" s="1047"/>
      <c r="R43" s="1046">
        <v>16.07</v>
      </c>
      <c r="S43" s="1047"/>
      <c r="T43" s="1046">
        <v>3</v>
      </c>
      <c r="U43" s="1048"/>
      <c r="V43" s="1049">
        <v>3</v>
      </c>
      <c r="W43" s="1050"/>
      <c r="X43" s="1042">
        <v>9.5</v>
      </c>
      <c r="Y43" s="1051"/>
      <c r="Z43" s="1042">
        <v>10</v>
      </c>
      <c r="AA43" s="1043"/>
      <c r="AB43" s="1042">
        <v>0.93</v>
      </c>
      <c r="AC43" s="1043"/>
      <c r="AD43" s="1042">
        <v>0</v>
      </c>
      <c r="AE43" s="1043"/>
      <c r="AF43" s="1042">
        <v>10.24</v>
      </c>
      <c r="AG43" s="1043"/>
      <c r="AH43" s="1049">
        <v>8.6199999999999992</v>
      </c>
      <c r="AI43" s="1050"/>
    </row>
    <row r="44" spans="1:35" x14ac:dyDescent="0.25">
      <c r="A44" s="1084" t="s">
        <v>218</v>
      </c>
      <c r="B44" s="1085"/>
      <c r="C44" s="78" t="s">
        <v>219</v>
      </c>
      <c r="D44" s="1056">
        <v>0</v>
      </c>
      <c r="E44" s="1057"/>
      <c r="F44" s="1056">
        <v>0</v>
      </c>
      <c r="G44" s="1057"/>
      <c r="H44" s="1056">
        <v>0</v>
      </c>
      <c r="I44" s="1057"/>
      <c r="J44" s="1056">
        <v>0</v>
      </c>
      <c r="K44" s="1057"/>
      <c r="L44" s="1056">
        <v>0</v>
      </c>
      <c r="M44" s="1057"/>
      <c r="N44" s="1056">
        <v>0</v>
      </c>
      <c r="O44" s="1057"/>
      <c r="P44" s="1046">
        <v>8.1300000000000008</v>
      </c>
      <c r="Q44" s="1047"/>
      <c r="R44" s="1056">
        <v>15.9</v>
      </c>
      <c r="S44" s="1057"/>
      <c r="T44" s="1056">
        <v>3</v>
      </c>
      <c r="U44" s="1086"/>
      <c r="V44" s="1049">
        <v>3</v>
      </c>
      <c r="W44" s="1050"/>
      <c r="X44" s="1042">
        <v>9.5</v>
      </c>
      <c r="Y44" s="1051"/>
      <c r="Z44" s="1042">
        <v>10</v>
      </c>
      <c r="AA44" s="1043"/>
      <c r="AB44" s="1042">
        <v>0.96</v>
      </c>
      <c r="AC44" s="1043"/>
      <c r="AD44" s="1042">
        <v>0</v>
      </c>
      <c r="AE44" s="1043"/>
      <c r="AF44" s="1042">
        <v>9.18</v>
      </c>
      <c r="AG44" s="1043"/>
      <c r="AH44" s="1049">
        <v>8.93</v>
      </c>
      <c r="AI44" s="1050"/>
    </row>
    <row r="45" spans="1:35" x14ac:dyDescent="0.25">
      <c r="A45" s="1084" t="s">
        <v>220</v>
      </c>
      <c r="B45" s="1085"/>
      <c r="C45" s="78" t="s">
        <v>221</v>
      </c>
      <c r="D45" s="1056">
        <v>0</v>
      </c>
      <c r="E45" s="1057"/>
      <c r="F45" s="1056">
        <v>0</v>
      </c>
      <c r="G45" s="1057"/>
      <c r="H45" s="1056">
        <v>0</v>
      </c>
      <c r="I45" s="1057"/>
      <c r="J45" s="1056">
        <v>0</v>
      </c>
      <c r="K45" s="1057"/>
      <c r="L45" s="1046">
        <v>0.19</v>
      </c>
      <c r="M45" s="1047"/>
      <c r="N45" s="1056">
        <v>0</v>
      </c>
      <c r="O45" s="1057"/>
      <c r="P45" s="1046">
        <v>8.1300000000000008</v>
      </c>
      <c r="Q45" s="1047"/>
      <c r="R45" s="1046">
        <v>15.89</v>
      </c>
      <c r="S45" s="1047"/>
      <c r="T45" s="1046">
        <v>3</v>
      </c>
      <c r="U45" s="1048"/>
      <c r="V45" s="1049">
        <v>3</v>
      </c>
      <c r="W45" s="1050"/>
      <c r="X45" s="1042">
        <v>9.5</v>
      </c>
      <c r="Y45" s="1051"/>
      <c r="Z45" s="1042">
        <v>10</v>
      </c>
      <c r="AA45" s="1043"/>
      <c r="AB45" s="1042">
        <v>0.95</v>
      </c>
      <c r="AC45" s="1043"/>
      <c r="AD45" s="1042">
        <v>0</v>
      </c>
      <c r="AE45" s="1043"/>
      <c r="AF45" s="1042">
        <v>9.18</v>
      </c>
      <c r="AG45" s="1043"/>
      <c r="AH45" s="1049">
        <v>9.1300000000000008</v>
      </c>
      <c r="AI45" s="1050"/>
    </row>
    <row r="46" spans="1:35" x14ac:dyDescent="0.25">
      <c r="A46" s="1084" t="s">
        <v>222</v>
      </c>
      <c r="B46" s="1085"/>
      <c r="C46" s="78" t="s">
        <v>223</v>
      </c>
      <c r="D46" s="1056">
        <v>0</v>
      </c>
      <c r="E46" s="1057"/>
      <c r="F46" s="1056">
        <v>0</v>
      </c>
      <c r="G46" s="1057"/>
      <c r="H46" s="1046">
        <v>1.31</v>
      </c>
      <c r="I46" s="1047"/>
      <c r="J46" s="1056">
        <v>0</v>
      </c>
      <c r="K46" s="1057"/>
      <c r="L46" s="1056">
        <v>0</v>
      </c>
      <c r="M46" s="1057"/>
      <c r="N46" s="1056">
        <v>0</v>
      </c>
      <c r="O46" s="1057"/>
      <c r="P46" s="1046">
        <v>8.1300000000000008</v>
      </c>
      <c r="Q46" s="1047"/>
      <c r="R46" s="1056">
        <v>15.9</v>
      </c>
      <c r="S46" s="1057"/>
      <c r="T46" s="1056">
        <v>3.79</v>
      </c>
      <c r="U46" s="1086"/>
      <c r="V46" s="1049">
        <v>3</v>
      </c>
      <c r="W46" s="1050"/>
      <c r="X46" s="1042">
        <v>9.51</v>
      </c>
      <c r="Y46" s="1051"/>
      <c r="Z46" s="1042">
        <v>10</v>
      </c>
      <c r="AA46" s="1043"/>
      <c r="AB46" s="1042">
        <v>9.59</v>
      </c>
      <c r="AC46" s="1043"/>
      <c r="AD46" s="1042">
        <v>0</v>
      </c>
      <c r="AE46" s="1043"/>
      <c r="AF46" s="1042">
        <v>6.32</v>
      </c>
      <c r="AG46" s="1043"/>
      <c r="AH46" s="1049">
        <v>1.3</v>
      </c>
      <c r="AI46" s="1050"/>
    </row>
    <row r="47" spans="1:35" ht="14.25" customHeight="1" x14ac:dyDescent="0.25">
      <c r="A47" s="1084" t="s">
        <v>224</v>
      </c>
      <c r="B47" s="1085"/>
      <c r="C47" s="78" t="s">
        <v>225</v>
      </c>
      <c r="D47" s="1056">
        <v>0</v>
      </c>
      <c r="E47" s="1057"/>
      <c r="F47" s="1056">
        <v>0</v>
      </c>
      <c r="G47" s="1057"/>
      <c r="H47" s="1046">
        <v>1.45</v>
      </c>
      <c r="I47" s="1047"/>
      <c r="J47" s="1056">
        <v>0</v>
      </c>
      <c r="K47" s="1057"/>
      <c r="L47" s="1056">
        <v>0</v>
      </c>
      <c r="M47" s="1057"/>
      <c r="N47" s="1056">
        <v>0</v>
      </c>
      <c r="O47" s="1057"/>
      <c r="P47" s="1046">
        <v>8.1300000000000008</v>
      </c>
      <c r="Q47" s="1047"/>
      <c r="R47" s="1046">
        <v>15.89</v>
      </c>
      <c r="S47" s="1047"/>
      <c r="T47" s="1046">
        <v>3</v>
      </c>
      <c r="U47" s="1048"/>
      <c r="V47" s="1049">
        <v>3</v>
      </c>
      <c r="W47" s="1050"/>
      <c r="X47" s="1042">
        <v>9.5</v>
      </c>
      <c r="Y47" s="1051"/>
      <c r="Z47" s="1042">
        <v>10</v>
      </c>
      <c r="AA47" s="1043"/>
      <c r="AB47" s="1042">
        <v>9.3800000000000008</v>
      </c>
      <c r="AC47" s="1043"/>
      <c r="AD47" s="1042">
        <v>0</v>
      </c>
      <c r="AE47" s="1043"/>
      <c r="AF47" s="1042">
        <v>6.21</v>
      </c>
      <c r="AG47" s="1043"/>
      <c r="AH47" s="1049">
        <v>13</v>
      </c>
      <c r="AI47" s="1050"/>
    </row>
    <row r="48" spans="1:35" x14ac:dyDescent="0.25">
      <c r="A48" s="1084" t="s">
        <v>788</v>
      </c>
      <c r="B48" s="1085"/>
      <c r="C48" s="78" t="s">
        <v>226</v>
      </c>
      <c r="D48" s="1056">
        <v>0</v>
      </c>
      <c r="E48" s="1057"/>
      <c r="F48" s="1056">
        <v>0</v>
      </c>
      <c r="G48" s="1057"/>
      <c r="H48" s="1046">
        <v>1.29</v>
      </c>
      <c r="I48" s="1047"/>
      <c r="J48" s="1056">
        <v>0</v>
      </c>
      <c r="K48" s="1057"/>
      <c r="L48" s="1056">
        <v>0</v>
      </c>
      <c r="M48" s="1057"/>
      <c r="N48" s="1056">
        <v>0</v>
      </c>
      <c r="O48" s="1057"/>
      <c r="P48" s="1046">
        <v>8.1300000000000008</v>
      </c>
      <c r="Q48" s="1047"/>
      <c r="R48" s="1056">
        <v>15.9</v>
      </c>
      <c r="S48" s="1057"/>
      <c r="T48" s="1056">
        <v>3</v>
      </c>
      <c r="U48" s="1086"/>
      <c r="V48" s="1049">
        <v>3</v>
      </c>
      <c r="W48" s="1050"/>
      <c r="X48" s="1042">
        <v>9.5</v>
      </c>
      <c r="Y48" s="1051"/>
      <c r="Z48" s="1042">
        <v>10</v>
      </c>
      <c r="AA48" s="1043"/>
      <c r="AB48" s="1042">
        <v>9.2100000000000009</v>
      </c>
      <c r="AC48" s="1043"/>
      <c r="AD48" s="1042">
        <v>0</v>
      </c>
      <c r="AE48" s="1043"/>
      <c r="AF48" s="1042">
        <v>7.3</v>
      </c>
      <c r="AG48" s="1043"/>
      <c r="AH48" s="1049">
        <v>11.7</v>
      </c>
      <c r="AI48" s="1050"/>
    </row>
    <row r="49" spans="1:35" x14ac:dyDescent="0.25">
      <c r="A49" s="1084" t="s">
        <v>227</v>
      </c>
      <c r="B49" s="1085"/>
      <c r="C49" s="78" t="s">
        <v>228</v>
      </c>
      <c r="D49" s="1056">
        <v>0</v>
      </c>
      <c r="E49" s="1057"/>
      <c r="F49" s="1056">
        <v>0</v>
      </c>
      <c r="G49" s="1057"/>
      <c r="H49" s="1046">
        <v>1.32</v>
      </c>
      <c r="I49" s="1047"/>
      <c r="J49" s="1056">
        <v>0</v>
      </c>
      <c r="K49" s="1057"/>
      <c r="L49" s="1056">
        <v>0</v>
      </c>
      <c r="M49" s="1057"/>
      <c r="N49" s="1056">
        <v>0</v>
      </c>
      <c r="O49" s="1057"/>
      <c r="P49" s="1046">
        <v>8.1300000000000008</v>
      </c>
      <c r="Q49" s="1047"/>
      <c r="R49" s="1056">
        <v>15.9</v>
      </c>
      <c r="S49" s="1057"/>
      <c r="T49" s="1056">
        <v>3</v>
      </c>
      <c r="U49" s="1086"/>
      <c r="V49" s="1049">
        <v>3</v>
      </c>
      <c r="W49" s="1050"/>
      <c r="X49" s="1042">
        <v>9.5</v>
      </c>
      <c r="Y49" s="1051"/>
      <c r="Z49" s="1042">
        <v>10</v>
      </c>
      <c r="AA49" s="1043"/>
      <c r="AB49" s="1042">
        <v>10.4</v>
      </c>
      <c r="AC49" s="1043"/>
      <c r="AD49" s="1042">
        <v>0</v>
      </c>
      <c r="AE49" s="1043"/>
      <c r="AF49" s="1042">
        <v>7.3</v>
      </c>
      <c r="AG49" s="1043"/>
      <c r="AH49" s="1049">
        <v>10.8</v>
      </c>
      <c r="AI49" s="1050"/>
    </row>
    <row r="50" spans="1:35" x14ac:dyDescent="0.25">
      <c r="A50" s="1084" t="s">
        <v>229</v>
      </c>
      <c r="B50" s="1085"/>
      <c r="C50" s="78" t="s">
        <v>230</v>
      </c>
      <c r="D50" s="1046">
        <v>37.74</v>
      </c>
      <c r="E50" s="1047"/>
      <c r="F50" s="1046">
        <v>48.04</v>
      </c>
      <c r="G50" s="1047"/>
      <c r="H50" s="1046">
        <v>20.010000000000002</v>
      </c>
      <c r="I50" s="1047"/>
      <c r="J50" s="1046">
        <v>24.36</v>
      </c>
      <c r="K50" s="1047"/>
      <c r="L50" s="1046">
        <v>14.43</v>
      </c>
      <c r="M50" s="1047"/>
      <c r="N50" s="1046">
        <v>33.78</v>
      </c>
      <c r="O50" s="1047"/>
      <c r="P50" s="1046">
        <v>40.92</v>
      </c>
      <c r="Q50" s="1047"/>
      <c r="R50" s="1046">
        <v>5.18</v>
      </c>
      <c r="S50" s="1047"/>
      <c r="T50" s="1046">
        <v>-12.57</v>
      </c>
      <c r="U50" s="1048"/>
      <c r="V50" s="1049">
        <v>-12.1</v>
      </c>
      <c r="W50" s="1050"/>
      <c r="X50" s="1042">
        <v>14.85</v>
      </c>
      <c r="Y50" s="1051"/>
      <c r="Z50" s="1042">
        <v>-33.67</v>
      </c>
      <c r="AA50" s="1043"/>
      <c r="AB50" s="1042">
        <v>12.08</v>
      </c>
      <c r="AC50" s="1043"/>
      <c r="AD50" s="1042">
        <v>0.45</v>
      </c>
      <c r="AE50" s="1043"/>
      <c r="AF50" s="1042">
        <v>10.09</v>
      </c>
      <c r="AG50" s="1043"/>
      <c r="AH50" s="1049">
        <v>24.86</v>
      </c>
      <c r="AI50" s="1050"/>
    </row>
    <row r="51" spans="1:35" x14ac:dyDescent="0.25">
      <c r="A51" s="1084" t="s">
        <v>231</v>
      </c>
      <c r="B51" s="1085"/>
      <c r="C51" s="78" t="s">
        <v>232</v>
      </c>
      <c r="D51" s="1046">
        <v>10.41</v>
      </c>
      <c r="E51" s="1047"/>
      <c r="F51" s="1046">
        <v>4.9800000000000004</v>
      </c>
      <c r="G51" s="1047"/>
      <c r="H51" s="1046">
        <v>1.61</v>
      </c>
      <c r="I51" s="1047"/>
      <c r="J51" s="1046">
        <v>10.18</v>
      </c>
      <c r="K51" s="1047"/>
      <c r="L51" s="1046">
        <v>5.34</v>
      </c>
      <c r="M51" s="1047"/>
      <c r="N51" s="1056">
        <v>0</v>
      </c>
      <c r="O51" s="1057"/>
      <c r="P51" s="1056">
        <v>0</v>
      </c>
      <c r="Q51" s="1057"/>
      <c r="R51" s="1056">
        <v>19.72</v>
      </c>
      <c r="S51" s="1057"/>
      <c r="T51" s="1056">
        <v>4.99</v>
      </c>
      <c r="U51" s="1086"/>
      <c r="V51" s="1049">
        <v>1.25</v>
      </c>
      <c r="W51" s="1050"/>
      <c r="X51" s="1042">
        <v>-4.42</v>
      </c>
      <c r="Y51" s="1051"/>
      <c r="Z51" s="1042">
        <v>43.68</v>
      </c>
      <c r="AA51" s="1043"/>
      <c r="AB51" s="1042">
        <v>1.96</v>
      </c>
      <c r="AC51" s="1043"/>
      <c r="AD51" s="1042">
        <v>-7.04</v>
      </c>
      <c r="AE51" s="1043"/>
      <c r="AF51" s="1042">
        <v>4.49</v>
      </c>
      <c r="AG51" s="1043"/>
      <c r="AH51" s="1049">
        <v>0</v>
      </c>
      <c r="AI51" s="1050"/>
    </row>
    <row r="52" spans="1:35" x14ac:dyDescent="0.25">
      <c r="A52" s="1084" t="s">
        <v>233</v>
      </c>
      <c r="B52" s="1085"/>
      <c r="C52" s="78" t="s">
        <v>234</v>
      </c>
      <c r="D52" s="1046">
        <v>6.48</v>
      </c>
      <c r="E52" s="1047"/>
      <c r="F52" s="1046">
        <v>2.2200000000000002</v>
      </c>
      <c r="G52" s="1047"/>
      <c r="H52" s="1046">
        <v>2.95</v>
      </c>
      <c r="I52" s="1047"/>
      <c r="J52" s="1046">
        <v>2.74</v>
      </c>
      <c r="K52" s="1047"/>
      <c r="L52" s="1046">
        <v>6.81</v>
      </c>
      <c r="M52" s="1047"/>
      <c r="N52" s="1046">
        <v>-3.69</v>
      </c>
      <c r="O52" s="1047"/>
      <c r="P52" s="1046">
        <v>5.96</v>
      </c>
      <c r="Q52" s="1047"/>
      <c r="R52" s="1046">
        <v>-8.0299999999999994</v>
      </c>
      <c r="S52" s="1047"/>
      <c r="T52" s="1046">
        <v>2.76</v>
      </c>
      <c r="U52" s="1048"/>
      <c r="V52" s="1049">
        <v>6.98</v>
      </c>
      <c r="W52" s="1050"/>
      <c r="X52" s="1042">
        <v>53.44</v>
      </c>
      <c r="Y52" s="1051"/>
      <c r="Z52" s="1042">
        <v>-4.05</v>
      </c>
      <c r="AA52" s="1043"/>
      <c r="AB52" s="1042">
        <v>7.48</v>
      </c>
      <c r="AC52" s="1043"/>
      <c r="AD52" s="1042">
        <v>-2.38</v>
      </c>
      <c r="AE52" s="1043"/>
      <c r="AF52" s="1042">
        <v>12.69</v>
      </c>
      <c r="AG52" s="1043"/>
      <c r="AH52" s="1049">
        <v>11.5</v>
      </c>
      <c r="AI52" s="1050"/>
    </row>
    <row r="53" spans="1:35" x14ac:dyDescent="0.25">
      <c r="A53" s="1084" t="s">
        <v>235</v>
      </c>
      <c r="B53" s="1085"/>
      <c r="C53" s="78" t="s">
        <v>236</v>
      </c>
      <c r="D53" s="1046">
        <v>8.07</v>
      </c>
      <c r="E53" s="1047"/>
      <c r="F53" s="1056">
        <v>2.2999999999999998</v>
      </c>
      <c r="G53" s="1057"/>
      <c r="H53" s="1046">
        <v>6.82</v>
      </c>
      <c r="I53" s="1047"/>
      <c r="J53" s="1046">
        <v>5.52</v>
      </c>
      <c r="K53" s="1047"/>
      <c r="L53" s="1046">
        <v>4.43</v>
      </c>
      <c r="M53" s="1047"/>
      <c r="N53" s="1046">
        <v>-3.56</v>
      </c>
      <c r="O53" s="1047"/>
      <c r="P53" s="1046">
        <v>5.77</v>
      </c>
      <c r="Q53" s="1047"/>
      <c r="R53" s="1046">
        <v>-7.67</v>
      </c>
      <c r="S53" s="1047"/>
      <c r="T53" s="1046">
        <v>1.58</v>
      </c>
      <c r="U53" s="1048"/>
      <c r="V53" s="1049">
        <v>9.5500000000000007</v>
      </c>
      <c r="W53" s="1050"/>
      <c r="X53" s="1042">
        <v>39.229999999999997</v>
      </c>
      <c r="Y53" s="1051"/>
      <c r="Z53" s="1042">
        <v>-2.58</v>
      </c>
      <c r="AA53" s="1043"/>
      <c r="AB53" s="1042">
        <v>3.54</v>
      </c>
      <c r="AC53" s="1043"/>
      <c r="AD53" s="1042">
        <v>-0.1</v>
      </c>
      <c r="AE53" s="1043"/>
      <c r="AF53" s="1042">
        <v>6.98</v>
      </c>
      <c r="AG53" s="1043"/>
      <c r="AH53" s="1049">
        <v>10.1</v>
      </c>
      <c r="AI53" s="1050"/>
    </row>
    <row r="54" spans="1:35" x14ac:dyDescent="0.25">
      <c r="A54" s="1084" t="s">
        <v>237</v>
      </c>
      <c r="B54" s="1085"/>
      <c r="C54" s="78" t="s">
        <v>238</v>
      </c>
      <c r="D54" s="1056">
        <v>8.3000000000000007</v>
      </c>
      <c r="E54" s="1057"/>
      <c r="F54" s="1046">
        <v>16.75</v>
      </c>
      <c r="G54" s="1047"/>
      <c r="H54" s="1046">
        <v>10.17</v>
      </c>
      <c r="I54" s="1047"/>
      <c r="J54" s="1046">
        <v>7.86</v>
      </c>
      <c r="K54" s="1047"/>
      <c r="L54" s="1056">
        <v>0</v>
      </c>
      <c r="M54" s="1057"/>
      <c r="N54" s="1056">
        <v>0</v>
      </c>
      <c r="O54" s="1057"/>
      <c r="P54" s="1056">
        <v>0</v>
      </c>
      <c r="Q54" s="1057"/>
      <c r="R54" s="1056">
        <v>0.01</v>
      </c>
      <c r="S54" s="1057"/>
      <c r="T54" s="1056">
        <v>0</v>
      </c>
      <c r="U54" s="1086"/>
      <c r="V54" s="1049">
        <v>-0.73</v>
      </c>
      <c r="W54" s="1050"/>
      <c r="X54" s="1042">
        <v>2.0499999999999998</v>
      </c>
      <c r="Y54" s="1051"/>
      <c r="Z54" s="1042">
        <v>0.03</v>
      </c>
      <c r="AA54" s="1043"/>
      <c r="AB54" s="1042">
        <v>0.63</v>
      </c>
      <c r="AC54" s="1043"/>
      <c r="AD54" s="1042">
        <v>2.37</v>
      </c>
      <c r="AE54" s="1043"/>
      <c r="AF54" s="1042">
        <v>1.1200000000000001</v>
      </c>
      <c r="AG54" s="1043"/>
      <c r="AH54" s="1049">
        <v>0.32</v>
      </c>
      <c r="AI54" s="1050"/>
    </row>
    <row r="55" spans="1:35" x14ac:dyDescent="0.25">
      <c r="A55" s="1084" t="s">
        <v>239</v>
      </c>
      <c r="B55" s="1085"/>
      <c r="C55" s="78" t="s">
        <v>240</v>
      </c>
      <c r="D55" s="1046">
        <v>5.69</v>
      </c>
      <c r="E55" s="1047"/>
      <c r="F55" s="1056">
        <v>0</v>
      </c>
      <c r="G55" s="1057"/>
      <c r="H55" s="1046">
        <v>0.83</v>
      </c>
      <c r="I55" s="1047"/>
      <c r="J55" s="1056">
        <v>0</v>
      </c>
      <c r="K55" s="1057"/>
      <c r="L55" s="1046">
        <v>11.11</v>
      </c>
      <c r="M55" s="1047"/>
      <c r="N55" s="1046">
        <v>-3.63</v>
      </c>
      <c r="O55" s="1047"/>
      <c r="P55" s="1046">
        <v>-2.81</v>
      </c>
      <c r="Q55" s="1047"/>
      <c r="R55" s="1046">
        <v>-5.91</v>
      </c>
      <c r="S55" s="1047"/>
      <c r="T55" s="1046">
        <v>1.51</v>
      </c>
      <c r="U55" s="1048"/>
      <c r="V55" s="1049">
        <v>1.32</v>
      </c>
      <c r="W55" s="1050"/>
      <c r="X55" s="1042">
        <v>56.83</v>
      </c>
      <c r="Y55" s="1051"/>
      <c r="Z55" s="1042">
        <v>-2.98</v>
      </c>
      <c r="AA55" s="1043"/>
      <c r="AB55" s="1042">
        <v>9.48</v>
      </c>
      <c r="AC55" s="1043"/>
      <c r="AD55" s="1042">
        <v>-8.68</v>
      </c>
      <c r="AE55" s="1043"/>
      <c r="AF55" s="1042">
        <v>17.600000000000001</v>
      </c>
      <c r="AG55" s="1043"/>
      <c r="AH55" s="1049">
        <v>5.42</v>
      </c>
      <c r="AI55" s="1050"/>
    </row>
    <row r="56" spans="1:35" x14ac:dyDescent="0.25">
      <c r="A56" s="1084" t="s">
        <v>241</v>
      </c>
      <c r="B56" s="1085"/>
      <c r="C56" s="78" t="s">
        <v>242</v>
      </c>
      <c r="D56" s="1046">
        <v>8.09</v>
      </c>
      <c r="E56" s="1047"/>
      <c r="F56" s="1056">
        <v>0</v>
      </c>
      <c r="G56" s="1057"/>
      <c r="H56" s="1056">
        <v>0.24</v>
      </c>
      <c r="I56" s="1057"/>
      <c r="J56" s="1046">
        <v>0.31</v>
      </c>
      <c r="K56" s="1047"/>
      <c r="L56" s="1046">
        <v>11.24</v>
      </c>
      <c r="M56" s="1047"/>
      <c r="N56" s="1046">
        <v>-3.79</v>
      </c>
      <c r="O56" s="1047"/>
      <c r="P56" s="1046">
        <v>7.29</v>
      </c>
      <c r="Q56" s="1047"/>
      <c r="R56" s="1046">
        <v>-4.79</v>
      </c>
      <c r="S56" s="1047"/>
      <c r="T56" s="1046">
        <v>5.63</v>
      </c>
      <c r="U56" s="1048"/>
      <c r="V56" s="1049">
        <v>-1.77</v>
      </c>
      <c r="W56" s="1050"/>
      <c r="X56" s="1042">
        <v>50.97</v>
      </c>
      <c r="Y56" s="1051"/>
      <c r="Z56" s="1042">
        <v>-6.69</v>
      </c>
      <c r="AA56" s="1043"/>
      <c r="AB56" s="1042">
        <v>10.73</v>
      </c>
      <c r="AC56" s="1043"/>
      <c r="AD56" s="1042">
        <v>-3.56</v>
      </c>
      <c r="AE56" s="1043"/>
      <c r="AF56" s="1042">
        <v>18.510000000000002</v>
      </c>
      <c r="AG56" s="1043"/>
      <c r="AH56" s="1049">
        <v>17.46</v>
      </c>
      <c r="AI56" s="1050"/>
    </row>
    <row r="57" spans="1:35" x14ac:dyDescent="0.25">
      <c r="A57" s="1084" t="s">
        <v>243</v>
      </c>
      <c r="B57" s="1085"/>
      <c r="C57" s="78" t="s">
        <v>244</v>
      </c>
      <c r="D57" s="1046">
        <v>5.25</v>
      </c>
      <c r="E57" s="1047"/>
      <c r="F57" s="1046">
        <v>0.39</v>
      </c>
      <c r="G57" s="1047"/>
      <c r="H57" s="1056">
        <v>0.5</v>
      </c>
      <c r="I57" s="1057"/>
      <c r="J57" s="1046">
        <v>2.42</v>
      </c>
      <c r="K57" s="1047"/>
      <c r="L57" s="1046">
        <v>2.84</v>
      </c>
      <c r="M57" s="1047"/>
      <c r="N57" s="1046">
        <v>-3.29</v>
      </c>
      <c r="O57" s="1047"/>
      <c r="P57" s="1046">
        <v>-1.01</v>
      </c>
      <c r="Q57" s="1047"/>
      <c r="R57" s="1046">
        <v>1.94</v>
      </c>
      <c r="S57" s="1047"/>
      <c r="T57" s="1046">
        <v>-0.4</v>
      </c>
      <c r="U57" s="1048"/>
      <c r="V57" s="1049">
        <v>1.66</v>
      </c>
      <c r="W57" s="1050"/>
      <c r="X57" s="1042">
        <v>13.47</v>
      </c>
      <c r="Y57" s="1051"/>
      <c r="Z57" s="1042">
        <v>5.21</v>
      </c>
      <c r="AA57" s="1043"/>
      <c r="AB57" s="1042">
        <v>-1.98</v>
      </c>
      <c r="AC57" s="1043"/>
      <c r="AD57" s="1042">
        <v>-0.09</v>
      </c>
      <c r="AE57" s="1043"/>
      <c r="AF57" s="1042">
        <v>2.79</v>
      </c>
      <c r="AG57" s="1043"/>
      <c r="AH57" s="1049">
        <v>7.66</v>
      </c>
      <c r="AI57" s="1050"/>
    </row>
    <row r="58" spans="1:35" x14ac:dyDescent="0.25">
      <c r="A58" s="1084" t="s">
        <v>245</v>
      </c>
      <c r="B58" s="1085"/>
      <c r="C58" s="78" t="s">
        <v>246</v>
      </c>
      <c r="D58" s="1046">
        <v>6.37</v>
      </c>
      <c r="E58" s="1047"/>
      <c r="F58" s="1056">
        <v>0</v>
      </c>
      <c r="G58" s="1057"/>
      <c r="H58" s="1046">
        <v>1.24</v>
      </c>
      <c r="I58" s="1047"/>
      <c r="J58" s="1046">
        <v>0.11</v>
      </c>
      <c r="K58" s="1047"/>
      <c r="L58" s="1046">
        <v>11.89</v>
      </c>
      <c r="M58" s="1047"/>
      <c r="N58" s="1046">
        <v>-4.1100000000000003</v>
      </c>
      <c r="O58" s="1047"/>
      <c r="P58" s="1046">
        <v>2.2200000000000002</v>
      </c>
      <c r="Q58" s="1047"/>
      <c r="R58" s="1056">
        <v>-9.3000000000000007</v>
      </c>
      <c r="S58" s="1057"/>
      <c r="T58" s="1056">
        <v>2.46</v>
      </c>
      <c r="U58" s="1086"/>
      <c r="V58" s="1049">
        <v>7.54</v>
      </c>
      <c r="W58" s="1050"/>
      <c r="X58" s="1042">
        <v>54.13</v>
      </c>
      <c r="Y58" s="1051"/>
      <c r="Z58" s="1042">
        <v>-4.0999999999999996</v>
      </c>
      <c r="AA58" s="1043"/>
      <c r="AB58" s="1042">
        <v>6.95</v>
      </c>
      <c r="AC58" s="1043"/>
      <c r="AD58" s="1042">
        <v>-7.41</v>
      </c>
      <c r="AE58" s="1043"/>
      <c r="AF58" s="1042">
        <v>20.239999999999998</v>
      </c>
      <c r="AG58" s="1043"/>
      <c r="AH58" s="1049">
        <v>9.2799999999999994</v>
      </c>
      <c r="AI58" s="1050"/>
    </row>
    <row r="59" spans="1:35" x14ac:dyDescent="0.25">
      <c r="A59" s="1084" t="s">
        <v>247</v>
      </c>
      <c r="B59" s="1085"/>
      <c r="C59" s="78" t="s">
        <v>248</v>
      </c>
      <c r="D59" s="1056">
        <v>5</v>
      </c>
      <c r="E59" s="1057"/>
      <c r="F59" s="1056">
        <v>0</v>
      </c>
      <c r="G59" s="1057"/>
      <c r="H59" s="1056">
        <v>0.24</v>
      </c>
      <c r="I59" s="1057"/>
      <c r="J59" s="1046">
        <v>0.31</v>
      </c>
      <c r="K59" s="1047"/>
      <c r="L59" s="1056">
        <v>0</v>
      </c>
      <c r="M59" s="1057"/>
      <c r="N59" s="1056">
        <v>0</v>
      </c>
      <c r="O59" s="1057"/>
      <c r="P59" s="1056">
        <v>0</v>
      </c>
      <c r="Q59" s="1057"/>
      <c r="R59" s="1056">
        <v>-0.71</v>
      </c>
      <c r="S59" s="1057"/>
      <c r="T59" s="1056">
        <v>0.34</v>
      </c>
      <c r="U59" s="1086"/>
      <c r="V59" s="1049">
        <v>0.88</v>
      </c>
      <c r="W59" s="1050"/>
      <c r="X59" s="1042">
        <v>1.1200000000000001</v>
      </c>
      <c r="Y59" s="1051"/>
      <c r="Z59" s="1042">
        <v>-0.27</v>
      </c>
      <c r="AA59" s="1043"/>
      <c r="AB59" s="1042">
        <v>0.45</v>
      </c>
      <c r="AC59" s="1043"/>
      <c r="AD59" s="1042">
        <v>-0.03</v>
      </c>
      <c r="AE59" s="1043"/>
      <c r="AF59" s="1042">
        <v>0</v>
      </c>
      <c r="AG59" s="1043"/>
      <c r="AH59" s="1049">
        <v>0</v>
      </c>
      <c r="AI59" s="1050"/>
    </row>
    <row r="60" spans="1:35" x14ac:dyDescent="0.25">
      <c r="A60" s="1084" t="s">
        <v>249</v>
      </c>
      <c r="B60" s="1085"/>
      <c r="C60" s="78" t="s">
        <v>250</v>
      </c>
      <c r="D60" s="1046">
        <v>5.25</v>
      </c>
      <c r="E60" s="1047"/>
      <c r="F60" s="1046">
        <v>3.38</v>
      </c>
      <c r="G60" s="1047"/>
      <c r="H60" s="1046">
        <v>2.08</v>
      </c>
      <c r="I60" s="1047"/>
      <c r="J60" s="1046">
        <v>2.2400000000000002</v>
      </c>
      <c r="K60" s="1047"/>
      <c r="L60" s="1046">
        <v>1.89</v>
      </c>
      <c r="M60" s="1047"/>
      <c r="N60" s="1046">
        <v>-3.51</v>
      </c>
      <c r="O60" s="1047"/>
      <c r="P60" s="1056">
        <v>1.3</v>
      </c>
      <c r="Q60" s="1057"/>
      <c r="R60" s="1056">
        <v>-0.03</v>
      </c>
      <c r="S60" s="1057"/>
      <c r="T60" s="1056">
        <v>-0.36</v>
      </c>
      <c r="U60" s="1086"/>
      <c r="V60" s="1049">
        <v>6.85</v>
      </c>
      <c r="W60" s="1050"/>
      <c r="X60" s="1042">
        <v>20.29</v>
      </c>
      <c r="Y60" s="1051"/>
      <c r="Z60" s="1042">
        <v>0.56000000000000005</v>
      </c>
      <c r="AA60" s="1043"/>
      <c r="AB60" s="1042">
        <v>-7.65</v>
      </c>
      <c r="AC60" s="1043"/>
      <c r="AD60" s="1042">
        <v>10.73</v>
      </c>
      <c r="AE60" s="1043"/>
      <c r="AF60" s="1042">
        <v>2.54</v>
      </c>
      <c r="AG60" s="1043"/>
      <c r="AH60" s="1049">
        <v>8.3699999999999992</v>
      </c>
      <c r="AI60" s="1050"/>
    </row>
    <row r="61" spans="1:35" x14ac:dyDescent="0.25">
      <c r="A61" s="1084" t="s">
        <v>251</v>
      </c>
      <c r="B61" s="1085"/>
      <c r="C61" s="78" t="s">
        <v>252</v>
      </c>
      <c r="D61" s="1056">
        <v>5</v>
      </c>
      <c r="E61" s="1057"/>
      <c r="F61" s="1046">
        <v>8.19</v>
      </c>
      <c r="G61" s="1047"/>
      <c r="H61" s="1046">
        <v>4.3600000000000003</v>
      </c>
      <c r="I61" s="1047"/>
      <c r="J61" s="1046">
        <v>4.57</v>
      </c>
      <c r="K61" s="1047"/>
      <c r="L61" s="1046">
        <v>3.31</v>
      </c>
      <c r="M61" s="1047"/>
      <c r="N61" s="1056">
        <v>-7.5</v>
      </c>
      <c r="O61" s="1057"/>
      <c r="P61" s="1046">
        <v>2.95</v>
      </c>
      <c r="Q61" s="1047"/>
      <c r="R61" s="1046">
        <v>-4.55</v>
      </c>
      <c r="S61" s="1047"/>
      <c r="T61" s="1046">
        <v>-0.94</v>
      </c>
      <c r="U61" s="1048"/>
      <c r="V61" s="1049">
        <v>16.75</v>
      </c>
      <c r="W61" s="1050"/>
      <c r="X61" s="1042">
        <v>52.77</v>
      </c>
      <c r="Y61" s="1051"/>
      <c r="Z61" s="1042">
        <v>-2.5</v>
      </c>
      <c r="AA61" s="1043"/>
      <c r="AB61" s="1042">
        <v>-1.46</v>
      </c>
      <c r="AC61" s="1043"/>
      <c r="AD61" s="1042">
        <v>6.76</v>
      </c>
      <c r="AE61" s="1043"/>
      <c r="AF61" s="1042">
        <v>5.05</v>
      </c>
      <c r="AG61" s="1043"/>
      <c r="AH61" s="1049">
        <v>18.43</v>
      </c>
      <c r="AI61" s="1050"/>
    </row>
    <row r="62" spans="1:35" x14ac:dyDescent="0.25">
      <c r="A62" s="1084" t="s">
        <v>253</v>
      </c>
      <c r="B62" s="1085"/>
      <c r="C62" s="78" t="s">
        <v>254</v>
      </c>
      <c r="D62" s="1046">
        <v>13.08</v>
      </c>
      <c r="E62" s="1047"/>
      <c r="F62" s="1056">
        <v>7.2</v>
      </c>
      <c r="G62" s="1057"/>
      <c r="H62" s="1046">
        <v>24.67</v>
      </c>
      <c r="I62" s="1047"/>
      <c r="J62" s="1046">
        <v>8.9600000000000009</v>
      </c>
      <c r="K62" s="1047"/>
      <c r="L62" s="1046">
        <v>4.99</v>
      </c>
      <c r="M62" s="1047"/>
      <c r="N62" s="1046">
        <v>0.36</v>
      </c>
      <c r="O62" s="1047"/>
      <c r="P62" s="1046">
        <v>-4.3899999999999997</v>
      </c>
      <c r="Q62" s="1047"/>
      <c r="R62" s="1046">
        <v>-14.97</v>
      </c>
      <c r="S62" s="1047"/>
      <c r="T62" s="1046">
        <v>3.18</v>
      </c>
      <c r="U62" s="1048"/>
      <c r="V62" s="1049">
        <v>-1.56</v>
      </c>
      <c r="W62" s="1050"/>
      <c r="X62" s="1042">
        <v>27.63</v>
      </c>
      <c r="Y62" s="1051"/>
      <c r="Z62" s="1042">
        <v>6.82</v>
      </c>
      <c r="AA62" s="1043"/>
      <c r="AB62" s="1042">
        <v>10.61</v>
      </c>
      <c r="AC62" s="1043"/>
      <c r="AD62" s="1042">
        <v>0</v>
      </c>
      <c r="AE62" s="1043"/>
      <c r="AF62" s="1042">
        <v>1</v>
      </c>
      <c r="AG62" s="1043"/>
      <c r="AH62" s="1049">
        <v>2</v>
      </c>
      <c r="AI62" s="1050"/>
    </row>
    <row r="63" spans="1:35" x14ac:dyDescent="0.25">
      <c r="A63" s="1084" t="s">
        <v>255</v>
      </c>
      <c r="B63" s="1085"/>
      <c r="C63" s="78" t="s">
        <v>256</v>
      </c>
      <c r="D63" s="1046">
        <v>4.12</v>
      </c>
      <c r="E63" s="1047"/>
      <c r="F63" s="1046">
        <v>1.34</v>
      </c>
      <c r="G63" s="1047"/>
      <c r="H63" s="1046">
        <v>7.89</v>
      </c>
      <c r="I63" s="1047"/>
      <c r="J63" s="1046">
        <v>4.13</v>
      </c>
      <c r="K63" s="1047"/>
      <c r="L63" s="1046">
        <v>4.26</v>
      </c>
      <c r="M63" s="1047"/>
      <c r="N63" s="1046">
        <v>0.28000000000000003</v>
      </c>
      <c r="O63" s="1047"/>
      <c r="P63" s="1046">
        <v>0.28000000000000003</v>
      </c>
      <c r="Q63" s="1047"/>
      <c r="R63" s="1046">
        <v>-4.9400000000000004</v>
      </c>
      <c r="S63" s="1047"/>
      <c r="T63" s="1046">
        <v>5.65</v>
      </c>
      <c r="U63" s="1048"/>
      <c r="V63" s="1049">
        <v>1.1299999999999999</v>
      </c>
      <c r="W63" s="1050"/>
      <c r="X63" s="1042">
        <v>1.63</v>
      </c>
      <c r="Y63" s="1051"/>
      <c r="Z63" s="1042">
        <v>0.15</v>
      </c>
      <c r="AA63" s="1043"/>
      <c r="AB63" s="1042">
        <v>1.75</v>
      </c>
      <c r="AC63" s="1043"/>
      <c r="AD63" s="1042">
        <v>0.28000000000000003</v>
      </c>
      <c r="AE63" s="1043"/>
      <c r="AF63" s="1042">
        <v>0.31</v>
      </c>
      <c r="AG63" s="1043"/>
      <c r="AH63" s="1049">
        <v>-0.11</v>
      </c>
      <c r="AI63" s="1050"/>
    </row>
    <row r="64" spans="1:35" x14ac:dyDescent="0.25">
      <c r="A64" s="1084" t="s">
        <v>257</v>
      </c>
      <c r="B64" s="1085"/>
      <c r="C64" s="78" t="s">
        <v>258</v>
      </c>
      <c r="D64" s="1056">
        <v>6</v>
      </c>
      <c r="E64" s="1057"/>
      <c r="F64" s="1046">
        <v>6.31</v>
      </c>
      <c r="G64" s="1047"/>
      <c r="H64" s="1046">
        <v>0.37</v>
      </c>
      <c r="I64" s="1047"/>
      <c r="J64" s="1046">
        <v>6.84</v>
      </c>
      <c r="K64" s="1047"/>
      <c r="L64" s="1046">
        <v>-0.87</v>
      </c>
      <c r="M64" s="1047"/>
      <c r="N64" s="1046">
        <v>0.06</v>
      </c>
      <c r="O64" s="1047"/>
      <c r="P64" s="1046">
        <v>-0.63</v>
      </c>
      <c r="Q64" s="1047"/>
      <c r="R64" s="1046">
        <v>-2.0499999999999998</v>
      </c>
      <c r="S64" s="1047"/>
      <c r="T64" s="1046">
        <v>0</v>
      </c>
      <c r="U64" s="1048"/>
      <c r="V64" s="1049">
        <v>-0.03</v>
      </c>
      <c r="W64" s="1050"/>
      <c r="X64" s="1042">
        <v>7.6</v>
      </c>
      <c r="Y64" s="1051"/>
      <c r="Z64" s="1042">
        <v>7.0000000000000007E-2</v>
      </c>
      <c r="AA64" s="1043"/>
      <c r="AB64" s="1042">
        <v>25.44</v>
      </c>
      <c r="AC64" s="1043"/>
      <c r="AD64" s="1042">
        <v>-1.39</v>
      </c>
      <c r="AE64" s="1043"/>
      <c r="AF64" s="1042">
        <v>-2.48</v>
      </c>
      <c r="AG64" s="1043"/>
      <c r="AH64" s="1049">
        <v>4.03</v>
      </c>
      <c r="AI64" s="1050"/>
    </row>
    <row r="65" spans="1:63" x14ac:dyDescent="0.25">
      <c r="A65" s="1084" t="s">
        <v>259</v>
      </c>
      <c r="B65" s="1085"/>
      <c r="C65" s="78" t="s">
        <v>260</v>
      </c>
      <c r="D65" s="1056">
        <v>5.6</v>
      </c>
      <c r="E65" s="1057"/>
      <c r="F65" s="1046">
        <v>10.57</v>
      </c>
      <c r="G65" s="1047"/>
      <c r="H65" s="1046">
        <v>1.89</v>
      </c>
      <c r="I65" s="1047"/>
      <c r="J65" s="1056">
        <v>2.8</v>
      </c>
      <c r="K65" s="1057"/>
      <c r="L65" s="1046">
        <v>2.61</v>
      </c>
      <c r="M65" s="1047"/>
      <c r="N65" s="1046">
        <v>0.63</v>
      </c>
      <c r="O65" s="1047"/>
      <c r="P65" s="1046">
        <v>1.61</v>
      </c>
      <c r="Q65" s="1047"/>
      <c r="R65" s="1056">
        <v>9.3000000000000007</v>
      </c>
      <c r="S65" s="1057"/>
      <c r="T65" s="1056">
        <v>0.74</v>
      </c>
      <c r="U65" s="1086"/>
      <c r="V65" s="1049">
        <v>1.34</v>
      </c>
      <c r="W65" s="1050"/>
      <c r="X65" s="1042">
        <v>1.96</v>
      </c>
      <c r="Y65" s="1051"/>
      <c r="Z65" s="1042">
        <v>0.76</v>
      </c>
      <c r="AA65" s="1043"/>
      <c r="AB65" s="1042">
        <v>3.89</v>
      </c>
      <c r="AC65" s="1043"/>
      <c r="AD65" s="1042">
        <v>1.1100000000000001</v>
      </c>
      <c r="AE65" s="1043"/>
      <c r="AF65" s="1042">
        <v>0.46</v>
      </c>
      <c r="AG65" s="1043"/>
      <c r="AH65" s="1049">
        <v>1.75</v>
      </c>
      <c r="AI65" s="1050"/>
    </row>
    <row r="66" spans="1:63" x14ac:dyDescent="0.25">
      <c r="A66" s="1084" t="s">
        <v>261</v>
      </c>
      <c r="B66" s="1085"/>
      <c r="C66" s="78" t="s">
        <v>262</v>
      </c>
      <c r="D66" s="1046">
        <v>6.71</v>
      </c>
      <c r="E66" s="1047"/>
      <c r="F66" s="1046">
        <v>56.35</v>
      </c>
      <c r="G66" s="1047"/>
      <c r="H66" s="1046">
        <v>-1.89</v>
      </c>
      <c r="I66" s="1047"/>
      <c r="J66" s="1046">
        <v>-1.56</v>
      </c>
      <c r="K66" s="1047"/>
      <c r="L66" s="1046">
        <v>-10.220000000000001</v>
      </c>
      <c r="M66" s="1047"/>
      <c r="N66" s="1056">
        <v>-0.01</v>
      </c>
      <c r="O66" s="1057"/>
      <c r="P66" s="1046">
        <v>9.5299999999999994</v>
      </c>
      <c r="Q66" s="1047"/>
      <c r="R66" s="1046">
        <v>0.35</v>
      </c>
      <c r="S66" s="1047"/>
      <c r="T66" s="1046">
        <v>-9.18</v>
      </c>
      <c r="U66" s="1048"/>
      <c r="V66" s="1049">
        <v>0.62</v>
      </c>
      <c r="W66" s="1050"/>
      <c r="X66" s="1042">
        <v>-3.13</v>
      </c>
      <c r="Y66" s="1051"/>
      <c r="Z66" s="1042">
        <v>-0.21</v>
      </c>
      <c r="AA66" s="1043"/>
      <c r="AB66" s="1042">
        <v>5.14</v>
      </c>
      <c r="AC66" s="1043"/>
      <c r="AD66" s="1042">
        <v>5.35</v>
      </c>
      <c r="AE66" s="1043"/>
      <c r="AF66" s="1042">
        <v>6.39</v>
      </c>
      <c r="AG66" s="1043"/>
      <c r="AH66" s="1049">
        <v>10.33</v>
      </c>
      <c r="AI66" s="1050"/>
    </row>
    <row r="67" spans="1:63" x14ac:dyDescent="0.25">
      <c r="A67" s="1084" t="s">
        <v>263</v>
      </c>
      <c r="B67" s="1085"/>
      <c r="C67" s="78" t="s">
        <v>264</v>
      </c>
      <c r="D67" s="1046">
        <v>9.61</v>
      </c>
      <c r="E67" s="1047"/>
      <c r="F67" s="1046">
        <v>4.1500000000000004</v>
      </c>
      <c r="G67" s="1047"/>
      <c r="H67" s="1046">
        <v>6.24</v>
      </c>
      <c r="I67" s="1047"/>
      <c r="J67" s="1046">
        <v>5.65</v>
      </c>
      <c r="K67" s="1047"/>
      <c r="L67" s="1046">
        <v>2.2799999999999998</v>
      </c>
      <c r="M67" s="1047"/>
      <c r="N67" s="1056">
        <v>-5.3</v>
      </c>
      <c r="O67" s="1057"/>
      <c r="P67" s="1046">
        <v>7.44</v>
      </c>
      <c r="Q67" s="1047"/>
      <c r="R67" s="1046">
        <v>3.46</v>
      </c>
      <c r="S67" s="1047"/>
      <c r="T67" s="1046">
        <v>2.02</v>
      </c>
      <c r="U67" s="1048"/>
      <c r="V67" s="1049">
        <v>2.2400000000000002</v>
      </c>
      <c r="W67" s="1050"/>
      <c r="X67" s="1042">
        <v>15.93</v>
      </c>
      <c r="Y67" s="1051"/>
      <c r="Z67" s="1042">
        <v>4.49</v>
      </c>
      <c r="AA67" s="1043"/>
      <c r="AB67" s="1042">
        <v>21.09</v>
      </c>
      <c r="AC67" s="1043"/>
      <c r="AD67" s="1042">
        <v>5.96</v>
      </c>
      <c r="AE67" s="1043"/>
      <c r="AF67" s="1042">
        <v>0</v>
      </c>
      <c r="AG67" s="1043"/>
      <c r="AH67" s="1049">
        <v>-0.63</v>
      </c>
      <c r="AI67" s="1050"/>
    </row>
    <row r="68" spans="1:63" x14ac:dyDescent="0.25">
      <c r="A68" s="1084" t="s">
        <v>265</v>
      </c>
      <c r="B68" s="1085"/>
      <c r="C68" s="78" t="s">
        <v>266</v>
      </c>
      <c r="D68" s="1046">
        <v>5.96</v>
      </c>
      <c r="E68" s="1047"/>
      <c r="F68" s="1046">
        <v>7.37</v>
      </c>
      <c r="G68" s="1047"/>
      <c r="H68" s="1046">
        <v>1.27</v>
      </c>
      <c r="I68" s="1047"/>
      <c r="J68" s="1046">
        <v>12.11</v>
      </c>
      <c r="K68" s="1047"/>
      <c r="L68" s="1046">
        <v>2.02</v>
      </c>
      <c r="M68" s="1047"/>
      <c r="N68" s="1056">
        <v>0.28000000000000003</v>
      </c>
      <c r="O68" s="1057"/>
      <c r="P68" s="1046">
        <v>0.28000000000000003</v>
      </c>
      <c r="Q68" s="1047"/>
      <c r="R68" s="1056">
        <v>0.6</v>
      </c>
      <c r="S68" s="1057"/>
      <c r="T68" s="1056">
        <v>-3.54</v>
      </c>
      <c r="U68" s="1086"/>
      <c r="V68" s="1049">
        <v>0.64</v>
      </c>
      <c r="W68" s="1050"/>
      <c r="X68" s="1042">
        <v>0.85</v>
      </c>
      <c r="Y68" s="1051"/>
      <c r="Z68" s="1042">
        <v>12.5</v>
      </c>
      <c r="AA68" s="1043"/>
      <c r="AB68" s="1042">
        <v>0.88</v>
      </c>
      <c r="AC68" s="1043"/>
      <c r="AD68" s="1042">
        <v>-1.21</v>
      </c>
      <c r="AE68" s="1043"/>
      <c r="AF68" s="1042">
        <v>0.24</v>
      </c>
      <c r="AG68" s="1043"/>
      <c r="AH68" s="1049">
        <v>-7.0000000000000007E-2</v>
      </c>
      <c r="AI68" s="1050"/>
    </row>
    <row r="69" spans="1:63" x14ac:dyDescent="0.25">
      <c r="A69" s="1084" t="s">
        <v>267</v>
      </c>
      <c r="B69" s="1085"/>
      <c r="C69" s="78" t="s">
        <v>268</v>
      </c>
      <c r="D69" s="1046">
        <v>7.52</v>
      </c>
      <c r="E69" s="1047"/>
      <c r="F69" s="1046">
        <v>62.57</v>
      </c>
      <c r="G69" s="1047"/>
      <c r="H69" s="1046">
        <v>-6.15</v>
      </c>
      <c r="I69" s="1047"/>
      <c r="J69" s="1046">
        <v>-1.29</v>
      </c>
      <c r="K69" s="1047"/>
      <c r="L69" s="1046">
        <v>-13.86</v>
      </c>
      <c r="M69" s="1047"/>
      <c r="N69" s="1056">
        <v>0</v>
      </c>
      <c r="O69" s="1057"/>
      <c r="P69" s="1046">
        <v>10.61</v>
      </c>
      <c r="Q69" s="1047"/>
      <c r="R69" s="1046">
        <v>-0.55000000000000004</v>
      </c>
      <c r="S69" s="1047"/>
      <c r="T69" s="1046">
        <v>-12.62</v>
      </c>
      <c r="U69" s="1048"/>
      <c r="V69" s="1049">
        <v>1.58</v>
      </c>
      <c r="W69" s="1050"/>
      <c r="X69" s="1042">
        <v>-5.08</v>
      </c>
      <c r="Y69" s="1051"/>
      <c r="Z69" s="1042">
        <v>2.71</v>
      </c>
      <c r="AA69" s="1043"/>
      <c r="AB69" s="1042">
        <v>3.7</v>
      </c>
      <c r="AC69" s="1043"/>
      <c r="AD69" s="1042">
        <v>0.96</v>
      </c>
      <c r="AE69" s="1043"/>
      <c r="AF69" s="1042">
        <v>14.42</v>
      </c>
      <c r="AG69" s="1043"/>
      <c r="AH69" s="1049">
        <v>11.72</v>
      </c>
      <c r="AI69" s="1050"/>
    </row>
    <row r="70" spans="1:63" x14ac:dyDescent="0.25">
      <c r="A70" s="1084" t="s">
        <v>269</v>
      </c>
      <c r="B70" s="1085"/>
      <c r="C70" s="78" t="s">
        <v>270</v>
      </c>
      <c r="D70" s="1046">
        <v>31.84</v>
      </c>
      <c r="E70" s="1047"/>
      <c r="F70" s="1046">
        <v>7.84</v>
      </c>
      <c r="G70" s="1047"/>
      <c r="H70" s="1046">
        <v>-0.11</v>
      </c>
      <c r="I70" s="1047"/>
      <c r="J70" s="1046">
        <v>4.24</v>
      </c>
      <c r="K70" s="1047"/>
      <c r="L70" s="1046">
        <v>0.16</v>
      </c>
      <c r="M70" s="1047"/>
      <c r="N70" s="1056">
        <v>0</v>
      </c>
      <c r="O70" s="1057"/>
      <c r="P70" s="1046">
        <v>-2.04</v>
      </c>
      <c r="Q70" s="1047"/>
      <c r="R70" s="1046">
        <v>0.65</v>
      </c>
      <c r="S70" s="1047"/>
      <c r="T70" s="1046">
        <v>1.65</v>
      </c>
      <c r="U70" s="1048"/>
      <c r="V70" s="1049">
        <v>2.11</v>
      </c>
      <c r="W70" s="1050"/>
      <c r="X70" s="1042">
        <v>13.81</v>
      </c>
      <c r="Y70" s="1051"/>
      <c r="Z70" s="1042">
        <v>7.29</v>
      </c>
      <c r="AA70" s="1043"/>
      <c r="AB70" s="1042">
        <v>13.16</v>
      </c>
      <c r="AC70" s="1043"/>
      <c r="AD70" s="1042">
        <v>0.09</v>
      </c>
      <c r="AE70" s="1043"/>
      <c r="AF70" s="1042">
        <v>2.41</v>
      </c>
      <c r="AG70" s="1043"/>
      <c r="AH70" s="1049">
        <v>12.03</v>
      </c>
      <c r="AI70" s="1050"/>
    </row>
    <row r="71" spans="1:63" x14ac:dyDescent="0.25">
      <c r="A71" s="1084" t="s">
        <v>271</v>
      </c>
      <c r="B71" s="1085"/>
      <c r="C71" s="78" t="s">
        <v>272</v>
      </c>
      <c r="D71" s="1046">
        <v>1.38</v>
      </c>
      <c r="E71" s="1047"/>
      <c r="F71" s="1046">
        <v>8.08</v>
      </c>
      <c r="G71" s="1047"/>
      <c r="H71" s="1046">
        <v>3.73</v>
      </c>
      <c r="I71" s="1047"/>
      <c r="J71" s="1046">
        <v>8.42</v>
      </c>
      <c r="K71" s="1047"/>
      <c r="L71" s="1046">
        <v>1.36</v>
      </c>
      <c r="M71" s="1047"/>
      <c r="N71" s="1046">
        <v>5.55</v>
      </c>
      <c r="O71" s="1047"/>
      <c r="P71" s="1046">
        <v>17.53</v>
      </c>
      <c r="Q71" s="1047"/>
      <c r="R71" s="1046">
        <v>-14.92</v>
      </c>
      <c r="S71" s="1047"/>
      <c r="T71" s="1046">
        <v>2.46</v>
      </c>
      <c r="U71" s="1048"/>
      <c r="V71" s="1049">
        <v>-3.73</v>
      </c>
      <c r="W71" s="1050"/>
      <c r="X71" s="1042">
        <v>11.38</v>
      </c>
      <c r="Y71" s="1051"/>
      <c r="Z71" s="1042">
        <v>13.05</v>
      </c>
      <c r="AA71" s="1043"/>
      <c r="AB71" s="1042">
        <v>1.44</v>
      </c>
      <c r="AC71" s="1043"/>
      <c r="AD71" s="1042">
        <v>8.43</v>
      </c>
      <c r="AE71" s="1043"/>
      <c r="AF71" s="1042">
        <v>4.1399999999999997</v>
      </c>
      <c r="AG71" s="1043"/>
      <c r="AH71" s="1049">
        <v>21.06</v>
      </c>
      <c r="AI71" s="1050"/>
    </row>
    <row r="72" spans="1:63" x14ac:dyDescent="0.25">
      <c r="A72" s="1084" t="s">
        <v>273</v>
      </c>
      <c r="B72" s="1085"/>
      <c r="C72" s="78" t="s">
        <v>274</v>
      </c>
      <c r="D72" s="1056">
        <v>10.3</v>
      </c>
      <c r="E72" s="1057"/>
      <c r="F72" s="1046">
        <v>17.38</v>
      </c>
      <c r="G72" s="1047"/>
      <c r="H72" s="1046">
        <v>8.07</v>
      </c>
      <c r="I72" s="1047"/>
      <c r="J72" s="1046">
        <v>12.99</v>
      </c>
      <c r="K72" s="1047"/>
      <c r="L72" s="1056">
        <v>-1.5</v>
      </c>
      <c r="M72" s="1057"/>
      <c r="N72" s="1046">
        <v>10.31</v>
      </c>
      <c r="O72" s="1047"/>
      <c r="P72" s="1046">
        <v>6.83</v>
      </c>
      <c r="Q72" s="1047"/>
      <c r="R72" s="1046">
        <v>-3.92</v>
      </c>
      <c r="S72" s="1047"/>
      <c r="T72" s="1046">
        <v>2.63</v>
      </c>
      <c r="U72" s="1048"/>
      <c r="V72" s="1049">
        <v>0.9</v>
      </c>
      <c r="W72" s="1050"/>
      <c r="X72" s="1042">
        <v>-5.83</v>
      </c>
      <c r="Y72" s="1051"/>
      <c r="Z72" s="1042">
        <v>2.91</v>
      </c>
      <c r="AA72" s="1043"/>
      <c r="AB72" s="1042">
        <v>3.59</v>
      </c>
      <c r="AC72" s="1043"/>
      <c r="AD72" s="1042">
        <v>5.01</v>
      </c>
      <c r="AE72" s="1043"/>
      <c r="AF72" s="1042">
        <v>6.98</v>
      </c>
      <c r="AG72" s="1043"/>
      <c r="AH72" s="1049">
        <v>-5.65</v>
      </c>
      <c r="AI72" s="1050"/>
    </row>
    <row r="73" spans="1:63" x14ac:dyDescent="0.25">
      <c r="A73" s="1084" t="s">
        <v>275</v>
      </c>
      <c r="B73" s="1085"/>
      <c r="C73" s="78" t="s">
        <v>276</v>
      </c>
      <c r="D73" s="1046">
        <v>7.15</v>
      </c>
      <c r="E73" s="1047"/>
      <c r="F73" s="1056">
        <v>7.4</v>
      </c>
      <c r="G73" s="1057"/>
      <c r="H73" s="1056">
        <v>6.6</v>
      </c>
      <c r="I73" s="1057"/>
      <c r="J73" s="1046">
        <v>7.52</v>
      </c>
      <c r="K73" s="1047"/>
      <c r="L73" s="1046">
        <v>7.01</v>
      </c>
      <c r="M73" s="1047"/>
      <c r="N73" s="1046">
        <v>2.87</v>
      </c>
      <c r="O73" s="1047"/>
      <c r="P73" s="1046">
        <v>3.01</v>
      </c>
      <c r="Q73" s="1047"/>
      <c r="R73" s="1046">
        <v>4.04</v>
      </c>
      <c r="S73" s="1047"/>
      <c r="T73" s="1046">
        <v>3.22</v>
      </c>
      <c r="U73" s="1048"/>
      <c r="V73" s="1049">
        <v>3.14</v>
      </c>
      <c r="W73" s="1050"/>
      <c r="X73" s="1042">
        <v>1.1000000000000001</v>
      </c>
      <c r="Y73" s="1051"/>
      <c r="Z73" s="1042">
        <v>5.03</v>
      </c>
      <c r="AA73" s="1043"/>
      <c r="AB73" s="1042">
        <v>7.09</v>
      </c>
      <c r="AC73" s="1043"/>
      <c r="AD73" s="1042">
        <v>3.46</v>
      </c>
      <c r="AE73" s="1043"/>
      <c r="AF73" s="1042">
        <v>1.08</v>
      </c>
      <c r="AG73" s="1043"/>
      <c r="AH73" s="1049">
        <v>0.26</v>
      </c>
      <c r="AI73" s="1050"/>
    </row>
    <row r="74" spans="1:63" x14ac:dyDescent="0.25">
      <c r="A74" s="1084" t="s">
        <v>277</v>
      </c>
      <c r="B74" s="1085"/>
      <c r="C74" s="78" t="s">
        <v>278</v>
      </c>
      <c r="D74" s="1046">
        <v>7.14</v>
      </c>
      <c r="E74" s="1047"/>
      <c r="F74" s="1046">
        <v>7.34</v>
      </c>
      <c r="G74" s="1047"/>
      <c r="H74" s="1046">
        <v>6.04</v>
      </c>
      <c r="I74" s="1047"/>
      <c r="J74" s="1046">
        <v>5.39</v>
      </c>
      <c r="K74" s="1047"/>
      <c r="L74" s="1046">
        <v>4.6500000000000004</v>
      </c>
      <c r="M74" s="1047"/>
      <c r="N74" s="1046">
        <v>4.59</v>
      </c>
      <c r="O74" s="1047"/>
      <c r="P74" s="1046">
        <v>4.92</v>
      </c>
      <c r="Q74" s="1047"/>
      <c r="R74" s="1046">
        <v>11.75</v>
      </c>
      <c r="S74" s="1047"/>
      <c r="T74" s="1046">
        <v>3.29</v>
      </c>
      <c r="U74" s="1048"/>
      <c r="V74" s="1049">
        <v>8.7899999999999991</v>
      </c>
      <c r="W74" s="1050"/>
      <c r="X74" s="1042">
        <v>3.94</v>
      </c>
      <c r="Y74" s="1051"/>
      <c r="Z74" s="1042">
        <v>1.22</v>
      </c>
      <c r="AA74" s="1043"/>
      <c r="AB74" s="1042">
        <v>3.75</v>
      </c>
      <c r="AC74" s="1043"/>
      <c r="AD74" s="1042">
        <v>3.06</v>
      </c>
      <c r="AE74" s="1043"/>
      <c r="AF74" s="1042">
        <v>3.14</v>
      </c>
      <c r="AG74" s="1043"/>
      <c r="AH74" s="1049">
        <v>2.91</v>
      </c>
      <c r="AI74" s="1050"/>
    </row>
    <row r="75" spans="1:63" x14ac:dyDescent="0.25">
      <c r="A75" s="1084" t="s">
        <v>279</v>
      </c>
      <c r="B75" s="1085"/>
      <c r="C75" s="78" t="s">
        <v>280</v>
      </c>
      <c r="D75" s="1046">
        <v>7.92</v>
      </c>
      <c r="E75" s="1047"/>
      <c r="F75" s="1056">
        <v>9.6</v>
      </c>
      <c r="G75" s="1057"/>
      <c r="H75" s="1046">
        <v>9.2899999999999991</v>
      </c>
      <c r="I75" s="1047"/>
      <c r="J75" s="1046">
        <v>8.3800000000000008</v>
      </c>
      <c r="K75" s="1047"/>
      <c r="L75" s="1046">
        <v>4.05</v>
      </c>
      <c r="M75" s="1047"/>
      <c r="N75" s="1056">
        <v>3.83</v>
      </c>
      <c r="O75" s="1057"/>
      <c r="P75" s="1046">
        <v>5.19</v>
      </c>
      <c r="Q75" s="1047"/>
      <c r="R75" s="1046">
        <v>7.45</v>
      </c>
      <c r="S75" s="1047"/>
      <c r="T75" s="1046">
        <v>4.92</v>
      </c>
      <c r="U75" s="1048"/>
      <c r="V75" s="1049">
        <v>12.78</v>
      </c>
      <c r="W75" s="1050"/>
      <c r="X75" s="1042">
        <v>13.23</v>
      </c>
      <c r="Y75" s="1051"/>
      <c r="Z75" s="1042">
        <v>5.62</v>
      </c>
      <c r="AA75" s="1043"/>
      <c r="AB75" s="1042">
        <v>4.2699999999999996</v>
      </c>
      <c r="AC75" s="1043"/>
      <c r="AD75" s="1042">
        <v>6.45</v>
      </c>
      <c r="AE75" s="1043"/>
      <c r="AF75" s="1042">
        <v>4.8899999999999997</v>
      </c>
      <c r="AG75" s="1043"/>
      <c r="AH75" s="1049">
        <v>3.76</v>
      </c>
      <c r="AI75" s="1050"/>
    </row>
    <row r="76" spans="1:63" x14ac:dyDescent="0.25">
      <c r="A76" s="1084" t="s">
        <v>281</v>
      </c>
      <c r="B76" s="1085"/>
      <c r="C76" s="78" t="s">
        <v>282</v>
      </c>
      <c r="D76" s="1046">
        <v>14.75</v>
      </c>
      <c r="E76" s="1047"/>
      <c r="F76" s="1046">
        <v>4.29</v>
      </c>
      <c r="G76" s="1047"/>
      <c r="H76" s="1046">
        <v>21.89</v>
      </c>
      <c r="I76" s="1047"/>
      <c r="J76" s="1056">
        <v>0</v>
      </c>
      <c r="K76" s="1057"/>
      <c r="L76" s="1056">
        <v>0</v>
      </c>
      <c r="M76" s="1057"/>
      <c r="N76" s="1056">
        <v>0</v>
      </c>
      <c r="O76" s="1057"/>
      <c r="P76" s="1056">
        <v>-1.6</v>
      </c>
      <c r="Q76" s="1057"/>
      <c r="R76" s="1056">
        <v>0.68</v>
      </c>
      <c r="S76" s="1057"/>
      <c r="T76" s="1056">
        <v>0</v>
      </c>
      <c r="U76" s="1086"/>
      <c r="V76" s="1049">
        <v>0</v>
      </c>
      <c r="W76" s="1050"/>
      <c r="X76" s="1042">
        <v>-5.84</v>
      </c>
      <c r="Y76" s="1051"/>
      <c r="Z76" s="1042">
        <v>6.38</v>
      </c>
      <c r="AA76" s="1043"/>
      <c r="AB76" s="1042">
        <v>4.6500000000000004</v>
      </c>
      <c r="AC76" s="1043"/>
      <c r="AD76" s="1042">
        <v>1.41</v>
      </c>
      <c r="AE76" s="1043"/>
      <c r="AF76" s="1042">
        <v>17.149999999999999</v>
      </c>
      <c r="AG76" s="1043"/>
      <c r="AH76" s="1049">
        <v>1.08</v>
      </c>
      <c r="AI76" s="1050"/>
    </row>
    <row r="77" spans="1:63" x14ac:dyDescent="0.25">
      <c r="A77" s="1084" t="s">
        <v>283</v>
      </c>
      <c r="B77" s="1085"/>
      <c r="C77" s="78" t="s">
        <v>284</v>
      </c>
      <c r="D77" s="1046">
        <v>6.38</v>
      </c>
      <c r="E77" s="1047"/>
      <c r="F77" s="1046">
        <v>22.49</v>
      </c>
      <c r="G77" s="1047"/>
      <c r="H77" s="1046">
        <v>22.69</v>
      </c>
      <c r="I77" s="1047"/>
      <c r="J77" s="1046">
        <v>14.98</v>
      </c>
      <c r="K77" s="1047"/>
      <c r="L77" s="1046">
        <v>-1.51</v>
      </c>
      <c r="M77" s="1047"/>
      <c r="N77" s="1046">
        <v>5.66</v>
      </c>
      <c r="O77" s="1047"/>
      <c r="P77" s="1056">
        <v>10.76</v>
      </c>
      <c r="Q77" s="1057"/>
      <c r="R77" s="1056">
        <v>7.26</v>
      </c>
      <c r="S77" s="1057"/>
      <c r="T77" s="1056">
        <v>-0.94</v>
      </c>
      <c r="U77" s="1086"/>
      <c r="V77" s="1049">
        <v>5.42</v>
      </c>
      <c r="W77" s="1050"/>
      <c r="X77" s="1042">
        <v>-4.3600000000000003</v>
      </c>
      <c r="Y77" s="1051"/>
      <c r="Z77" s="1042">
        <v>8.1300000000000008</v>
      </c>
      <c r="AA77" s="1043"/>
      <c r="AB77" s="1042">
        <v>16.440000000000001</v>
      </c>
      <c r="AC77" s="1043"/>
      <c r="AD77" s="1042">
        <v>3.36</v>
      </c>
      <c r="AE77" s="1043"/>
      <c r="AF77" s="1042">
        <v>5.0599999999999996</v>
      </c>
      <c r="AG77" s="1043"/>
      <c r="AH77" s="1049">
        <v>3.48</v>
      </c>
      <c r="AI77" s="1050"/>
    </row>
    <row r="78" spans="1:63" x14ac:dyDescent="0.25">
      <c r="A78" s="1084" t="s">
        <v>285</v>
      </c>
      <c r="B78" s="1085"/>
      <c r="C78" s="78" t="s">
        <v>286</v>
      </c>
      <c r="D78" s="1046">
        <v>7.02</v>
      </c>
      <c r="E78" s="1047"/>
      <c r="F78" s="1046">
        <v>-1.22</v>
      </c>
      <c r="G78" s="1047"/>
      <c r="H78" s="1046">
        <v>3.98</v>
      </c>
      <c r="I78" s="1047"/>
      <c r="J78" s="1046">
        <v>0.43</v>
      </c>
      <c r="K78" s="1047"/>
      <c r="L78" s="1046">
        <v>5.36</v>
      </c>
      <c r="M78" s="1047"/>
      <c r="N78" s="1046">
        <v>-1.0900000000000001</v>
      </c>
      <c r="O78" s="1047"/>
      <c r="P78" s="1046">
        <v>-0.84</v>
      </c>
      <c r="Q78" s="1047"/>
      <c r="R78" s="1046">
        <v>0.61</v>
      </c>
      <c r="S78" s="1047"/>
      <c r="T78" s="1046">
        <v>3.87</v>
      </c>
      <c r="U78" s="1048"/>
      <c r="V78" s="1049">
        <v>1.82</v>
      </c>
      <c r="W78" s="1050"/>
      <c r="X78" s="1042">
        <v>18.04</v>
      </c>
      <c r="Y78" s="1051"/>
      <c r="Z78" s="1042">
        <v>12.32</v>
      </c>
      <c r="AA78" s="1043"/>
      <c r="AB78" s="1042">
        <v>26.25</v>
      </c>
      <c r="AC78" s="1043"/>
      <c r="AD78" s="1042">
        <v>-10</v>
      </c>
      <c r="AE78" s="1043"/>
      <c r="AF78" s="1042">
        <v>11.34</v>
      </c>
      <c r="AG78" s="1043"/>
      <c r="AH78" s="1049">
        <v>7.3</v>
      </c>
      <c r="AI78" s="1050"/>
    </row>
    <row r="79" spans="1:63" s="65" customFormat="1" x14ac:dyDescent="0.25">
      <c r="A79" s="1084" t="s">
        <v>287</v>
      </c>
      <c r="B79" s="1085"/>
      <c r="C79" s="78" t="s">
        <v>122</v>
      </c>
      <c r="D79" s="1046">
        <v>7.16</v>
      </c>
      <c r="E79" s="1047"/>
      <c r="F79" s="1046">
        <v>3.79</v>
      </c>
      <c r="G79" s="1047"/>
      <c r="H79" s="1046">
        <v>3.11</v>
      </c>
      <c r="I79" s="1047"/>
      <c r="J79" s="1087">
        <v>2.92</v>
      </c>
      <c r="K79" s="1088"/>
      <c r="L79" s="1046">
        <v>8.56</v>
      </c>
      <c r="M79" s="1047"/>
      <c r="N79" s="1046">
        <v>-0.48</v>
      </c>
      <c r="O79" s="1047"/>
      <c r="P79" s="1046">
        <v>3.42</v>
      </c>
      <c r="Q79" s="1047"/>
      <c r="R79" s="1046">
        <v>-4.8600000000000003</v>
      </c>
      <c r="S79" s="1047"/>
      <c r="T79" s="1046">
        <v>2.68</v>
      </c>
      <c r="U79" s="1048"/>
      <c r="V79" s="1049">
        <v>6.79</v>
      </c>
      <c r="W79" s="1050"/>
      <c r="X79" s="1042">
        <v>34.159999999999997</v>
      </c>
      <c r="Y79" s="1051"/>
      <c r="Z79" s="1042">
        <v>-2.11</v>
      </c>
      <c r="AA79" s="1043"/>
      <c r="AB79" s="1042">
        <v>5.94</v>
      </c>
      <c r="AC79" s="1043"/>
      <c r="AD79" s="1042">
        <v>-3.71</v>
      </c>
      <c r="AE79" s="1043"/>
      <c r="AF79" s="1042">
        <v>15.14</v>
      </c>
      <c r="AG79" s="1043"/>
      <c r="AH79" s="1049">
        <v>6.11</v>
      </c>
      <c r="AI79" s="1050"/>
      <c r="AJ79" s="264"/>
      <c r="AK79" s="264"/>
      <c r="AL79" s="264"/>
      <c r="AM79" s="264"/>
      <c r="AN79" s="264"/>
      <c r="AO79" s="264"/>
      <c r="AP79" s="264"/>
      <c r="AQ79" s="264"/>
      <c r="AR79" s="264"/>
      <c r="AS79" s="264"/>
      <c r="AT79" s="264"/>
      <c r="AU79" s="264"/>
      <c r="AV79" s="264"/>
      <c r="AW79" s="264"/>
      <c r="AX79" s="264"/>
      <c r="AY79" s="264"/>
      <c r="AZ79" s="264"/>
      <c r="BA79" s="264"/>
      <c r="BB79" s="264"/>
      <c r="BC79" s="264"/>
      <c r="BD79" s="264"/>
      <c r="BE79" s="264"/>
      <c r="BF79" s="264"/>
      <c r="BG79" s="264"/>
      <c r="BH79" s="264"/>
      <c r="BI79" s="264"/>
      <c r="BJ79" s="264"/>
      <c r="BK79" s="264"/>
    </row>
    <row r="80" spans="1:63" s="65" customFormat="1" x14ac:dyDescent="0.25">
      <c r="A80" s="1084" t="s">
        <v>288</v>
      </c>
      <c r="B80" s="1085"/>
      <c r="C80" s="78" t="s">
        <v>289</v>
      </c>
      <c r="D80" s="1046">
        <v>6.36</v>
      </c>
      <c r="E80" s="1047"/>
      <c r="F80" s="1046">
        <v>20.29</v>
      </c>
      <c r="G80" s="1047"/>
      <c r="H80" s="1046">
        <v>20.420000000000002</v>
      </c>
      <c r="I80" s="1047"/>
      <c r="J80" s="1046">
        <v>13.74</v>
      </c>
      <c r="K80" s="1047"/>
      <c r="L80" s="1046">
        <v>-0.97</v>
      </c>
      <c r="M80" s="1047"/>
      <c r="N80" s="1056">
        <v>5.03</v>
      </c>
      <c r="O80" s="1057"/>
      <c r="P80" s="1046">
        <v>9.7200000000000006</v>
      </c>
      <c r="Q80" s="1047"/>
      <c r="R80" s="1056">
        <v>7.1</v>
      </c>
      <c r="S80" s="1057"/>
      <c r="T80" s="1056">
        <v>-0.73</v>
      </c>
      <c r="U80" s="1086"/>
      <c r="V80" s="1049">
        <v>5.33</v>
      </c>
      <c r="W80" s="1050"/>
      <c r="X80" s="1042">
        <v>-2.85</v>
      </c>
      <c r="Y80" s="1051"/>
      <c r="Z80" s="1042">
        <v>7.66</v>
      </c>
      <c r="AA80" s="1043"/>
      <c r="AB80" s="1042">
        <v>14.63</v>
      </c>
      <c r="AC80" s="1043"/>
      <c r="AD80" s="1042">
        <v>3.12</v>
      </c>
      <c r="AE80" s="1043"/>
      <c r="AF80" s="1042">
        <v>4.84</v>
      </c>
      <c r="AG80" s="1043"/>
      <c r="AH80" s="1049">
        <v>3.75</v>
      </c>
      <c r="AI80" s="1050"/>
      <c r="AJ80" s="264"/>
      <c r="AK80" s="264"/>
      <c r="AL80" s="264"/>
      <c r="AM80" s="264"/>
      <c r="AN80" s="264"/>
      <c r="AO80" s="264"/>
      <c r="AP80" s="264"/>
      <c r="AQ80" s="264"/>
      <c r="AR80" s="264"/>
      <c r="AS80" s="264"/>
      <c r="AT80" s="264"/>
      <c r="AU80" s="264"/>
      <c r="AV80" s="264"/>
      <c r="AW80" s="264"/>
      <c r="AX80" s="264"/>
      <c r="AY80" s="264"/>
      <c r="AZ80" s="264"/>
      <c r="BA80" s="264"/>
      <c r="BB80" s="264"/>
      <c r="BC80" s="264"/>
      <c r="BD80" s="264"/>
      <c r="BE80" s="264"/>
      <c r="BF80" s="264"/>
      <c r="BG80" s="264"/>
      <c r="BH80" s="264"/>
      <c r="BI80" s="264"/>
      <c r="BJ80" s="264"/>
      <c r="BK80" s="264"/>
    </row>
    <row r="81" spans="1:63" x14ac:dyDescent="0.25">
      <c r="A81" s="1084" t="s">
        <v>290</v>
      </c>
      <c r="B81" s="1085"/>
      <c r="C81" s="78" t="s">
        <v>291</v>
      </c>
      <c r="D81" s="1046">
        <v>6.61</v>
      </c>
      <c r="E81" s="1047"/>
      <c r="F81" s="1046">
        <v>15.35</v>
      </c>
      <c r="G81" s="1047"/>
      <c r="H81" s="1046">
        <v>15.07</v>
      </c>
      <c r="I81" s="1047"/>
      <c r="J81" s="1056">
        <v>10.7</v>
      </c>
      <c r="K81" s="1057"/>
      <c r="L81" s="1046">
        <v>0.86</v>
      </c>
      <c r="M81" s="1047"/>
      <c r="N81" s="1056">
        <v>4.5</v>
      </c>
      <c r="O81" s="1057"/>
      <c r="P81" s="1046">
        <v>7.78</v>
      </c>
      <c r="Q81" s="1047"/>
      <c r="R81" s="1046">
        <v>8.19</v>
      </c>
      <c r="S81" s="1047"/>
      <c r="T81" s="1046">
        <v>0.47</v>
      </c>
      <c r="U81" s="1048"/>
      <c r="V81" s="1049">
        <v>6.15</v>
      </c>
      <c r="W81" s="1050"/>
      <c r="X81" s="1042">
        <v>-0.03</v>
      </c>
      <c r="Y81" s="1051"/>
      <c r="Z81" s="1042">
        <v>5.69</v>
      </c>
      <c r="AA81" s="1043"/>
      <c r="AB81" s="1042">
        <v>10.54</v>
      </c>
      <c r="AC81" s="1043"/>
      <c r="AD81" s="1042">
        <v>2.95</v>
      </c>
      <c r="AE81" s="1043"/>
      <c r="AF81" s="1042">
        <v>4.26</v>
      </c>
      <c r="AG81" s="1043"/>
      <c r="AH81" s="1049">
        <v>3.72</v>
      </c>
      <c r="AI81" s="1050"/>
    </row>
    <row r="82" spans="1:63" x14ac:dyDescent="0.25">
      <c r="A82" s="1084" t="s">
        <v>292</v>
      </c>
      <c r="B82" s="1085"/>
      <c r="C82" s="78" t="s">
        <v>293</v>
      </c>
      <c r="D82" s="1046">
        <v>2.73</v>
      </c>
      <c r="E82" s="1047"/>
      <c r="F82" s="1046">
        <v>3.07</v>
      </c>
      <c r="G82" s="1047"/>
      <c r="H82" s="1046">
        <v>3.29</v>
      </c>
      <c r="I82" s="1047"/>
      <c r="J82" s="1046">
        <v>1.99</v>
      </c>
      <c r="K82" s="1047"/>
      <c r="L82" s="1046">
        <v>-0.27</v>
      </c>
      <c r="M82" s="1047"/>
      <c r="N82" s="1046">
        <v>-0.14000000000000001</v>
      </c>
      <c r="O82" s="1047"/>
      <c r="P82" s="1046">
        <v>7.76</v>
      </c>
      <c r="Q82" s="1047"/>
      <c r="R82" s="1046">
        <v>11.21</v>
      </c>
      <c r="S82" s="1047"/>
      <c r="T82" s="1046">
        <v>2.4500000000000002</v>
      </c>
      <c r="U82" s="1048"/>
      <c r="V82" s="1049">
        <v>3.23</v>
      </c>
      <c r="W82" s="1050"/>
      <c r="X82" s="1042">
        <v>7.43</v>
      </c>
      <c r="Y82" s="1051"/>
      <c r="Z82" s="1042">
        <v>7.1</v>
      </c>
      <c r="AA82" s="1043"/>
      <c r="AB82" s="1042">
        <v>7.55</v>
      </c>
      <c r="AC82" s="1043"/>
      <c r="AD82" s="1042">
        <v>1</v>
      </c>
      <c r="AE82" s="1043"/>
      <c r="AF82" s="1042">
        <v>4.7300000000000004</v>
      </c>
      <c r="AG82" s="1043"/>
      <c r="AH82" s="1049">
        <v>10.25</v>
      </c>
      <c r="AI82" s="1050"/>
    </row>
    <row r="83" spans="1:63" x14ac:dyDescent="0.25">
      <c r="A83" s="1084" t="s">
        <v>294</v>
      </c>
      <c r="B83" s="1085"/>
      <c r="C83" s="78" t="s">
        <v>295</v>
      </c>
      <c r="D83" s="1046">
        <v>-3.32</v>
      </c>
      <c r="E83" s="1047"/>
      <c r="F83" s="1046">
        <v>21.21</v>
      </c>
      <c r="G83" s="1047"/>
      <c r="H83" s="1046">
        <v>18.73</v>
      </c>
      <c r="I83" s="1047"/>
      <c r="J83" s="1046">
        <v>6.95</v>
      </c>
      <c r="K83" s="1047"/>
      <c r="L83" s="1056">
        <v>0</v>
      </c>
      <c r="M83" s="1057"/>
      <c r="N83" s="1056">
        <v>-1.46</v>
      </c>
      <c r="O83" s="1057"/>
      <c r="P83" s="1056">
        <v>0</v>
      </c>
      <c r="Q83" s="1057"/>
      <c r="R83" s="1056">
        <v>9.09</v>
      </c>
      <c r="S83" s="1057"/>
      <c r="T83" s="1056">
        <v>-3.06</v>
      </c>
      <c r="U83" s="1086"/>
      <c r="V83" s="1049">
        <v>3.27</v>
      </c>
      <c r="W83" s="1050"/>
      <c r="X83" s="1042">
        <v>10.28</v>
      </c>
      <c r="Y83" s="1051"/>
      <c r="Z83" s="1042">
        <v>2.41</v>
      </c>
      <c r="AA83" s="1043"/>
      <c r="AB83" s="1042">
        <v>0.26</v>
      </c>
      <c r="AC83" s="1043"/>
      <c r="AD83" s="1042">
        <v>10.039999999999999</v>
      </c>
      <c r="AE83" s="1043"/>
      <c r="AF83" s="1042">
        <v>6.11</v>
      </c>
      <c r="AG83" s="1043"/>
      <c r="AH83" s="1049">
        <v>7.63</v>
      </c>
      <c r="AI83" s="1050"/>
    </row>
    <row r="84" spans="1:63" x14ac:dyDescent="0.25">
      <c r="A84" s="1084" t="s">
        <v>296</v>
      </c>
      <c r="B84" s="1085"/>
      <c r="C84" s="78" t="s">
        <v>297</v>
      </c>
      <c r="D84" s="1046">
        <v>14.17</v>
      </c>
      <c r="E84" s="1047"/>
      <c r="F84" s="1046">
        <v>13.77</v>
      </c>
      <c r="G84" s="1047"/>
      <c r="H84" s="1046">
        <v>3.79</v>
      </c>
      <c r="I84" s="1047"/>
      <c r="J84" s="1046">
        <v>4.83</v>
      </c>
      <c r="K84" s="1047"/>
      <c r="L84" s="1046">
        <v>6.35</v>
      </c>
      <c r="M84" s="1047"/>
      <c r="N84" s="1056">
        <v>0</v>
      </c>
      <c r="O84" s="1057"/>
      <c r="P84" s="1056">
        <v>1.74</v>
      </c>
      <c r="Q84" s="1057"/>
      <c r="R84" s="1056">
        <v>7.6</v>
      </c>
      <c r="S84" s="1057"/>
      <c r="T84" s="1056">
        <v>-4.13</v>
      </c>
      <c r="U84" s="1086"/>
      <c r="V84" s="1049">
        <v>0</v>
      </c>
      <c r="W84" s="1050"/>
      <c r="X84" s="1042">
        <v>3.6</v>
      </c>
      <c r="Y84" s="1051"/>
      <c r="Z84" s="1042">
        <v>8.68</v>
      </c>
      <c r="AA84" s="1043"/>
      <c r="AB84" s="1042">
        <v>8.1999999999999993</v>
      </c>
      <c r="AC84" s="1043"/>
      <c r="AD84" s="1042">
        <v>7.39</v>
      </c>
      <c r="AE84" s="1043"/>
      <c r="AF84" s="1042">
        <v>2.4700000000000002</v>
      </c>
      <c r="AG84" s="1043"/>
      <c r="AH84" s="1049">
        <v>2.5</v>
      </c>
      <c r="AI84" s="1050"/>
    </row>
    <row r="85" spans="1:63" x14ac:dyDescent="0.25">
      <c r="A85" s="1084" t="s">
        <v>298</v>
      </c>
      <c r="B85" s="1085"/>
      <c r="C85" s="78" t="s">
        <v>299</v>
      </c>
      <c r="D85" s="1056">
        <v>0</v>
      </c>
      <c r="E85" s="1057"/>
      <c r="F85" s="1046">
        <v>9.19</v>
      </c>
      <c r="G85" s="1047"/>
      <c r="H85" s="1046">
        <v>11.21</v>
      </c>
      <c r="I85" s="1047"/>
      <c r="J85" s="1046">
        <v>4.63</v>
      </c>
      <c r="K85" s="1047"/>
      <c r="L85" s="1046">
        <v>7.36</v>
      </c>
      <c r="M85" s="1047"/>
      <c r="N85" s="1056">
        <v>0</v>
      </c>
      <c r="O85" s="1057"/>
      <c r="P85" s="1046">
        <v>-2.04</v>
      </c>
      <c r="Q85" s="1047"/>
      <c r="R85" s="1046">
        <v>-2.38</v>
      </c>
      <c r="S85" s="1047"/>
      <c r="T85" s="1046">
        <v>4.9000000000000004</v>
      </c>
      <c r="U85" s="1048"/>
      <c r="V85" s="1049">
        <v>5.0999999999999996</v>
      </c>
      <c r="W85" s="1050"/>
      <c r="X85" s="1042">
        <v>7.5</v>
      </c>
      <c r="Y85" s="1051"/>
      <c r="Z85" s="1042">
        <v>0</v>
      </c>
      <c r="AA85" s="1043"/>
      <c r="AB85" s="1042">
        <v>1.08</v>
      </c>
      <c r="AC85" s="1043"/>
      <c r="AD85" s="1042">
        <v>0</v>
      </c>
      <c r="AE85" s="1043"/>
      <c r="AF85" s="1042">
        <v>10</v>
      </c>
      <c r="AG85" s="1043"/>
      <c r="AH85" s="1049">
        <v>33</v>
      </c>
      <c r="AI85" s="1050"/>
    </row>
    <row r="86" spans="1:63" x14ac:dyDescent="0.25">
      <c r="A86" s="1084" t="s">
        <v>300</v>
      </c>
      <c r="B86" s="1085"/>
      <c r="C86" s="78" t="s">
        <v>301</v>
      </c>
      <c r="D86" s="1046">
        <v>8.0399999999999991</v>
      </c>
      <c r="E86" s="1047"/>
      <c r="F86" s="1056">
        <v>4.0999999999999996</v>
      </c>
      <c r="G86" s="1057"/>
      <c r="H86" s="1046">
        <v>2.1800000000000002</v>
      </c>
      <c r="I86" s="1047"/>
      <c r="J86" s="1046">
        <v>0.72</v>
      </c>
      <c r="K86" s="1047"/>
      <c r="L86" s="1046">
        <v>1.95</v>
      </c>
      <c r="M86" s="1047"/>
      <c r="N86" s="1046">
        <v>0.15</v>
      </c>
      <c r="O86" s="1047"/>
      <c r="P86" s="1056">
        <v>0</v>
      </c>
      <c r="Q86" s="1057"/>
      <c r="R86" s="1056">
        <v>0</v>
      </c>
      <c r="S86" s="1057"/>
      <c r="T86" s="1056">
        <v>0</v>
      </c>
      <c r="U86" s="1086"/>
      <c r="V86" s="1049">
        <v>0</v>
      </c>
      <c r="W86" s="1050"/>
      <c r="X86" s="1042">
        <v>0</v>
      </c>
      <c r="Y86" s="1051"/>
      <c r="Z86" s="1042">
        <v>0.03</v>
      </c>
      <c r="AA86" s="1043"/>
      <c r="AB86" s="1042">
        <v>9.2899999999999991</v>
      </c>
      <c r="AC86" s="1043"/>
      <c r="AD86" s="1042">
        <v>-3.49</v>
      </c>
      <c r="AE86" s="1043"/>
      <c r="AF86" s="1042">
        <v>0</v>
      </c>
      <c r="AG86" s="1043"/>
      <c r="AH86" s="1049">
        <v>0</v>
      </c>
      <c r="AI86" s="1050"/>
    </row>
    <row r="87" spans="1:63" x14ac:dyDescent="0.25">
      <c r="A87" s="1084" t="s">
        <v>302</v>
      </c>
      <c r="B87" s="1085"/>
      <c r="C87" s="78" t="s">
        <v>303</v>
      </c>
      <c r="D87" s="1046">
        <v>21.71</v>
      </c>
      <c r="E87" s="1047"/>
      <c r="F87" s="1046">
        <v>24.91</v>
      </c>
      <c r="G87" s="1047"/>
      <c r="H87" s="1046">
        <v>11.69</v>
      </c>
      <c r="I87" s="1047"/>
      <c r="J87" s="1046">
        <v>17.61</v>
      </c>
      <c r="K87" s="1047"/>
      <c r="L87" s="1046">
        <v>11.14</v>
      </c>
      <c r="M87" s="1047"/>
      <c r="N87" s="1046">
        <v>11.71</v>
      </c>
      <c r="O87" s="1047"/>
      <c r="P87" s="1056">
        <v>11.84</v>
      </c>
      <c r="Q87" s="1057"/>
      <c r="R87" s="1056">
        <v>5.2</v>
      </c>
      <c r="S87" s="1057"/>
      <c r="T87" s="1056">
        <v>-6.38</v>
      </c>
      <c r="U87" s="1086"/>
      <c r="V87" s="1049">
        <v>-2.58</v>
      </c>
      <c r="W87" s="1050"/>
      <c r="X87" s="1042">
        <v>15.61</v>
      </c>
      <c r="Y87" s="1051"/>
      <c r="Z87" s="1042">
        <v>-9.51</v>
      </c>
      <c r="AA87" s="1043"/>
      <c r="AB87" s="1042">
        <v>12.57</v>
      </c>
      <c r="AC87" s="1043"/>
      <c r="AD87" s="1042">
        <v>-3.66</v>
      </c>
      <c r="AE87" s="1043"/>
      <c r="AF87" s="1042">
        <v>1.41</v>
      </c>
      <c r="AG87" s="1043"/>
      <c r="AH87" s="1049">
        <v>14.84</v>
      </c>
      <c r="AI87" s="1050"/>
    </row>
    <row r="88" spans="1:63" s="65" customFormat="1" x14ac:dyDescent="0.25">
      <c r="A88" s="1084" t="s">
        <v>304</v>
      </c>
      <c r="B88" s="1085"/>
      <c r="C88" s="78" t="s">
        <v>305</v>
      </c>
      <c r="D88" s="1056">
        <v>1.6</v>
      </c>
      <c r="E88" s="1057"/>
      <c r="F88" s="1046">
        <v>1.72</v>
      </c>
      <c r="G88" s="1047"/>
      <c r="H88" s="1046">
        <v>6.29</v>
      </c>
      <c r="I88" s="1047"/>
      <c r="J88" s="1046">
        <v>4.4800000000000004</v>
      </c>
      <c r="K88" s="1047"/>
      <c r="L88" s="1046">
        <v>7.59</v>
      </c>
      <c r="M88" s="1047"/>
      <c r="N88" s="1046">
        <v>5.19</v>
      </c>
      <c r="O88" s="1047"/>
      <c r="P88" s="1046">
        <v>-5.22</v>
      </c>
      <c r="Q88" s="1047"/>
      <c r="R88" s="1056">
        <v>21.3</v>
      </c>
      <c r="S88" s="1057"/>
      <c r="T88" s="1056">
        <v>1.1599999999999999</v>
      </c>
      <c r="U88" s="1086"/>
      <c r="V88" s="1049">
        <v>23.15</v>
      </c>
      <c r="W88" s="1050"/>
      <c r="X88" s="1042">
        <v>30.54</v>
      </c>
      <c r="Y88" s="1051"/>
      <c r="Z88" s="1042">
        <v>-10.78</v>
      </c>
      <c r="AA88" s="1043"/>
      <c r="AB88" s="1042">
        <v>22.83</v>
      </c>
      <c r="AC88" s="1043"/>
      <c r="AD88" s="1042">
        <v>8.19</v>
      </c>
      <c r="AE88" s="1043"/>
      <c r="AF88" s="1042">
        <v>13.96</v>
      </c>
      <c r="AG88" s="1043"/>
      <c r="AH88" s="1049">
        <v>2.89</v>
      </c>
      <c r="AI88" s="1050"/>
      <c r="AJ88" s="264"/>
      <c r="AK88" s="264"/>
      <c r="AL88" s="264"/>
      <c r="AM88" s="264"/>
      <c r="AN88" s="264"/>
      <c r="AO88" s="264"/>
      <c r="AP88" s="264"/>
      <c r="AQ88" s="264"/>
      <c r="AR88" s="264"/>
      <c r="AS88" s="264"/>
      <c r="AT88" s="264"/>
      <c r="AU88" s="264"/>
      <c r="AV88" s="264"/>
      <c r="AW88" s="264"/>
      <c r="AX88" s="264"/>
      <c r="AY88" s="264"/>
      <c r="AZ88" s="264"/>
      <c r="BA88" s="264"/>
      <c r="BB88" s="264"/>
      <c r="BC88" s="264"/>
      <c r="BD88" s="264"/>
      <c r="BE88" s="264"/>
      <c r="BF88" s="264"/>
      <c r="BG88" s="264"/>
      <c r="BH88" s="264"/>
      <c r="BI88" s="264"/>
      <c r="BJ88" s="264"/>
      <c r="BK88" s="264"/>
    </row>
    <row r="89" spans="1:63" x14ac:dyDescent="0.25">
      <c r="A89" s="1084" t="s">
        <v>306</v>
      </c>
      <c r="B89" s="1085"/>
      <c r="C89" s="78" t="s">
        <v>307</v>
      </c>
      <c r="D89" s="1046">
        <v>16.36</v>
      </c>
      <c r="E89" s="1047"/>
      <c r="F89" s="1056">
        <v>0</v>
      </c>
      <c r="G89" s="1057"/>
      <c r="H89" s="1046">
        <v>8.9700000000000006</v>
      </c>
      <c r="I89" s="1047"/>
      <c r="J89" s="1056">
        <v>0</v>
      </c>
      <c r="K89" s="1057"/>
      <c r="L89" s="1056">
        <v>0</v>
      </c>
      <c r="M89" s="1057"/>
      <c r="N89" s="1046">
        <v>-11.11</v>
      </c>
      <c r="O89" s="1047"/>
      <c r="P89" s="1056">
        <v>0</v>
      </c>
      <c r="Q89" s="1057"/>
      <c r="R89" s="1056">
        <v>0</v>
      </c>
      <c r="S89" s="1057"/>
      <c r="T89" s="1056">
        <v>0</v>
      </c>
      <c r="U89" s="1086"/>
      <c r="V89" s="1049">
        <v>0</v>
      </c>
      <c r="W89" s="1050"/>
      <c r="X89" s="1042">
        <v>10.84</v>
      </c>
      <c r="Y89" s="1051"/>
      <c r="Z89" s="1042">
        <v>41.56</v>
      </c>
      <c r="AA89" s="1043"/>
      <c r="AB89" s="1042">
        <v>0</v>
      </c>
      <c r="AC89" s="1043"/>
      <c r="AD89" s="1042">
        <v>0</v>
      </c>
      <c r="AE89" s="1043"/>
      <c r="AF89" s="1042">
        <v>1.88</v>
      </c>
      <c r="AG89" s="1043"/>
      <c r="AH89" s="1049">
        <v>0</v>
      </c>
      <c r="AI89" s="1050"/>
    </row>
    <row r="90" spans="1:63" x14ac:dyDescent="0.25">
      <c r="A90" s="1084" t="s">
        <v>308</v>
      </c>
      <c r="B90" s="1085"/>
      <c r="C90" s="78" t="s">
        <v>309</v>
      </c>
      <c r="D90" s="1056">
        <v>21.55</v>
      </c>
      <c r="E90" s="1057"/>
      <c r="F90" s="1046">
        <v>9.44</v>
      </c>
      <c r="G90" s="1047"/>
      <c r="H90" s="1056">
        <v>15.6</v>
      </c>
      <c r="I90" s="1057"/>
      <c r="J90" s="1046">
        <v>27.02</v>
      </c>
      <c r="K90" s="1047"/>
      <c r="L90" s="1046">
        <v>-1.57</v>
      </c>
      <c r="M90" s="1047"/>
      <c r="N90" s="1046">
        <v>6.17</v>
      </c>
      <c r="O90" s="1047"/>
      <c r="P90" s="1056">
        <v>2.9</v>
      </c>
      <c r="Q90" s="1057"/>
      <c r="R90" s="1056">
        <v>2.81</v>
      </c>
      <c r="S90" s="1057"/>
      <c r="T90" s="1056">
        <v>0.48</v>
      </c>
      <c r="U90" s="1086"/>
      <c r="V90" s="1049">
        <v>-1.9</v>
      </c>
      <c r="W90" s="1050"/>
      <c r="X90" s="1042">
        <v>14.73</v>
      </c>
      <c r="Y90" s="1051"/>
      <c r="Z90" s="1042">
        <v>2.61</v>
      </c>
      <c r="AA90" s="1043"/>
      <c r="AB90" s="1042">
        <v>-0.04</v>
      </c>
      <c r="AC90" s="1043"/>
      <c r="AD90" s="1042">
        <v>-3.14</v>
      </c>
      <c r="AE90" s="1043"/>
      <c r="AF90" s="1042">
        <v>-0.06</v>
      </c>
      <c r="AG90" s="1043"/>
      <c r="AH90" s="1049">
        <v>3.18</v>
      </c>
      <c r="AI90" s="1050"/>
    </row>
    <row r="91" spans="1:63" x14ac:dyDescent="0.25">
      <c r="A91" s="1084" t="s">
        <v>310</v>
      </c>
      <c r="B91" s="1085"/>
      <c r="C91" s="78" t="s">
        <v>311</v>
      </c>
      <c r="D91" s="1046">
        <v>24.33</v>
      </c>
      <c r="E91" s="1047"/>
      <c r="F91" s="1046">
        <v>57.12</v>
      </c>
      <c r="G91" s="1047"/>
      <c r="H91" s="1046">
        <v>2.82</v>
      </c>
      <c r="I91" s="1047"/>
      <c r="J91" s="1046">
        <v>0.73</v>
      </c>
      <c r="K91" s="1047"/>
      <c r="L91" s="1046">
        <v>0.05</v>
      </c>
      <c r="M91" s="1047"/>
      <c r="N91" s="1046">
        <v>-0.49</v>
      </c>
      <c r="O91" s="1047"/>
      <c r="P91" s="1056">
        <v>0.95</v>
      </c>
      <c r="Q91" s="1057"/>
      <c r="R91" s="1056">
        <v>-1.27</v>
      </c>
      <c r="S91" s="1057"/>
      <c r="T91" s="1056">
        <v>-1.66</v>
      </c>
      <c r="U91" s="1086"/>
      <c r="V91" s="1049">
        <v>-7.0000000000000007E-2</v>
      </c>
      <c r="W91" s="1050"/>
      <c r="X91" s="1042">
        <v>26.44</v>
      </c>
      <c r="Y91" s="1051"/>
      <c r="Z91" s="1042">
        <v>7.67</v>
      </c>
      <c r="AA91" s="1043"/>
      <c r="AB91" s="1042">
        <v>2.71</v>
      </c>
      <c r="AC91" s="1043"/>
      <c r="AD91" s="1042">
        <v>0</v>
      </c>
      <c r="AE91" s="1043"/>
      <c r="AF91" s="1042">
        <v>0</v>
      </c>
      <c r="AG91" s="1043"/>
      <c r="AH91" s="1049">
        <v>15.09</v>
      </c>
      <c r="AI91" s="1050"/>
    </row>
    <row r="92" spans="1:63" s="65" customFormat="1" x14ac:dyDescent="0.25">
      <c r="A92" s="1084" t="s">
        <v>312</v>
      </c>
      <c r="B92" s="1085"/>
      <c r="C92" s="78" t="s">
        <v>313</v>
      </c>
      <c r="D92" s="1046">
        <v>13.13</v>
      </c>
      <c r="E92" s="1047"/>
      <c r="F92" s="1046">
        <v>5.46</v>
      </c>
      <c r="G92" s="1047"/>
      <c r="H92" s="1046">
        <v>13.23</v>
      </c>
      <c r="I92" s="1047"/>
      <c r="J92" s="1056">
        <v>6.7</v>
      </c>
      <c r="K92" s="1057"/>
      <c r="L92" s="1046">
        <v>0.25</v>
      </c>
      <c r="M92" s="1047"/>
      <c r="N92" s="1056">
        <v>2.2599999999999998</v>
      </c>
      <c r="O92" s="1057"/>
      <c r="P92" s="1046">
        <v>2.58</v>
      </c>
      <c r="Q92" s="1047"/>
      <c r="R92" s="1046">
        <v>-0.73</v>
      </c>
      <c r="S92" s="1047"/>
      <c r="T92" s="1046">
        <v>0.86</v>
      </c>
      <c r="U92" s="1048"/>
      <c r="V92" s="1049">
        <v>0.56999999999999995</v>
      </c>
      <c r="W92" s="1050"/>
      <c r="X92" s="1042">
        <v>0.21</v>
      </c>
      <c r="Y92" s="1051"/>
      <c r="Z92" s="1042">
        <v>1.42</v>
      </c>
      <c r="AA92" s="1043"/>
      <c r="AB92" s="1042">
        <v>0.94</v>
      </c>
      <c r="AC92" s="1043"/>
      <c r="AD92" s="1042">
        <v>1.57</v>
      </c>
      <c r="AE92" s="1043"/>
      <c r="AF92" s="1042">
        <v>1.58</v>
      </c>
      <c r="AG92" s="1043"/>
      <c r="AH92" s="1049">
        <v>0.78</v>
      </c>
      <c r="AI92" s="1050"/>
      <c r="AJ92" s="264"/>
      <c r="AK92" s="264"/>
      <c r="AL92" s="264"/>
      <c r="AM92" s="264"/>
      <c r="AN92" s="264"/>
      <c r="AO92" s="264"/>
      <c r="AP92" s="264"/>
      <c r="AQ92" s="264"/>
      <c r="AR92" s="264"/>
      <c r="AS92" s="264"/>
      <c r="AT92" s="264"/>
      <c r="AU92" s="264"/>
      <c r="AV92" s="264"/>
      <c r="AW92" s="264"/>
      <c r="AX92" s="264"/>
      <c r="AY92" s="264"/>
      <c r="AZ92" s="264"/>
      <c r="BA92" s="264"/>
      <c r="BB92" s="264"/>
      <c r="BC92" s="264"/>
      <c r="BD92" s="264"/>
      <c r="BE92" s="264"/>
      <c r="BF92" s="264"/>
      <c r="BG92" s="264"/>
      <c r="BH92" s="264"/>
      <c r="BI92" s="264"/>
      <c r="BJ92" s="264"/>
      <c r="BK92" s="264"/>
    </row>
    <row r="93" spans="1:63" x14ac:dyDescent="0.25">
      <c r="A93" s="1084" t="s">
        <v>314</v>
      </c>
      <c r="B93" s="1085"/>
      <c r="C93" s="78" t="s">
        <v>315</v>
      </c>
      <c r="D93" s="1046">
        <v>7.31</v>
      </c>
      <c r="E93" s="1047"/>
      <c r="F93" s="1046">
        <v>18.170000000000002</v>
      </c>
      <c r="G93" s="1047"/>
      <c r="H93" s="1046">
        <v>-8.17</v>
      </c>
      <c r="I93" s="1047"/>
      <c r="J93" s="1046">
        <v>18.48</v>
      </c>
      <c r="K93" s="1047"/>
      <c r="L93" s="1046">
        <v>-22.27</v>
      </c>
      <c r="M93" s="1047"/>
      <c r="N93" s="1046">
        <v>5.13</v>
      </c>
      <c r="O93" s="1047"/>
      <c r="P93" s="1056">
        <v>-6.1</v>
      </c>
      <c r="Q93" s="1057"/>
      <c r="R93" s="1056">
        <v>3.83</v>
      </c>
      <c r="S93" s="1057"/>
      <c r="T93" s="1056">
        <v>-3.35</v>
      </c>
      <c r="U93" s="1086"/>
      <c r="V93" s="1049">
        <v>-11.76</v>
      </c>
      <c r="W93" s="1050"/>
      <c r="X93" s="1042">
        <v>4.3499999999999996</v>
      </c>
      <c r="Y93" s="1051"/>
      <c r="Z93" s="1042">
        <v>-6.39</v>
      </c>
      <c r="AA93" s="1043"/>
      <c r="AB93" s="1042">
        <v>18.28</v>
      </c>
      <c r="AC93" s="1043"/>
      <c r="AD93" s="1042">
        <v>5.42</v>
      </c>
      <c r="AE93" s="1043"/>
      <c r="AF93" s="1042">
        <v>5.48</v>
      </c>
      <c r="AG93" s="1043"/>
      <c r="AH93" s="1049">
        <v>2.5499999999999998</v>
      </c>
      <c r="AI93" s="1050"/>
    </row>
    <row r="94" spans="1:63" x14ac:dyDescent="0.25">
      <c r="A94" s="1084" t="s">
        <v>316</v>
      </c>
      <c r="B94" s="1085"/>
      <c r="C94" s="78" t="s">
        <v>317</v>
      </c>
      <c r="D94" s="1056">
        <v>0</v>
      </c>
      <c r="E94" s="1057"/>
      <c r="F94" s="1046">
        <v>29.37</v>
      </c>
      <c r="G94" s="1047"/>
      <c r="H94" s="1046">
        <v>3.33</v>
      </c>
      <c r="I94" s="1047"/>
      <c r="J94" s="1056">
        <v>0</v>
      </c>
      <c r="K94" s="1057"/>
      <c r="L94" s="1056">
        <v>0</v>
      </c>
      <c r="M94" s="1057"/>
      <c r="N94" s="1056">
        <v>0</v>
      </c>
      <c r="O94" s="1057"/>
      <c r="P94" s="1056">
        <v>0</v>
      </c>
      <c r="Q94" s="1057"/>
      <c r="R94" s="1056">
        <v>-9.75</v>
      </c>
      <c r="S94" s="1057"/>
      <c r="T94" s="1056">
        <v>0</v>
      </c>
      <c r="U94" s="1086"/>
      <c r="V94" s="1049">
        <v>0</v>
      </c>
      <c r="W94" s="1050"/>
      <c r="X94" s="1042">
        <v>0</v>
      </c>
      <c r="Y94" s="1051"/>
      <c r="Z94" s="1042">
        <v>2.37</v>
      </c>
      <c r="AA94" s="1043"/>
      <c r="AB94" s="1042">
        <v>2.2999999999999998</v>
      </c>
      <c r="AC94" s="1043"/>
      <c r="AD94" s="1042">
        <v>0.88</v>
      </c>
      <c r="AE94" s="1043"/>
      <c r="AF94" s="1042">
        <v>-0.88</v>
      </c>
      <c r="AG94" s="1043"/>
      <c r="AH94" s="1049">
        <v>6.26</v>
      </c>
      <c r="AI94" s="1050"/>
    </row>
    <row r="95" spans="1:63" x14ac:dyDescent="0.25">
      <c r="A95" s="1084" t="s">
        <v>318</v>
      </c>
      <c r="B95" s="1085"/>
      <c r="C95" s="78" t="s">
        <v>319</v>
      </c>
      <c r="D95" s="1046">
        <v>2.37</v>
      </c>
      <c r="E95" s="1047"/>
      <c r="F95" s="1046">
        <v>4.32</v>
      </c>
      <c r="G95" s="1047"/>
      <c r="H95" s="1046">
        <v>3.09</v>
      </c>
      <c r="I95" s="1047"/>
      <c r="J95" s="1046">
        <v>7.23</v>
      </c>
      <c r="K95" s="1047"/>
      <c r="L95" s="1046">
        <v>8.1199999999999992</v>
      </c>
      <c r="M95" s="1047"/>
      <c r="N95" s="1046">
        <v>7.98</v>
      </c>
      <c r="O95" s="1047"/>
      <c r="P95" s="1046">
        <v>2.1800000000000002</v>
      </c>
      <c r="Q95" s="1047"/>
      <c r="R95" s="1046">
        <v>3.22</v>
      </c>
      <c r="S95" s="1047"/>
      <c r="T95" s="1046">
        <v>2.71</v>
      </c>
      <c r="U95" s="1048"/>
      <c r="V95" s="1049">
        <v>2.84</v>
      </c>
      <c r="W95" s="1050"/>
      <c r="X95" s="1042">
        <v>11.56</v>
      </c>
      <c r="Y95" s="1051"/>
      <c r="Z95" s="1042">
        <v>3.24</v>
      </c>
      <c r="AA95" s="1043"/>
      <c r="AB95" s="1042">
        <v>2.77</v>
      </c>
      <c r="AC95" s="1043"/>
      <c r="AD95" s="1042">
        <v>1.61</v>
      </c>
      <c r="AE95" s="1043"/>
      <c r="AF95" s="1042">
        <v>12.1</v>
      </c>
      <c r="AG95" s="1043"/>
      <c r="AH95" s="1049">
        <v>2.72</v>
      </c>
      <c r="AI95" s="1050"/>
    </row>
    <row r="96" spans="1:63" x14ac:dyDescent="0.25">
      <c r="A96" s="1084" t="s">
        <v>320</v>
      </c>
      <c r="B96" s="1085"/>
      <c r="C96" s="78" t="s">
        <v>321</v>
      </c>
      <c r="D96" s="1046">
        <v>2.94</v>
      </c>
      <c r="E96" s="1047"/>
      <c r="F96" s="1046">
        <v>8.31</v>
      </c>
      <c r="G96" s="1047"/>
      <c r="H96" s="1046">
        <v>1.25</v>
      </c>
      <c r="I96" s="1047"/>
      <c r="J96" s="1046">
        <v>7.77</v>
      </c>
      <c r="K96" s="1047"/>
      <c r="L96" s="1046">
        <v>-2.87</v>
      </c>
      <c r="M96" s="1047"/>
      <c r="N96" s="1056">
        <v>5.39</v>
      </c>
      <c r="O96" s="1057"/>
      <c r="P96" s="1056">
        <v>2.2000000000000002</v>
      </c>
      <c r="Q96" s="1057"/>
      <c r="R96" s="1056">
        <v>3.2</v>
      </c>
      <c r="S96" s="1057"/>
      <c r="T96" s="1056">
        <v>2.86</v>
      </c>
      <c r="U96" s="1086"/>
      <c r="V96" s="1049">
        <v>4.12</v>
      </c>
      <c r="W96" s="1050"/>
      <c r="X96" s="1042">
        <v>3.35</v>
      </c>
      <c r="Y96" s="1051"/>
      <c r="Z96" s="1042">
        <v>1.52</v>
      </c>
      <c r="AA96" s="1043"/>
      <c r="AB96" s="1042">
        <v>2.84</v>
      </c>
      <c r="AC96" s="1043"/>
      <c r="AD96" s="1042">
        <v>0.96</v>
      </c>
      <c r="AE96" s="1043"/>
      <c r="AF96" s="1042">
        <v>5.29</v>
      </c>
      <c r="AG96" s="1043"/>
      <c r="AH96" s="1049">
        <v>11.99</v>
      </c>
      <c r="AI96" s="1050"/>
    </row>
    <row r="97" spans="1:35" x14ac:dyDescent="0.25">
      <c r="A97" s="1084" t="s">
        <v>322</v>
      </c>
      <c r="B97" s="1085"/>
      <c r="C97" s="78" t="s">
        <v>323</v>
      </c>
      <c r="D97" s="1046">
        <v>4.42</v>
      </c>
      <c r="E97" s="1047"/>
      <c r="F97" s="1046">
        <v>2.96</v>
      </c>
      <c r="G97" s="1047"/>
      <c r="H97" s="1046">
        <v>6.21</v>
      </c>
      <c r="I97" s="1047"/>
      <c r="J97" s="1046">
        <v>6.73</v>
      </c>
      <c r="K97" s="1047"/>
      <c r="L97" s="1046">
        <v>3.49</v>
      </c>
      <c r="M97" s="1047"/>
      <c r="N97" s="1046">
        <v>11.33</v>
      </c>
      <c r="O97" s="1047"/>
      <c r="P97" s="1046">
        <v>1.96</v>
      </c>
      <c r="Q97" s="1047"/>
      <c r="R97" s="1046">
        <v>2.95</v>
      </c>
      <c r="S97" s="1047"/>
      <c r="T97" s="1046">
        <v>2.3199999999999998</v>
      </c>
      <c r="U97" s="1048"/>
      <c r="V97" s="1049">
        <v>3.27</v>
      </c>
      <c r="W97" s="1050"/>
      <c r="X97" s="1042">
        <v>12.9</v>
      </c>
      <c r="Y97" s="1051"/>
      <c r="Z97" s="1042">
        <v>4.67</v>
      </c>
      <c r="AA97" s="1043"/>
      <c r="AB97" s="1042">
        <v>2.83</v>
      </c>
      <c r="AC97" s="1043"/>
      <c r="AD97" s="1042">
        <v>2.89</v>
      </c>
      <c r="AE97" s="1043"/>
      <c r="AF97" s="1042">
        <v>14.2</v>
      </c>
      <c r="AG97" s="1043"/>
      <c r="AH97" s="1049">
        <v>3.92</v>
      </c>
      <c r="AI97" s="1050"/>
    </row>
    <row r="98" spans="1:35" x14ac:dyDescent="0.25">
      <c r="A98" s="1084" t="s">
        <v>324</v>
      </c>
      <c r="B98" s="1085"/>
      <c r="C98" s="78" t="s">
        <v>325</v>
      </c>
      <c r="D98" s="1046">
        <v>14.33</v>
      </c>
      <c r="E98" s="1047"/>
      <c r="F98" s="1046">
        <v>4.8600000000000003</v>
      </c>
      <c r="G98" s="1047"/>
      <c r="H98" s="1046">
        <v>-6.22</v>
      </c>
      <c r="I98" s="1047"/>
      <c r="J98" s="1046">
        <v>20.27</v>
      </c>
      <c r="K98" s="1047"/>
      <c r="L98" s="1046">
        <v>15.87</v>
      </c>
      <c r="M98" s="1047"/>
      <c r="N98" s="1056">
        <v>6.4</v>
      </c>
      <c r="O98" s="1057"/>
      <c r="P98" s="1046">
        <v>9.27</v>
      </c>
      <c r="Q98" s="1047"/>
      <c r="R98" s="1046">
        <v>1.33</v>
      </c>
      <c r="S98" s="1047"/>
      <c r="T98" s="1046">
        <v>15.45</v>
      </c>
      <c r="U98" s="1048"/>
      <c r="V98" s="1049">
        <v>10.48</v>
      </c>
      <c r="W98" s="1050"/>
      <c r="X98" s="1042">
        <v>18.46</v>
      </c>
      <c r="Y98" s="1051"/>
      <c r="Z98" s="1042">
        <v>8</v>
      </c>
      <c r="AA98" s="1043"/>
      <c r="AB98" s="1042">
        <v>18.68</v>
      </c>
      <c r="AC98" s="1043"/>
      <c r="AD98" s="1042">
        <v>2.06</v>
      </c>
      <c r="AE98" s="1043"/>
      <c r="AF98" s="1042">
        <v>4.7699999999999996</v>
      </c>
      <c r="AG98" s="1043"/>
      <c r="AH98" s="1049">
        <v>16.690000000000001</v>
      </c>
      <c r="AI98" s="1050"/>
    </row>
    <row r="99" spans="1:35" x14ac:dyDescent="0.25">
      <c r="A99" s="1084" t="s">
        <v>326</v>
      </c>
      <c r="B99" s="1085"/>
      <c r="C99" s="78" t="s">
        <v>327</v>
      </c>
      <c r="D99" s="1046">
        <v>10.98</v>
      </c>
      <c r="E99" s="1047"/>
      <c r="F99" s="1056">
        <v>0</v>
      </c>
      <c r="G99" s="1057"/>
      <c r="H99" s="1046">
        <v>-7.33</v>
      </c>
      <c r="I99" s="1047"/>
      <c r="J99" s="1046">
        <v>24.25</v>
      </c>
      <c r="K99" s="1047"/>
      <c r="L99" s="1046">
        <v>26.54</v>
      </c>
      <c r="M99" s="1047"/>
      <c r="N99" s="1046">
        <v>11.97</v>
      </c>
      <c r="O99" s="1047"/>
      <c r="P99" s="1056">
        <v>12</v>
      </c>
      <c r="Q99" s="1057"/>
      <c r="R99" s="1056">
        <v>2.6</v>
      </c>
      <c r="S99" s="1057"/>
      <c r="T99" s="1056">
        <v>5.1100000000000003</v>
      </c>
      <c r="U99" s="1086"/>
      <c r="V99" s="1049">
        <v>-22.02</v>
      </c>
      <c r="W99" s="1050"/>
      <c r="X99" s="1042">
        <v>24.76</v>
      </c>
      <c r="Y99" s="1051"/>
      <c r="Z99" s="1042">
        <v>8.25</v>
      </c>
      <c r="AA99" s="1043"/>
      <c r="AB99" s="1042">
        <v>20.6</v>
      </c>
      <c r="AC99" s="1043"/>
      <c r="AD99" s="1042">
        <v>-1.88</v>
      </c>
      <c r="AE99" s="1043"/>
      <c r="AF99" s="1042">
        <v>14.2</v>
      </c>
      <c r="AG99" s="1043"/>
      <c r="AH99" s="1049">
        <v>15.9</v>
      </c>
      <c r="AI99" s="1050"/>
    </row>
    <row r="100" spans="1:35" x14ac:dyDescent="0.25">
      <c r="A100" s="1084" t="s">
        <v>328</v>
      </c>
      <c r="B100" s="1085"/>
      <c r="C100" s="78" t="s">
        <v>329</v>
      </c>
      <c r="D100" s="1046">
        <v>10.24</v>
      </c>
      <c r="E100" s="1047"/>
      <c r="F100" s="1046">
        <v>1.65</v>
      </c>
      <c r="G100" s="1047"/>
      <c r="H100" s="1056">
        <v>17.600000000000001</v>
      </c>
      <c r="I100" s="1057"/>
      <c r="J100" s="1046">
        <v>-1.22</v>
      </c>
      <c r="K100" s="1047"/>
      <c r="L100" s="1046">
        <v>-5.24</v>
      </c>
      <c r="M100" s="1047"/>
      <c r="N100" s="1056">
        <v>0.76</v>
      </c>
      <c r="O100" s="1057"/>
      <c r="P100" s="1046">
        <v>2.65</v>
      </c>
      <c r="Q100" s="1047"/>
      <c r="R100" s="1046">
        <v>1.56</v>
      </c>
      <c r="S100" s="1047"/>
      <c r="T100" s="1046">
        <v>0.51</v>
      </c>
      <c r="U100" s="1048"/>
      <c r="V100" s="1049">
        <v>0</v>
      </c>
      <c r="W100" s="1050"/>
      <c r="X100" s="1042">
        <v>32.15</v>
      </c>
      <c r="Y100" s="1051"/>
      <c r="Z100" s="1042">
        <v>0</v>
      </c>
      <c r="AA100" s="1043"/>
      <c r="AB100" s="1042">
        <v>2.96</v>
      </c>
      <c r="AC100" s="1043"/>
      <c r="AD100" s="1042">
        <v>0</v>
      </c>
      <c r="AE100" s="1043"/>
      <c r="AF100" s="1042">
        <v>0</v>
      </c>
      <c r="AG100" s="1043"/>
      <c r="AH100" s="1049">
        <v>0</v>
      </c>
      <c r="AI100" s="1050"/>
    </row>
    <row r="101" spans="1:35" x14ac:dyDescent="0.25">
      <c r="A101" s="1084" t="s">
        <v>330</v>
      </c>
      <c r="B101" s="1085"/>
      <c r="C101" s="78" t="s">
        <v>331</v>
      </c>
      <c r="D101" s="1046">
        <v>11.11</v>
      </c>
      <c r="E101" s="1047"/>
      <c r="F101" s="1056">
        <v>0</v>
      </c>
      <c r="G101" s="1057"/>
      <c r="H101" s="1046">
        <v>-7.33</v>
      </c>
      <c r="I101" s="1047"/>
      <c r="J101" s="1056">
        <v>24.2</v>
      </c>
      <c r="K101" s="1057"/>
      <c r="L101" s="1056">
        <v>23.2</v>
      </c>
      <c r="M101" s="1057"/>
      <c r="N101" s="1046">
        <v>6.01</v>
      </c>
      <c r="O101" s="1047"/>
      <c r="P101" s="1056">
        <v>12</v>
      </c>
      <c r="Q101" s="1057"/>
      <c r="R101" s="1056">
        <v>3.47</v>
      </c>
      <c r="S101" s="1057"/>
      <c r="T101" s="1056">
        <v>25.49</v>
      </c>
      <c r="U101" s="1086"/>
      <c r="V101" s="1049">
        <v>11.04</v>
      </c>
      <c r="W101" s="1050"/>
      <c r="X101" s="1042">
        <v>23.34</v>
      </c>
      <c r="Y101" s="1051"/>
      <c r="Z101" s="1042">
        <v>8.01</v>
      </c>
      <c r="AA101" s="1043"/>
      <c r="AB101" s="1042">
        <v>20.64</v>
      </c>
      <c r="AC101" s="1043"/>
      <c r="AD101" s="1042">
        <v>-11.43</v>
      </c>
      <c r="AE101" s="1043"/>
      <c r="AF101" s="1042">
        <v>15.24</v>
      </c>
      <c r="AG101" s="1043"/>
      <c r="AH101" s="1049">
        <v>16.95</v>
      </c>
      <c r="AI101" s="1050"/>
    </row>
    <row r="102" spans="1:35" x14ac:dyDescent="0.25">
      <c r="A102" s="1084" t="s">
        <v>332</v>
      </c>
      <c r="B102" s="1085"/>
      <c r="C102" s="78" t="s">
        <v>333</v>
      </c>
      <c r="D102" s="1056">
        <v>11</v>
      </c>
      <c r="E102" s="1057"/>
      <c r="F102" s="1056">
        <v>0</v>
      </c>
      <c r="G102" s="1057"/>
      <c r="H102" s="1056">
        <v>18.8</v>
      </c>
      <c r="I102" s="1057"/>
      <c r="J102" s="1046">
        <v>20.96</v>
      </c>
      <c r="K102" s="1047"/>
      <c r="L102" s="1056">
        <v>8</v>
      </c>
      <c r="M102" s="1057"/>
      <c r="N102" s="1056">
        <v>6</v>
      </c>
      <c r="O102" s="1057"/>
      <c r="P102" s="1056">
        <v>12</v>
      </c>
      <c r="Q102" s="1057"/>
      <c r="R102" s="1056">
        <v>6</v>
      </c>
      <c r="S102" s="1057"/>
      <c r="T102" s="1056">
        <v>6</v>
      </c>
      <c r="U102" s="1086"/>
      <c r="V102" s="1049">
        <v>10.06</v>
      </c>
      <c r="W102" s="1050"/>
      <c r="X102" s="1042">
        <v>-0.05</v>
      </c>
      <c r="Y102" s="1051"/>
      <c r="Z102" s="1042">
        <v>0</v>
      </c>
      <c r="AA102" s="1043"/>
      <c r="AB102" s="1042">
        <v>12.84</v>
      </c>
      <c r="AC102" s="1043"/>
      <c r="AD102" s="1042">
        <v>10</v>
      </c>
      <c r="AE102" s="1043"/>
      <c r="AF102" s="1042">
        <v>9</v>
      </c>
      <c r="AG102" s="1043"/>
      <c r="AH102" s="1049">
        <v>31.8</v>
      </c>
      <c r="AI102" s="1050"/>
    </row>
    <row r="103" spans="1:35" x14ac:dyDescent="0.25">
      <c r="A103" s="1084" t="s">
        <v>334</v>
      </c>
      <c r="B103" s="1085"/>
      <c r="C103" s="78" t="s">
        <v>335</v>
      </c>
      <c r="D103" s="1046">
        <v>17.440000000000001</v>
      </c>
      <c r="E103" s="1047"/>
      <c r="F103" s="1046">
        <v>8.02</v>
      </c>
      <c r="G103" s="1047"/>
      <c r="H103" s="1046">
        <v>-9.26</v>
      </c>
      <c r="I103" s="1047"/>
      <c r="J103" s="1046">
        <v>19.48</v>
      </c>
      <c r="K103" s="1047"/>
      <c r="L103" s="1046">
        <v>12.12</v>
      </c>
      <c r="M103" s="1047"/>
      <c r="N103" s="1046">
        <v>4.33</v>
      </c>
      <c r="O103" s="1047"/>
      <c r="P103" s="1046">
        <v>10.79</v>
      </c>
      <c r="Q103" s="1047"/>
      <c r="R103" s="1046">
        <v>1.87</v>
      </c>
      <c r="S103" s="1047"/>
      <c r="T103" s="1046">
        <v>9.8699999999999992</v>
      </c>
      <c r="U103" s="1048"/>
      <c r="V103" s="1049">
        <v>9.67</v>
      </c>
      <c r="W103" s="1050"/>
      <c r="X103" s="1042">
        <v>16.489999999999998</v>
      </c>
      <c r="Y103" s="1051"/>
      <c r="Z103" s="1042">
        <v>5.7</v>
      </c>
      <c r="AA103" s="1043"/>
      <c r="AB103" s="1042">
        <v>19.16</v>
      </c>
      <c r="AC103" s="1043"/>
      <c r="AD103" s="1042">
        <v>-0.72</v>
      </c>
      <c r="AE103" s="1043"/>
      <c r="AF103" s="1042">
        <v>3.47</v>
      </c>
      <c r="AG103" s="1043"/>
      <c r="AH103" s="1049">
        <v>14.38</v>
      </c>
      <c r="AI103" s="1050"/>
    </row>
    <row r="104" spans="1:35" x14ac:dyDescent="0.25">
      <c r="A104" s="1084" t="s">
        <v>336</v>
      </c>
      <c r="B104" s="1085"/>
      <c r="C104" s="78" t="s">
        <v>337</v>
      </c>
      <c r="D104" s="1046">
        <v>-7.12</v>
      </c>
      <c r="E104" s="1047"/>
      <c r="F104" s="1046">
        <v>13.24</v>
      </c>
      <c r="G104" s="1047"/>
      <c r="H104" s="1046">
        <v>2.0299999999999998</v>
      </c>
      <c r="I104" s="1047"/>
      <c r="J104" s="1046">
        <v>18.55</v>
      </c>
      <c r="K104" s="1047"/>
      <c r="L104" s="1046">
        <v>-12.74</v>
      </c>
      <c r="M104" s="1047"/>
      <c r="N104" s="1056">
        <v>8.6999999999999993</v>
      </c>
      <c r="O104" s="1057"/>
      <c r="P104" s="1046">
        <v>4.96</v>
      </c>
      <c r="Q104" s="1047"/>
      <c r="R104" s="1046">
        <v>-2.31</v>
      </c>
      <c r="S104" s="1047"/>
      <c r="T104" s="1046">
        <v>-7.35</v>
      </c>
      <c r="U104" s="1048"/>
      <c r="V104" s="1049">
        <v>-1.1299999999999999</v>
      </c>
      <c r="W104" s="1050"/>
      <c r="X104" s="1042">
        <v>-30.64</v>
      </c>
      <c r="Y104" s="1051"/>
      <c r="Z104" s="1042">
        <v>1.35</v>
      </c>
      <c r="AA104" s="1043"/>
      <c r="AB104" s="1042">
        <v>7.83</v>
      </c>
      <c r="AC104" s="1043"/>
      <c r="AD104" s="1042">
        <v>6.33</v>
      </c>
      <c r="AE104" s="1043"/>
      <c r="AF104" s="1042">
        <v>6.84</v>
      </c>
      <c r="AG104" s="1043"/>
      <c r="AH104" s="1049">
        <v>8.49</v>
      </c>
      <c r="AI104" s="1050"/>
    </row>
    <row r="105" spans="1:35" x14ac:dyDescent="0.25">
      <c r="A105" s="1080" t="s">
        <v>338</v>
      </c>
      <c r="B105" s="1081"/>
      <c r="C105" s="265" t="s">
        <v>339</v>
      </c>
      <c r="D105" s="1082">
        <v>7</v>
      </c>
      <c r="E105" s="1083"/>
      <c r="F105" s="1077">
        <v>3.44</v>
      </c>
      <c r="G105" s="1078"/>
      <c r="H105" s="1077">
        <v>6.72</v>
      </c>
      <c r="I105" s="1078"/>
      <c r="J105" s="1077">
        <v>1.66</v>
      </c>
      <c r="K105" s="1078"/>
      <c r="L105" s="1082">
        <v>0</v>
      </c>
      <c r="M105" s="1083"/>
      <c r="N105" s="1077">
        <v>25.38</v>
      </c>
      <c r="O105" s="1078"/>
      <c r="P105" s="1077">
        <v>-3.23</v>
      </c>
      <c r="Q105" s="1078"/>
      <c r="R105" s="1077">
        <v>2.93</v>
      </c>
      <c r="S105" s="1078"/>
      <c r="T105" s="1077">
        <v>-7.07</v>
      </c>
      <c r="U105" s="1079"/>
      <c r="V105" s="1049">
        <v>-10.62</v>
      </c>
      <c r="W105" s="1050"/>
      <c r="X105" s="1042">
        <v>-22.27</v>
      </c>
      <c r="Y105" s="1051"/>
      <c r="Z105" s="1073">
        <v>-8.84</v>
      </c>
      <c r="AA105" s="1074"/>
      <c r="AB105" s="1073">
        <v>25.82</v>
      </c>
      <c r="AC105" s="1074"/>
      <c r="AD105" s="1073">
        <v>9.4</v>
      </c>
      <c r="AE105" s="1074"/>
      <c r="AF105" s="1073">
        <v>-1.01</v>
      </c>
      <c r="AG105" s="1074"/>
      <c r="AH105" s="1118">
        <v>19.86</v>
      </c>
      <c r="AI105" s="1119"/>
    </row>
    <row r="106" spans="1:35" x14ac:dyDescent="0.25">
      <c r="A106" s="1075" t="s">
        <v>340</v>
      </c>
      <c r="B106" s="1076"/>
      <c r="C106" s="68"/>
      <c r="D106" s="1068"/>
      <c r="E106" s="1069"/>
      <c r="F106" s="1068"/>
      <c r="G106" s="1069"/>
      <c r="H106" s="1068"/>
      <c r="I106" s="1069"/>
      <c r="J106" s="1068"/>
      <c r="K106" s="1069"/>
      <c r="L106" s="1068"/>
      <c r="M106" s="1069"/>
      <c r="N106" s="1068"/>
      <c r="O106" s="1069"/>
      <c r="P106" s="1068"/>
      <c r="Q106" s="1069"/>
      <c r="R106" s="1068"/>
      <c r="S106" s="1069"/>
      <c r="T106" s="1068"/>
      <c r="U106" s="1070"/>
      <c r="V106" s="1071"/>
      <c r="W106" s="1071"/>
      <c r="X106" s="1072"/>
      <c r="Y106" s="1072"/>
      <c r="Z106" s="1042"/>
      <c r="AA106" s="1043"/>
      <c r="AB106" s="1042"/>
      <c r="AC106" s="1043"/>
      <c r="AD106" s="1042"/>
      <c r="AE106" s="1043"/>
      <c r="AF106" s="1042"/>
      <c r="AG106" s="1043"/>
      <c r="AH106" s="1049"/>
      <c r="AI106" s="1050"/>
    </row>
    <row r="107" spans="1:35" x14ac:dyDescent="0.25">
      <c r="A107" s="1062" t="s">
        <v>341</v>
      </c>
      <c r="B107" s="1063"/>
      <c r="C107" s="77" t="s">
        <v>342</v>
      </c>
      <c r="D107" s="1058">
        <v>3.36</v>
      </c>
      <c r="E107" s="1059"/>
      <c r="F107" s="1064">
        <v>6.4</v>
      </c>
      <c r="G107" s="1065"/>
      <c r="H107" s="1058">
        <v>6.49</v>
      </c>
      <c r="I107" s="1059"/>
      <c r="J107" s="1058">
        <v>3.62</v>
      </c>
      <c r="K107" s="1059"/>
      <c r="L107" s="1058">
        <v>2.87</v>
      </c>
      <c r="M107" s="1059"/>
      <c r="N107" s="1066">
        <v>2.83</v>
      </c>
      <c r="O107" s="1067"/>
      <c r="P107" s="1058">
        <v>0.06</v>
      </c>
      <c r="Q107" s="1059"/>
      <c r="R107" s="1058">
        <v>3.74</v>
      </c>
      <c r="S107" s="1059"/>
      <c r="T107" s="1058">
        <v>0.06</v>
      </c>
      <c r="U107" s="1060"/>
      <c r="V107" s="1049">
        <v>3.87</v>
      </c>
      <c r="W107" s="1050"/>
      <c r="X107" s="1042">
        <v>5.43</v>
      </c>
      <c r="Y107" s="1051"/>
      <c r="Z107" s="1052">
        <v>0.42</v>
      </c>
      <c r="AA107" s="1053"/>
      <c r="AB107" s="1052">
        <v>0.42</v>
      </c>
      <c r="AC107" s="1061"/>
      <c r="AD107" s="1052">
        <v>18.329999999999998</v>
      </c>
      <c r="AE107" s="1053"/>
      <c r="AF107" s="1052">
        <v>0.16</v>
      </c>
      <c r="AG107" s="1053"/>
      <c r="AH107" s="1116">
        <v>1.02</v>
      </c>
      <c r="AI107" s="1117"/>
    </row>
    <row r="108" spans="1:35" x14ac:dyDescent="0.25">
      <c r="A108" s="1054" t="s">
        <v>343</v>
      </c>
      <c r="B108" s="1055"/>
      <c r="C108" s="78" t="s">
        <v>344</v>
      </c>
      <c r="D108" s="1046">
        <v>3.17</v>
      </c>
      <c r="E108" s="1047"/>
      <c r="F108" s="1046">
        <v>6.91</v>
      </c>
      <c r="G108" s="1047"/>
      <c r="H108" s="1056">
        <v>7.2</v>
      </c>
      <c r="I108" s="1057"/>
      <c r="J108" s="1046">
        <v>5.52</v>
      </c>
      <c r="K108" s="1047"/>
      <c r="L108" s="1046">
        <v>1.42</v>
      </c>
      <c r="M108" s="1047"/>
      <c r="N108" s="1046">
        <v>-0.77</v>
      </c>
      <c r="O108" s="1048"/>
      <c r="P108" s="1046">
        <v>-7.67</v>
      </c>
      <c r="Q108" s="1047"/>
      <c r="R108" s="1046">
        <v>0.05</v>
      </c>
      <c r="S108" s="1047"/>
      <c r="T108" s="1046">
        <v>7.66</v>
      </c>
      <c r="U108" s="1048"/>
      <c r="V108" s="1049">
        <v>3.65</v>
      </c>
      <c r="W108" s="1050"/>
      <c r="X108" s="1042">
        <v>4.71</v>
      </c>
      <c r="Y108" s="1051"/>
      <c r="Z108" s="1042">
        <v>-0.36</v>
      </c>
      <c r="AA108" s="1043"/>
      <c r="AB108" s="1042">
        <v>13.69</v>
      </c>
      <c r="AC108" s="1043"/>
      <c r="AD108" s="1042">
        <v>12.58</v>
      </c>
      <c r="AE108" s="1043"/>
      <c r="AF108" s="1042">
        <v>20.03</v>
      </c>
      <c r="AG108" s="1043"/>
      <c r="AH108" s="1049">
        <v>19.600000000000001</v>
      </c>
      <c r="AI108" s="1050"/>
    </row>
    <row r="109" spans="1:35" x14ac:dyDescent="0.25">
      <c r="A109" s="1044" t="s">
        <v>345</v>
      </c>
      <c r="B109" s="1045"/>
      <c r="C109" s="66" t="s">
        <v>346</v>
      </c>
      <c r="D109" s="1036">
        <v>5.12</v>
      </c>
      <c r="E109" s="1037"/>
      <c r="F109" s="1036">
        <v>7.05</v>
      </c>
      <c r="G109" s="1037"/>
      <c r="H109" s="1036">
        <v>5.99</v>
      </c>
      <c r="I109" s="1037"/>
      <c r="J109" s="1036">
        <v>4.34</v>
      </c>
      <c r="K109" s="1037"/>
      <c r="L109" s="1036">
        <v>4.03</v>
      </c>
      <c r="M109" s="1037"/>
      <c r="N109" s="1036">
        <v>13.17</v>
      </c>
      <c r="O109" s="1038"/>
      <c r="P109" s="1036">
        <v>-1.17</v>
      </c>
      <c r="Q109" s="1037"/>
      <c r="R109" s="1036">
        <v>-1.37</v>
      </c>
      <c r="S109" s="1037"/>
      <c r="T109" s="1036">
        <v>4.6100000000000003</v>
      </c>
      <c r="U109" s="1038"/>
      <c r="V109" s="1039">
        <v>3.53</v>
      </c>
      <c r="W109" s="1040"/>
      <c r="X109" s="1029">
        <v>4.26</v>
      </c>
      <c r="Y109" s="1041"/>
      <c r="Z109" s="1029">
        <v>3.55</v>
      </c>
      <c r="AA109" s="1030"/>
      <c r="AB109" s="1029">
        <v>8.2799999999999994</v>
      </c>
      <c r="AC109" s="1030"/>
      <c r="AD109" s="1029">
        <v>14.33</v>
      </c>
      <c r="AE109" s="1030"/>
      <c r="AF109" s="1029">
        <v>-5.31</v>
      </c>
      <c r="AG109" s="1030"/>
      <c r="AH109" s="1039">
        <v>15.45</v>
      </c>
      <c r="AI109" s="1040"/>
    </row>
    <row r="110" spans="1:35" x14ac:dyDescent="0.25">
      <c r="A110" s="1031" t="s">
        <v>347</v>
      </c>
      <c r="B110" s="1032"/>
      <c r="C110" s="67" t="s">
        <v>348</v>
      </c>
      <c r="D110" s="1033">
        <v>13.88</v>
      </c>
      <c r="E110" s="1034"/>
      <c r="F110" s="1033">
        <v>3.77</v>
      </c>
      <c r="G110" s="1034"/>
      <c r="H110" s="1023">
        <v>5</v>
      </c>
      <c r="I110" s="1024"/>
      <c r="J110" s="1033">
        <v>1.06</v>
      </c>
      <c r="K110" s="1034"/>
      <c r="L110" s="1033">
        <v>4.01</v>
      </c>
      <c r="M110" s="1034"/>
      <c r="N110" s="1033">
        <v>-7.94</v>
      </c>
      <c r="O110" s="1035"/>
      <c r="P110" s="1023">
        <v>8.5</v>
      </c>
      <c r="Q110" s="1024"/>
      <c r="R110" s="1023">
        <v>4.33</v>
      </c>
      <c r="S110" s="1024"/>
      <c r="T110" s="1023">
        <v>7.58</v>
      </c>
      <c r="U110" s="1025"/>
      <c r="V110" s="1026">
        <v>5.94</v>
      </c>
      <c r="W110" s="1027"/>
      <c r="X110" s="1021">
        <v>59.17</v>
      </c>
      <c r="Y110" s="1028"/>
      <c r="Z110" s="1021">
        <v>10.02</v>
      </c>
      <c r="AA110" s="1022"/>
      <c r="AB110" s="1021">
        <v>0</v>
      </c>
      <c r="AC110" s="1022"/>
      <c r="AD110" s="1021">
        <v>0</v>
      </c>
      <c r="AE110" s="1022"/>
      <c r="AF110" s="1021">
        <v>0</v>
      </c>
      <c r="AG110" s="1022"/>
      <c r="AH110" s="1026">
        <v>0</v>
      </c>
      <c r="AI110" s="1027"/>
    </row>
  </sheetData>
  <mergeCells count="1839">
    <mergeCell ref="AH104:AI104"/>
    <mergeCell ref="AH105:AI105"/>
    <mergeCell ref="AH106:AI106"/>
    <mergeCell ref="AH107:AI107"/>
    <mergeCell ref="AH108:AI108"/>
    <mergeCell ref="AH109:AI109"/>
    <mergeCell ref="AH110:AI110"/>
    <mergeCell ref="AH87:AI87"/>
    <mergeCell ref="AH88:AI88"/>
    <mergeCell ref="AH89:AI89"/>
    <mergeCell ref="AH90:AI90"/>
    <mergeCell ref="AH91:AI91"/>
    <mergeCell ref="AH92:AI92"/>
    <mergeCell ref="AH93:AI93"/>
    <mergeCell ref="AH94:AI94"/>
    <mergeCell ref="AH95:AI95"/>
    <mergeCell ref="AH96:AI96"/>
    <mergeCell ref="AH97:AI97"/>
    <mergeCell ref="AH98:AI98"/>
    <mergeCell ref="AH99:AI99"/>
    <mergeCell ref="AH100:AI100"/>
    <mergeCell ref="AH101:AI101"/>
    <mergeCell ref="AH102:AI102"/>
    <mergeCell ref="AH103:AI103"/>
    <mergeCell ref="AH70:AI70"/>
    <mergeCell ref="AH71:AI71"/>
    <mergeCell ref="AH72:AI72"/>
    <mergeCell ref="AH73:AI73"/>
    <mergeCell ref="AH74:AI74"/>
    <mergeCell ref="AH75:AI75"/>
    <mergeCell ref="AH76:AI76"/>
    <mergeCell ref="AH77:AI77"/>
    <mergeCell ref="AH78:AI78"/>
    <mergeCell ref="AH79:AI79"/>
    <mergeCell ref="AH80:AI80"/>
    <mergeCell ref="AH81:AI81"/>
    <mergeCell ref="AH82:AI82"/>
    <mergeCell ref="AH83:AI83"/>
    <mergeCell ref="AH84:AI84"/>
    <mergeCell ref="AH85:AI85"/>
    <mergeCell ref="AH86:AI86"/>
    <mergeCell ref="AH53:AI53"/>
    <mergeCell ref="AH54:AI54"/>
    <mergeCell ref="AH55:AI55"/>
    <mergeCell ref="AH56:AI56"/>
    <mergeCell ref="AH57:AI57"/>
    <mergeCell ref="AH58:AI58"/>
    <mergeCell ref="AH59:AI59"/>
    <mergeCell ref="AH60:AI60"/>
    <mergeCell ref="AH61:AI61"/>
    <mergeCell ref="AH62:AI62"/>
    <mergeCell ref="AH63:AI63"/>
    <mergeCell ref="AH64:AI64"/>
    <mergeCell ref="AH65:AI65"/>
    <mergeCell ref="AH66:AI66"/>
    <mergeCell ref="AH67:AI67"/>
    <mergeCell ref="AH68:AI68"/>
    <mergeCell ref="AH69:AI69"/>
    <mergeCell ref="AH36:AI36"/>
    <mergeCell ref="AH37:AI37"/>
    <mergeCell ref="AH38:AI38"/>
    <mergeCell ref="AH39:AI39"/>
    <mergeCell ref="AH40:AI40"/>
    <mergeCell ref="AH41:AI41"/>
    <mergeCell ref="AH42:AI42"/>
    <mergeCell ref="AH43:AI43"/>
    <mergeCell ref="AH44:AI44"/>
    <mergeCell ref="AH45:AI45"/>
    <mergeCell ref="AH46:AI46"/>
    <mergeCell ref="AH47:AI47"/>
    <mergeCell ref="AH48:AI48"/>
    <mergeCell ref="AH49:AI49"/>
    <mergeCell ref="AH50:AI50"/>
    <mergeCell ref="AH51:AI51"/>
    <mergeCell ref="AH52:AI52"/>
    <mergeCell ref="AH19:AI19"/>
    <mergeCell ref="AH20:AI20"/>
    <mergeCell ref="AH21:AI21"/>
    <mergeCell ref="AH22:AI22"/>
    <mergeCell ref="AH23:AI23"/>
    <mergeCell ref="AH24:AI24"/>
    <mergeCell ref="AH25:AI25"/>
    <mergeCell ref="AH26:AI26"/>
    <mergeCell ref="AH27:AI27"/>
    <mergeCell ref="AH28:AI28"/>
    <mergeCell ref="AH29:AI29"/>
    <mergeCell ref="AH30:AI30"/>
    <mergeCell ref="AH31:AI31"/>
    <mergeCell ref="AH32:AI32"/>
    <mergeCell ref="AH33:AI33"/>
    <mergeCell ref="AH34:AI34"/>
    <mergeCell ref="AH35:AI35"/>
    <mergeCell ref="AH2:AI2"/>
    <mergeCell ref="AH3:AI3"/>
    <mergeCell ref="AH4:AI4"/>
    <mergeCell ref="AH5:AI5"/>
    <mergeCell ref="AH6:AI6"/>
    <mergeCell ref="AH7:AI7"/>
    <mergeCell ref="AH8:AI8"/>
    <mergeCell ref="AH9:AI9"/>
    <mergeCell ref="AH10:AI10"/>
    <mergeCell ref="AH11:AI11"/>
    <mergeCell ref="AH12:AI12"/>
    <mergeCell ref="AH13:AI13"/>
    <mergeCell ref="AH14:AI14"/>
    <mergeCell ref="AH15:AI15"/>
    <mergeCell ref="AH16:AI16"/>
    <mergeCell ref="AH17:AI17"/>
    <mergeCell ref="AH18:AI18"/>
    <mergeCell ref="AF2:AG2"/>
    <mergeCell ref="A3:B3"/>
    <mergeCell ref="D3:E3"/>
    <mergeCell ref="F3:G3"/>
    <mergeCell ref="H3:I3"/>
    <mergeCell ref="J3:K3"/>
    <mergeCell ref="L3:M3"/>
    <mergeCell ref="N3:O3"/>
    <mergeCell ref="P3:Q3"/>
    <mergeCell ref="R3:S3"/>
    <mergeCell ref="T2:U2"/>
    <mergeCell ref="V2:W2"/>
    <mergeCell ref="X2:Y2"/>
    <mergeCell ref="Z2:AA2"/>
    <mergeCell ref="AB2:AC2"/>
    <mergeCell ref="AD2:AE2"/>
    <mergeCell ref="A1:AC1"/>
    <mergeCell ref="A2:B2"/>
    <mergeCell ref="D2:E2"/>
    <mergeCell ref="F2:G2"/>
    <mergeCell ref="H2:I2"/>
    <mergeCell ref="J2:K2"/>
    <mergeCell ref="L2:M2"/>
    <mergeCell ref="N2:O2"/>
    <mergeCell ref="P2:Q2"/>
    <mergeCell ref="R2:S2"/>
    <mergeCell ref="D5:E5"/>
    <mergeCell ref="F5:G5"/>
    <mergeCell ref="H5:I5"/>
    <mergeCell ref="J5:K5"/>
    <mergeCell ref="L5:M5"/>
    <mergeCell ref="N5:O5"/>
    <mergeCell ref="V4:W4"/>
    <mergeCell ref="X4:Y4"/>
    <mergeCell ref="Z4:AA4"/>
    <mergeCell ref="AB4:AC4"/>
    <mergeCell ref="AD4:AE4"/>
    <mergeCell ref="AF4:AG4"/>
    <mergeCell ref="AF3:AG3"/>
    <mergeCell ref="D4:E4"/>
    <mergeCell ref="F4:G4"/>
    <mergeCell ref="H4:I4"/>
    <mergeCell ref="J4:K4"/>
    <mergeCell ref="L4:M4"/>
    <mergeCell ref="N4:O4"/>
    <mergeCell ref="P4:Q4"/>
    <mergeCell ref="R4:S4"/>
    <mergeCell ref="T4:U4"/>
    <mergeCell ref="T3:U3"/>
    <mergeCell ref="V3:W3"/>
    <mergeCell ref="X3:Y3"/>
    <mergeCell ref="Z3:AA3"/>
    <mergeCell ref="AB3:AC3"/>
    <mergeCell ref="AD3:AE3"/>
    <mergeCell ref="AD6:AE6"/>
    <mergeCell ref="AF6:AG6"/>
    <mergeCell ref="D7:E7"/>
    <mergeCell ref="F7:G7"/>
    <mergeCell ref="H7:I7"/>
    <mergeCell ref="J7:K7"/>
    <mergeCell ref="L7:M7"/>
    <mergeCell ref="N7:O7"/>
    <mergeCell ref="P7:Q7"/>
    <mergeCell ref="R7:S7"/>
    <mergeCell ref="R6:S6"/>
    <mergeCell ref="T6:U6"/>
    <mergeCell ref="V6:W6"/>
    <mergeCell ref="X6:Y6"/>
    <mergeCell ref="Z6:AA6"/>
    <mergeCell ref="AB6:AC6"/>
    <mergeCell ref="AB5:AC5"/>
    <mergeCell ref="AD5:AE5"/>
    <mergeCell ref="AF5:AG5"/>
    <mergeCell ref="D6:E6"/>
    <mergeCell ref="F6:G6"/>
    <mergeCell ref="H6:I6"/>
    <mergeCell ref="J6:K6"/>
    <mergeCell ref="L6:M6"/>
    <mergeCell ref="N6:O6"/>
    <mergeCell ref="P6:Q6"/>
    <mergeCell ref="P5:Q5"/>
    <mergeCell ref="R5:S5"/>
    <mergeCell ref="T5:U5"/>
    <mergeCell ref="V5:W5"/>
    <mergeCell ref="X5:Y5"/>
    <mergeCell ref="Z5:AA5"/>
    <mergeCell ref="D9:E9"/>
    <mergeCell ref="F9:G9"/>
    <mergeCell ref="H9:I9"/>
    <mergeCell ref="J9:K9"/>
    <mergeCell ref="L9:M9"/>
    <mergeCell ref="N9:O9"/>
    <mergeCell ref="V8:W8"/>
    <mergeCell ref="X8:Y8"/>
    <mergeCell ref="Z8:AA8"/>
    <mergeCell ref="AB8:AC8"/>
    <mergeCell ref="AD8:AE8"/>
    <mergeCell ref="AF8:AG8"/>
    <mergeCell ref="AF7:AG7"/>
    <mergeCell ref="D8:E8"/>
    <mergeCell ref="F8:G8"/>
    <mergeCell ref="H8:I8"/>
    <mergeCell ref="J8:K8"/>
    <mergeCell ref="L8:M8"/>
    <mergeCell ref="N8:O8"/>
    <mergeCell ref="P8:Q8"/>
    <mergeCell ref="R8:S8"/>
    <mergeCell ref="T8:U8"/>
    <mergeCell ref="T7:U7"/>
    <mergeCell ref="V7:W7"/>
    <mergeCell ref="X7:Y7"/>
    <mergeCell ref="Z7:AA7"/>
    <mergeCell ref="AB7:AC7"/>
    <mergeCell ref="AD7:AE7"/>
    <mergeCell ref="AD10:AE10"/>
    <mergeCell ref="AF10:AG10"/>
    <mergeCell ref="D11:E11"/>
    <mergeCell ref="F11:G11"/>
    <mergeCell ref="H11:I11"/>
    <mergeCell ref="J11:K11"/>
    <mergeCell ref="L11:M11"/>
    <mergeCell ref="N11:O11"/>
    <mergeCell ref="P11:Q11"/>
    <mergeCell ref="R11:S11"/>
    <mergeCell ref="R10:S10"/>
    <mergeCell ref="T10:U10"/>
    <mergeCell ref="V10:W10"/>
    <mergeCell ref="X10:Y10"/>
    <mergeCell ref="Z10:AA10"/>
    <mergeCell ref="AB10:AC10"/>
    <mergeCell ref="AB9:AC9"/>
    <mergeCell ref="AD9:AE9"/>
    <mergeCell ref="AF9:AG9"/>
    <mergeCell ref="D10:E10"/>
    <mergeCell ref="F10:G10"/>
    <mergeCell ref="H10:I10"/>
    <mergeCell ref="J10:K10"/>
    <mergeCell ref="L10:M10"/>
    <mergeCell ref="N10:O10"/>
    <mergeCell ref="P10:Q10"/>
    <mergeCell ref="P9:Q9"/>
    <mergeCell ref="R9:S9"/>
    <mergeCell ref="T9:U9"/>
    <mergeCell ref="V9:W9"/>
    <mergeCell ref="X9:Y9"/>
    <mergeCell ref="Z9:AA9"/>
    <mergeCell ref="D13:E13"/>
    <mergeCell ref="F13:G13"/>
    <mergeCell ref="H13:I13"/>
    <mergeCell ref="J13:K13"/>
    <mergeCell ref="L13:M13"/>
    <mergeCell ref="N13:O13"/>
    <mergeCell ref="V12:W12"/>
    <mergeCell ref="X12:Y12"/>
    <mergeCell ref="Z12:AA12"/>
    <mergeCell ref="AB12:AC12"/>
    <mergeCell ref="AD12:AE12"/>
    <mergeCell ref="AF12:AG12"/>
    <mergeCell ref="AF11:AG11"/>
    <mergeCell ref="D12:E12"/>
    <mergeCell ref="F12:G12"/>
    <mergeCell ref="H12:I12"/>
    <mergeCell ref="J12:K12"/>
    <mergeCell ref="L12:M12"/>
    <mergeCell ref="N12:O12"/>
    <mergeCell ref="P12:Q12"/>
    <mergeCell ref="R12:S12"/>
    <mergeCell ref="T12:U12"/>
    <mergeCell ref="T11:U11"/>
    <mergeCell ref="V11:W11"/>
    <mergeCell ref="X11:Y11"/>
    <mergeCell ref="Z11:AA11"/>
    <mergeCell ref="AB11:AC11"/>
    <mergeCell ref="AD11:AE11"/>
    <mergeCell ref="AB14:AC14"/>
    <mergeCell ref="AD14:AE14"/>
    <mergeCell ref="AF14:AG14"/>
    <mergeCell ref="A15:B15"/>
    <mergeCell ref="D15:E15"/>
    <mergeCell ref="F15:G15"/>
    <mergeCell ref="H15:I15"/>
    <mergeCell ref="J15:K15"/>
    <mergeCell ref="L15:M15"/>
    <mergeCell ref="N15:O15"/>
    <mergeCell ref="P14:Q14"/>
    <mergeCell ref="R14:S14"/>
    <mergeCell ref="T14:U14"/>
    <mergeCell ref="V14:W14"/>
    <mergeCell ref="X14:Y14"/>
    <mergeCell ref="Z14:AA14"/>
    <mergeCell ref="AB13:AC13"/>
    <mergeCell ref="AD13:AE13"/>
    <mergeCell ref="AF13:AG13"/>
    <mergeCell ref="A14:B14"/>
    <mergeCell ref="D14:E14"/>
    <mergeCell ref="F14:G14"/>
    <mergeCell ref="H14:I14"/>
    <mergeCell ref="J14:K14"/>
    <mergeCell ref="L14:M14"/>
    <mergeCell ref="N14:O14"/>
    <mergeCell ref="P13:Q13"/>
    <mergeCell ref="R13:S13"/>
    <mergeCell ref="T13:U13"/>
    <mergeCell ref="V13:W13"/>
    <mergeCell ref="X13:Y13"/>
    <mergeCell ref="Z13:AA13"/>
    <mergeCell ref="AD16:AE16"/>
    <mergeCell ref="AF16:AG16"/>
    <mergeCell ref="D17:E17"/>
    <mergeCell ref="F17:G17"/>
    <mergeCell ref="H17:I17"/>
    <mergeCell ref="J17:K17"/>
    <mergeCell ref="L17:M17"/>
    <mergeCell ref="N17:O17"/>
    <mergeCell ref="P17:Q17"/>
    <mergeCell ref="R17:S17"/>
    <mergeCell ref="R16:S16"/>
    <mergeCell ref="T16:U16"/>
    <mergeCell ref="V16:W16"/>
    <mergeCell ref="X16:Y16"/>
    <mergeCell ref="Z16:AA16"/>
    <mergeCell ref="AB16:AC16"/>
    <mergeCell ref="AB15:AC15"/>
    <mergeCell ref="AD15:AE15"/>
    <mergeCell ref="AF15:AG15"/>
    <mergeCell ref="D16:E16"/>
    <mergeCell ref="F16:G16"/>
    <mergeCell ref="H16:I16"/>
    <mergeCell ref="J16:K16"/>
    <mergeCell ref="L16:M16"/>
    <mergeCell ref="N16:O16"/>
    <mergeCell ref="P16:Q16"/>
    <mergeCell ref="P15:Q15"/>
    <mergeCell ref="R15:S15"/>
    <mergeCell ref="T15:U15"/>
    <mergeCell ref="V15:W15"/>
    <mergeCell ref="X15:Y15"/>
    <mergeCell ref="Z15:AA15"/>
    <mergeCell ref="V18:W18"/>
    <mergeCell ref="X18:Y18"/>
    <mergeCell ref="Z18:AA18"/>
    <mergeCell ref="AB18:AC18"/>
    <mergeCell ref="AD18:AE18"/>
    <mergeCell ref="AF18:AG18"/>
    <mergeCell ref="AF17:AG17"/>
    <mergeCell ref="D18:E18"/>
    <mergeCell ref="F18:G18"/>
    <mergeCell ref="H18:I18"/>
    <mergeCell ref="J18:K18"/>
    <mergeCell ref="L18:M18"/>
    <mergeCell ref="N18:O18"/>
    <mergeCell ref="P18:Q18"/>
    <mergeCell ref="R18:S18"/>
    <mergeCell ref="T18:U18"/>
    <mergeCell ref="T17:U17"/>
    <mergeCell ref="V17:W17"/>
    <mergeCell ref="X17:Y17"/>
    <mergeCell ref="Z17:AA17"/>
    <mergeCell ref="AB17:AC17"/>
    <mergeCell ref="AD17:AE17"/>
    <mergeCell ref="Z19:AA19"/>
    <mergeCell ref="AB19:AC19"/>
    <mergeCell ref="AD19:AE19"/>
    <mergeCell ref="AF19:AG19"/>
    <mergeCell ref="D20:E20"/>
    <mergeCell ref="F20:G20"/>
    <mergeCell ref="H20:I20"/>
    <mergeCell ref="J20:K20"/>
    <mergeCell ref="L20:M20"/>
    <mergeCell ref="N20:O20"/>
    <mergeCell ref="N19:O19"/>
    <mergeCell ref="P19:Q19"/>
    <mergeCell ref="R19:S19"/>
    <mergeCell ref="T19:U19"/>
    <mergeCell ref="V19:W19"/>
    <mergeCell ref="X19:Y19"/>
    <mergeCell ref="A19:B19"/>
    <mergeCell ref="D19:E19"/>
    <mergeCell ref="F19:G19"/>
    <mergeCell ref="H19:I19"/>
    <mergeCell ref="J19:K19"/>
    <mergeCell ref="L19:M19"/>
    <mergeCell ref="AB20:AC20"/>
    <mergeCell ref="AD20:AE20"/>
    <mergeCell ref="AF20:AG20"/>
    <mergeCell ref="L21:M21"/>
    <mergeCell ref="N21:O21"/>
    <mergeCell ref="P20:Q20"/>
    <mergeCell ref="R20:S20"/>
    <mergeCell ref="T20:U20"/>
    <mergeCell ref="V20:W20"/>
    <mergeCell ref="X20:Y20"/>
    <mergeCell ref="Z20:AA20"/>
    <mergeCell ref="AB22:AC22"/>
    <mergeCell ref="AD22:AE22"/>
    <mergeCell ref="AF22:AG22"/>
    <mergeCell ref="H23:I23"/>
    <mergeCell ref="J23:K23"/>
    <mergeCell ref="L23:M23"/>
    <mergeCell ref="N23:O23"/>
    <mergeCell ref="P23:Q23"/>
    <mergeCell ref="P22:Q22"/>
    <mergeCell ref="R22:S22"/>
    <mergeCell ref="T22:U22"/>
    <mergeCell ref="V22:W22"/>
    <mergeCell ref="X22:Y22"/>
    <mergeCell ref="Z22:AA22"/>
    <mergeCell ref="AB21:AC21"/>
    <mergeCell ref="AD21:AE21"/>
    <mergeCell ref="AF21:AG21"/>
    <mergeCell ref="A22:B22"/>
    <mergeCell ref="D22:E22"/>
    <mergeCell ref="F22:G22"/>
    <mergeCell ref="H22:I22"/>
    <mergeCell ref="J22:K22"/>
    <mergeCell ref="L22:M22"/>
    <mergeCell ref="N22:O22"/>
    <mergeCell ref="P21:Q21"/>
    <mergeCell ref="R21:S21"/>
    <mergeCell ref="T21:U21"/>
    <mergeCell ref="V21:W21"/>
    <mergeCell ref="X21:Y21"/>
    <mergeCell ref="Z21:AA21"/>
    <mergeCell ref="A25:B25"/>
    <mergeCell ref="D25:E25"/>
    <mergeCell ref="F25:G25"/>
    <mergeCell ref="H25:I25"/>
    <mergeCell ref="J25:K25"/>
    <mergeCell ref="L25:M25"/>
    <mergeCell ref="N25:O25"/>
    <mergeCell ref="P25:Q25"/>
    <mergeCell ref="R24:S24"/>
    <mergeCell ref="T24:U24"/>
    <mergeCell ref="V24:W24"/>
    <mergeCell ref="X24:Y24"/>
    <mergeCell ref="Z24:AA24"/>
    <mergeCell ref="A24:B24"/>
    <mergeCell ref="A21:B21"/>
    <mergeCell ref="D21:E21"/>
    <mergeCell ref="F21:G21"/>
    <mergeCell ref="H21:I21"/>
    <mergeCell ref="J21:K21"/>
    <mergeCell ref="D24:E24"/>
    <mergeCell ref="F24:G24"/>
    <mergeCell ref="H24:I24"/>
    <mergeCell ref="J24:K24"/>
    <mergeCell ref="L24:M24"/>
    <mergeCell ref="N24:O24"/>
    <mergeCell ref="P24:Q24"/>
    <mergeCell ref="R23:S23"/>
    <mergeCell ref="T23:U23"/>
    <mergeCell ref="V23:W23"/>
    <mergeCell ref="X23:Y23"/>
    <mergeCell ref="Z23:AA23"/>
    <mergeCell ref="AB23:AC23"/>
    <mergeCell ref="D23:E23"/>
    <mergeCell ref="F23:G23"/>
    <mergeCell ref="AD26:AE26"/>
    <mergeCell ref="AF26:AG26"/>
    <mergeCell ref="AD24:AE24"/>
    <mergeCell ref="AF24:AG24"/>
    <mergeCell ref="AB24:AC24"/>
    <mergeCell ref="AD23:AE23"/>
    <mergeCell ref="AF23:AG23"/>
    <mergeCell ref="A27:B27"/>
    <mergeCell ref="D27:E27"/>
    <mergeCell ref="F27:G27"/>
    <mergeCell ref="H27:I27"/>
    <mergeCell ref="J27:K27"/>
    <mergeCell ref="L27:M27"/>
    <mergeCell ref="N27:O27"/>
    <mergeCell ref="P27:Q27"/>
    <mergeCell ref="R26:S26"/>
    <mergeCell ref="T26:U26"/>
    <mergeCell ref="V26:W26"/>
    <mergeCell ref="X26:Y26"/>
    <mergeCell ref="Z26:AA26"/>
    <mergeCell ref="AB26:AC26"/>
    <mergeCell ref="AD25:AE25"/>
    <mergeCell ref="AF25:AG25"/>
    <mergeCell ref="A26:B26"/>
    <mergeCell ref="D26:E26"/>
    <mergeCell ref="F26:G26"/>
    <mergeCell ref="H26:I26"/>
    <mergeCell ref="J26:K26"/>
    <mergeCell ref="L26:M26"/>
    <mergeCell ref="N26:O26"/>
    <mergeCell ref="P26:Q26"/>
    <mergeCell ref="R25:S25"/>
    <mergeCell ref="T25:U25"/>
    <mergeCell ref="V25:W25"/>
    <mergeCell ref="X25:Y25"/>
    <mergeCell ref="Z25:AA25"/>
    <mergeCell ref="AB25:AC25"/>
    <mergeCell ref="AD28:AE28"/>
    <mergeCell ref="AF28:AG28"/>
    <mergeCell ref="A29:B29"/>
    <mergeCell ref="D29:E29"/>
    <mergeCell ref="F29:G29"/>
    <mergeCell ref="H29:I29"/>
    <mergeCell ref="J29:K29"/>
    <mergeCell ref="L29:M29"/>
    <mergeCell ref="N29:O29"/>
    <mergeCell ref="P29:Q29"/>
    <mergeCell ref="R28:S28"/>
    <mergeCell ref="T28:U28"/>
    <mergeCell ref="V28:W28"/>
    <mergeCell ref="X28:Y28"/>
    <mergeCell ref="Z28:AA28"/>
    <mergeCell ref="AB28:AC28"/>
    <mergeCell ref="AD27:AE27"/>
    <mergeCell ref="AF27:AG27"/>
    <mergeCell ref="A28:B28"/>
    <mergeCell ref="D28:E28"/>
    <mergeCell ref="F28:G28"/>
    <mergeCell ref="H28:I28"/>
    <mergeCell ref="J28:K28"/>
    <mergeCell ref="L28:M28"/>
    <mergeCell ref="N28:O28"/>
    <mergeCell ref="P28:Q28"/>
    <mergeCell ref="R27:S27"/>
    <mergeCell ref="T27:U27"/>
    <mergeCell ref="V27:W27"/>
    <mergeCell ref="X27:Y27"/>
    <mergeCell ref="Z27:AA27"/>
    <mergeCell ref="AB27:AC27"/>
    <mergeCell ref="AD30:AE30"/>
    <mergeCell ref="AF30:AG30"/>
    <mergeCell ref="A31:B31"/>
    <mergeCell ref="D31:E31"/>
    <mergeCell ref="F31:G31"/>
    <mergeCell ref="H31:I31"/>
    <mergeCell ref="J31:K31"/>
    <mergeCell ref="L31:M31"/>
    <mergeCell ref="N31:O31"/>
    <mergeCell ref="P31:Q31"/>
    <mergeCell ref="R30:S30"/>
    <mergeCell ref="T30:U30"/>
    <mergeCell ref="V30:W30"/>
    <mergeCell ref="X30:Y30"/>
    <mergeCell ref="Z30:AA30"/>
    <mergeCell ref="AB30:AC30"/>
    <mergeCell ref="AD29:AE29"/>
    <mergeCell ref="AF29:AG29"/>
    <mergeCell ref="A30:B30"/>
    <mergeCell ref="D30:E30"/>
    <mergeCell ref="F30:G30"/>
    <mergeCell ref="H30:I30"/>
    <mergeCell ref="J30:K30"/>
    <mergeCell ref="L30:M30"/>
    <mergeCell ref="N30:O30"/>
    <mergeCell ref="P30:Q30"/>
    <mergeCell ref="R29:S29"/>
    <mergeCell ref="T29:U29"/>
    <mergeCell ref="V29:W29"/>
    <mergeCell ref="X29:Y29"/>
    <mergeCell ref="Z29:AA29"/>
    <mergeCell ref="AB29:AC29"/>
    <mergeCell ref="AD32:AE32"/>
    <mergeCell ref="AF32:AG32"/>
    <mergeCell ref="A33:B33"/>
    <mergeCell ref="D33:E33"/>
    <mergeCell ref="F33:G33"/>
    <mergeCell ref="H33:I33"/>
    <mergeCell ref="J33:K33"/>
    <mergeCell ref="L33:M33"/>
    <mergeCell ref="N33:O33"/>
    <mergeCell ref="P33:Q33"/>
    <mergeCell ref="R32:S32"/>
    <mergeCell ref="T32:U32"/>
    <mergeCell ref="V32:W32"/>
    <mergeCell ref="X32:Y32"/>
    <mergeCell ref="Z32:AA32"/>
    <mergeCell ref="AB32:AC32"/>
    <mergeCell ref="AD31:AE31"/>
    <mergeCell ref="AF31:AG31"/>
    <mergeCell ref="A32:B32"/>
    <mergeCell ref="D32:E32"/>
    <mergeCell ref="F32:G32"/>
    <mergeCell ref="H32:I32"/>
    <mergeCell ref="J32:K32"/>
    <mergeCell ref="L32:M32"/>
    <mergeCell ref="N32:O32"/>
    <mergeCell ref="P32:Q32"/>
    <mergeCell ref="R31:S31"/>
    <mergeCell ref="T31:U31"/>
    <mergeCell ref="V31:W31"/>
    <mergeCell ref="X31:Y31"/>
    <mergeCell ref="Z31:AA31"/>
    <mergeCell ref="AB31:AC31"/>
    <mergeCell ref="AD34:AE34"/>
    <mergeCell ref="AF34:AG34"/>
    <mergeCell ref="A35:B35"/>
    <mergeCell ref="D35:E35"/>
    <mergeCell ref="F35:G35"/>
    <mergeCell ref="H35:I35"/>
    <mergeCell ref="J35:K35"/>
    <mergeCell ref="L35:M35"/>
    <mergeCell ref="N35:O35"/>
    <mergeCell ref="P35:Q35"/>
    <mergeCell ref="R34:S34"/>
    <mergeCell ref="T34:U34"/>
    <mergeCell ref="V34:W34"/>
    <mergeCell ref="X34:Y34"/>
    <mergeCell ref="Z34:AA34"/>
    <mergeCell ref="AB34:AC34"/>
    <mergeCell ref="AD33:AE33"/>
    <mergeCell ref="AF33:AG33"/>
    <mergeCell ref="A34:B34"/>
    <mergeCell ref="D34:E34"/>
    <mergeCell ref="F34:G34"/>
    <mergeCell ref="H34:I34"/>
    <mergeCell ref="J34:K34"/>
    <mergeCell ref="L34:M34"/>
    <mergeCell ref="N34:O34"/>
    <mergeCell ref="P34:Q34"/>
    <mergeCell ref="R33:S33"/>
    <mergeCell ref="T33:U33"/>
    <mergeCell ref="V33:W33"/>
    <mergeCell ref="X33:Y33"/>
    <mergeCell ref="Z33:AA33"/>
    <mergeCell ref="AB33:AC33"/>
    <mergeCell ref="AD36:AE36"/>
    <mergeCell ref="AF36:AG36"/>
    <mergeCell ref="A37:B37"/>
    <mergeCell ref="D37:E37"/>
    <mergeCell ref="F37:G37"/>
    <mergeCell ref="H37:I37"/>
    <mergeCell ref="J37:K37"/>
    <mergeCell ref="L37:M37"/>
    <mergeCell ref="N37:O37"/>
    <mergeCell ref="P37:Q37"/>
    <mergeCell ref="R36:S36"/>
    <mergeCell ref="T36:U36"/>
    <mergeCell ref="V36:W36"/>
    <mergeCell ref="X36:Y36"/>
    <mergeCell ref="Z36:AA36"/>
    <mergeCell ref="AB36:AC36"/>
    <mergeCell ref="AD35:AE35"/>
    <mergeCell ref="AF35:AG35"/>
    <mergeCell ref="A36:B36"/>
    <mergeCell ref="D36:E36"/>
    <mergeCell ref="F36:G36"/>
    <mergeCell ref="H36:I36"/>
    <mergeCell ref="J36:K36"/>
    <mergeCell ref="L36:M36"/>
    <mergeCell ref="N36:O36"/>
    <mergeCell ref="P36:Q36"/>
    <mergeCell ref="R35:S35"/>
    <mergeCell ref="T35:U35"/>
    <mergeCell ref="V35:W35"/>
    <mergeCell ref="X35:Y35"/>
    <mergeCell ref="Z35:AA35"/>
    <mergeCell ref="AB35:AC35"/>
    <mergeCell ref="AD38:AE38"/>
    <mergeCell ref="AF38:AG38"/>
    <mergeCell ref="A39:B39"/>
    <mergeCell ref="D39:E39"/>
    <mergeCell ref="F39:G39"/>
    <mergeCell ref="H39:I39"/>
    <mergeCell ref="J39:K39"/>
    <mergeCell ref="L39:M39"/>
    <mergeCell ref="N39:O39"/>
    <mergeCell ref="P39:Q39"/>
    <mergeCell ref="R38:S38"/>
    <mergeCell ref="T38:U38"/>
    <mergeCell ref="V38:W38"/>
    <mergeCell ref="X38:Y38"/>
    <mergeCell ref="Z38:AA38"/>
    <mergeCell ref="AB38:AC38"/>
    <mergeCell ref="AD37:AE37"/>
    <mergeCell ref="AF37:AG37"/>
    <mergeCell ref="A38:B38"/>
    <mergeCell ref="D38:E38"/>
    <mergeCell ref="F38:G38"/>
    <mergeCell ref="H38:I38"/>
    <mergeCell ref="J38:K38"/>
    <mergeCell ref="L38:M38"/>
    <mergeCell ref="N38:O38"/>
    <mergeCell ref="P38:Q38"/>
    <mergeCell ref="R37:S37"/>
    <mergeCell ref="T37:U37"/>
    <mergeCell ref="V37:W37"/>
    <mergeCell ref="X37:Y37"/>
    <mergeCell ref="Z37:AA37"/>
    <mergeCell ref="AB37:AC37"/>
    <mergeCell ref="AD40:AE40"/>
    <mergeCell ref="AF40:AG40"/>
    <mergeCell ref="A41:B41"/>
    <mergeCell ref="D41:E41"/>
    <mergeCell ref="F41:G41"/>
    <mergeCell ref="H41:I41"/>
    <mergeCell ref="J41:K41"/>
    <mergeCell ref="L41:M41"/>
    <mergeCell ref="N41:O41"/>
    <mergeCell ref="P41:Q41"/>
    <mergeCell ref="R40:S40"/>
    <mergeCell ref="T40:U40"/>
    <mergeCell ref="V40:W40"/>
    <mergeCell ref="X40:Y40"/>
    <mergeCell ref="Z40:AA40"/>
    <mergeCell ref="AB40:AC40"/>
    <mergeCell ref="AD39:AE39"/>
    <mergeCell ref="AF39:AG39"/>
    <mergeCell ref="A40:B40"/>
    <mergeCell ref="D40:E40"/>
    <mergeCell ref="F40:G40"/>
    <mergeCell ref="H40:I40"/>
    <mergeCell ref="J40:K40"/>
    <mergeCell ref="L40:M40"/>
    <mergeCell ref="N40:O40"/>
    <mergeCell ref="P40:Q40"/>
    <mergeCell ref="R39:S39"/>
    <mergeCell ref="T39:U39"/>
    <mergeCell ref="V39:W39"/>
    <mergeCell ref="X39:Y39"/>
    <mergeCell ref="Z39:AA39"/>
    <mergeCell ref="AB39:AC39"/>
    <mergeCell ref="AD42:AE42"/>
    <mergeCell ref="AF42:AG42"/>
    <mergeCell ref="A43:B43"/>
    <mergeCell ref="D43:E43"/>
    <mergeCell ref="F43:G43"/>
    <mergeCell ref="H43:I43"/>
    <mergeCell ref="J43:K43"/>
    <mergeCell ref="L43:M43"/>
    <mergeCell ref="N43:O43"/>
    <mergeCell ref="P43:Q43"/>
    <mergeCell ref="R42:S42"/>
    <mergeCell ref="T42:U42"/>
    <mergeCell ref="V42:W42"/>
    <mergeCell ref="X42:Y42"/>
    <mergeCell ref="Z42:AA42"/>
    <mergeCell ref="AB42:AC42"/>
    <mergeCell ref="AD41:AE41"/>
    <mergeCell ref="AF41:AG41"/>
    <mergeCell ref="A42:B42"/>
    <mergeCell ref="D42:E42"/>
    <mergeCell ref="F42:G42"/>
    <mergeCell ref="H42:I42"/>
    <mergeCell ref="J42:K42"/>
    <mergeCell ref="L42:M42"/>
    <mergeCell ref="N42:O42"/>
    <mergeCell ref="P42:Q42"/>
    <mergeCell ref="R41:S41"/>
    <mergeCell ref="T41:U41"/>
    <mergeCell ref="V41:W41"/>
    <mergeCell ref="X41:Y41"/>
    <mergeCell ref="Z41:AA41"/>
    <mergeCell ref="AB41:AC41"/>
    <mergeCell ref="AD44:AE44"/>
    <mergeCell ref="AF44:AG44"/>
    <mergeCell ref="A45:B45"/>
    <mergeCell ref="D45:E45"/>
    <mergeCell ref="F45:G45"/>
    <mergeCell ref="H45:I45"/>
    <mergeCell ref="J45:K45"/>
    <mergeCell ref="L45:M45"/>
    <mergeCell ref="N45:O45"/>
    <mergeCell ref="P45:Q45"/>
    <mergeCell ref="R44:S44"/>
    <mergeCell ref="T44:U44"/>
    <mergeCell ref="V44:W44"/>
    <mergeCell ref="X44:Y44"/>
    <mergeCell ref="Z44:AA44"/>
    <mergeCell ref="AB44:AC44"/>
    <mergeCell ref="AD43:AE43"/>
    <mergeCell ref="AF43:AG43"/>
    <mergeCell ref="A44:B44"/>
    <mergeCell ref="D44:E44"/>
    <mergeCell ref="F44:G44"/>
    <mergeCell ref="H44:I44"/>
    <mergeCell ref="J44:K44"/>
    <mergeCell ref="L44:M44"/>
    <mergeCell ref="N44:O44"/>
    <mergeCell ref="P44:Q44"/>
    <mergeCell ref="R43:S43"/>
    <mergeCell ref="T43:U43"/>
    <mergeCell ref="V43:W43"/>
    <mergeCell ref="X43:Y43"/>
    <mergeCell ref="Z43:AA43"/>
    <mergeCell ref="AB43:AC43"/>
    <mergeCell ref="AD46:AE46"/>
    <mergeCell ref="AF46:AG46"/>
    <mergeCell ref="A47:B47"/>
    <mergeCell ref="D47:E47"/>
    <mergeCell ref="F47:G47"/>
    <mergeCell ref="H47:I47"/>
    <mergeCell ref="J47:K47"/>
    <mergeCell ref="L47:M47"/>
    <mergeCell ref="N47:O47"/>
    <mergeCell ref="P47:Q47"/>
    <mergeCell ref="R46:S46"/>
    <mergeCell ref="T46:U46"/>
    <mergeCell ref="V46:W46"/>
    <mergeCell ref="X46:Y46"/>
    <mergeCell ref="Z46:AA46"/>
    <mergeCell ref="AB46:AC46"/>
    <mergeCell ref="AD45:AE45"/>
    <mergeCell ref="AF45:AG45"/>
    <mergeCell ref="A46:B46"/>
    <mergeCell ref="D46:E46"/>
    <mergeCell ref="F46:G46"/>
    <mergeCell ref="H46:I46"/>
    <mergeCell ref="J46:K46"/>
    <mergeCell ref="L46:M46"/>
    <mergeCell ref="N46:O46"/>
    <mergeCell ref="P46:Q46"/>
    <mergeCell ref="R45:S45"/>
    <mergeCell ref="T45:U45"/>
    <mergeCell ref="V45:W45"/>
    <mergeCell ref="X45:Y45"/>
    <mergeCell ref="Z45:AA45"/>
    <mergeCell ref="AB45:AC45"/>
    <mergeCell ref="AD48:AE48"/>
    <mergeCell ref="AF48:AG48"/>
    <mergeCell ref="A49:B49"/>
    <mergeCell ref="D49:E49"/>
    <mergeCell ref="F49:G49"/>
    <mergeCell ref="H49:I49"/>
    <mergeCell ref="J49:K49"/>
    <mergeCell ref="L49:M49"/>
    <mergeCell ref="N49:O49"/>
    <mergeCell ref="P49:Q49"/>
    <mergeCell ref="R48:S48"/>
    <mergeCell ref="T48:U48"/>
    <mergeCell ref="V48:W48"/>
    <mergeCell ref="X48:Y48"/>
    <mergeCell ref="Z48:AA48"/>
    <mergeCell ref="AB48:AC48"/>
    <mergeCell ref="AD47:AE47"/>
    <mergeCell ref="AF47:AG47"/>
    <mergeCell ref="A48:B48"/>
    <mergeCell ref="D48:E48"/>
    <mergeCell ref="F48:G48"/>
    <mergeCell ref="H48:I48"/>
    <mergeCell ref="J48:K48"/>
    <mergeCell ref="L48:M48"/>
    <mergeCell ref="N48:O48"/>
    <mergeCell ref="P48:Q48"/>
    <mergeCell ref="R47:S47"/>
    <mergeCell ref="T47:U47"/>
    <mergeCell ref="V47:W47"/>
    <mergeCell ref="X47:Y47"/>
    <mergeCell ref="Z47:AA47"/>
    <mergeCell ref="AB47:AC47"/>
    <mergeCell ref="AD50:AE50"/>
    <mergeCell ref="AF50:AG50"/>
    <mergeCell ref="A51:B51"/>
    <mergeCell ref="D51:E51"/>
    <mergeCell ref="F51:G51"/>
    <mergeCell ref="H51:I51"/>
    <mergeCell ref="J51:K51"/>
    <mergeCell ref="L51:M51"/>
    <mergeCell ref="N51:O51"/>
    <mergeCell ref="P51:Q51"/>
    <mergeCell ref="R50:S50"/>
    <mergeCell ref="T50:U50"/>
    <mergeCell ref="V50:W50"/>
    <mergeCell ref="X50:Y50"/>
    <mergeCell ref="Z50:AA50"/>
    <mergeCell ref="AB50:AC50"/>
    <mergeCell ref="AD49:AE49"/>
    <mergeCell ref="AF49:AG49"/>
    <mergeCell ref="A50:B50"/>
    <mergeCell ref="D50:E50"/>
    <mergeCell ref="F50:G50"/>
    <mergeCell ref="H50:I50"/>
    <mergeCell ref="J50:K50"/>
    <mergeCell ref="L50:M50"/>
    <mergeCell ref="N50:O50"/>
    <mergeCell ref="P50:Q50"/>
    <mergeCell ref="R49:S49"/>
    <mergeCell ref="T49:U49"/>
    <mergeCell ref="V49:W49"/>
    <mergeCell ref="X49:Y49"/>
    <mergeCell ref="Z49:AA49"/>
    <mergeCell ref="AB49:AC49"/>
    <mergeCell ref="AD52:AE52"/>
    <mergeCell ref="AF52:AG52"/>
    <mergeCell ref="A53:B53"/>
    <mergeCell ref="D53:E53"/>
    <mergeCell ref="F53:G53"/>
    <mergeCell ref="H53:I53"/>
    <mergeCell ref="J53:K53"/>
    <mergeCell ref="L53:M53"/>
    <mergeCell ref="N53:O53"/>
    <mergeCell ref="P53:Q53"/>
    <mergeCell ref="R52:S52"/>
    <mergeCell ref="T52:U52"/>
    <mergeCell ref="V52:W52"/>
    <mergeCell ref="X52:Y52"/>
    <mergeCell ref="Z52:AA52"/>
    <mergeCell ref="AB52:AC52"/>
    <mergeCell ref="AD51:AE51"/>
    <mergeCell ref="AF51:AG51"/>
    <mergeCell ref="A52:B52"/>
    <mergeCell ref="D52:E52"/>
    <mergeCell ref="F52:G52"/>
    <mergeCell ref="H52:I52"/>
    <mergeCell ref="J52:K52"/>
    <mergeCell ref="L52:M52"/>
    <mergeCell ref="N52:O52"/>
    <mergeCell ref="P52:Q52"/>
    <mergeCell ref="R51:S51"/>
    <mergeCell ref="T51:U51"/>
    <mergeCell ref="V51:W51"/>
    <mergeCell ref="X51:Y51"/>
    <mergeCell ref="Z51:AA51"/>
    <mergeCell ref="AB51:AC51"/>
    <mergeCell ref="AD54:AE54"/>
    <mergeCell ref="AF54:AG54"/>
    <mergeCell ref="A55:B55"/>
    <mergeCell ref="D55:E55"/>
    <mergeCell ref="F55:G55"/>
    <mergeCell ref="H55:I55"/>
    <mergeCell ref="J55:K55"/>
    <mergeCell ref="L55:M55"/>
    <mergeCell ref="N55:O55"/>
    <mergeCell ref="P55:Q55"/>
    <mergeCell ref="R54:S54"/>
    <mergeCell ref="T54:U54"/>
    <mergeCell ref="V54:W54"/>
    <mergeCell ref="X54:Y54"/>
    <mergeCell ref="Z54:AA54"/>
    <mergeCell ref="AB54:AC54"/>
    <mergeCell ref="AD53:AE53"/>
    <mergeCell ref="AF53:AG53"/>
    <mergeCell ref="A54:B54"/>
    <mergeCell ref="D54:E54"/>
    <mergeCell ref="F54:G54"/>
    <mergeCell ref="H54:I54"/>
    <mergeCell ref="J54:K54"/>
    <mergeCell ref="L54:M54"/>
    <mergeCell ref="N54:O54"/>
    <mergeCell ref="P54:Q54"/>
    <mergeCell ref="R53:S53"/>
    <mergeCell ref="T53:U53"/>
    <mergeCell ref="V53:W53"/>
    <mergeCell ref="X53:Y53"/>
    <mergeCell ref="Z53:AA53"/>
    <mergeCell ref="AB53:AC53"/>
    <mergeCell ref="AD56:AE56"/>
    <mergeCell ref="AF56:AG56"/>
    <mergeCell ref="A57:B57"/>
    <mergeCell ref="D57:E57"/>
    <mergeCell ref="F57:G57"/>
    <mergeCell ref="H57:I57"/>
    <mergeCell ref="J57:K57"/>
    <mergeCell ref="L57:M57"/>
    <mergeCell ref="N57:O57"/>
    <mergeCell ref="P57:Q57"/>
    <mergeCell ref="R56:S56"/>
    <mergeCell ref="T56:U56"/>
    <mergeCell ref="V56:W56"/>
    <mergeCell ref="X56:Y56"/>
    <mergeCell ref="Z56:AA56"/>
    <mergeCell ref="AB56:AC56"/>
    <mergeCell ref="AD55:AE55"/>
    <mergeCell ref="AF55:AG55"/>
    <mergeCell ref="A56:B56"/>
    <mergeCell ref="D56:E56"/>
    <mergeCell ref="F56:G56"/>
    <mergeCell ref="H56:I56"/>
    <mergeCell ref="J56:K56"/>
    <mergeCell ref="L56:M56"/>
    <mergeCell ref="N56:O56"/>
    <mergeCell ref="P56:Q56"/>
    <mergeCell ref="R55:S55"/>
    <mergeCell ref="T55:U55"/>
    <mergeCell ref="V55:W55"/>
    <mergeCell ref="X55:Y55"/>
    <mergeCell ref="Z55:AA55"/>
    <mergeCell ref="AB55:AC55"/>
    <mergeCell ref="AD58:AE58"/>
    <mergeCell ref="AF58:AG58"/>
    <mergeCell ref="A59:B59"/>
    <mergeCell ref="D59:E59"/>
    <mergeCell ref="F59:G59"/>
    <mergeCell ref="H59:I59"/>
    <mergeCell ref="J59:K59"/>
    <mergeCell ref="L59:M59"/>
    <mergeCell ref="N59:O59"/>
    <mergeCell ref="P59:Q59"/>
    <mergeCell ref="R58:S58"/>
    <mergeCell ref="T58:U58"/>
    <mergeCell ref="V58:W58"/>
    <mergeCell ref="X58:Y58"/>
    <mergeCell ref="Z58:AA58"/>
    <mergeCell ref="AB58:AC58"/>
    <mergeCell ref="AD57:AE57"/>
    <mergeCell ref="AF57:AG57"/>
    <mergeCell ref="A58:B58"/>
    <mergeCell ref="D58:E58"/>
    <mergeCell ref="F58:G58"/>
    <mergeCell ref="H58:I58"/>
    <mergeCell ref="J58:K58"/>
    <mergeCell ref="L58:M58"/>
    <mergeCell ref="N58:O58"/>
    <mergeCell ref="P58:Q58"/>
    <mergeCell ref="R57:S57"/>
    <mergeCell ref="T57:U57"/>
    <mergeCell ref="V57:W57"/>
    <mergeCell ref="X57:Y57"/>
    <mergeCell ref="Z57:AA57"/>
    <mergeCell ref="AB57:AC57"/>
    <mergeCell ref="AD60:AE60"/>
    <mergeCell ref="AF60:AG60"/>
    <mergeCell ref="A61:B61"/>
    <mergeCell ref="D61:E61"/>
    <mergeCell ref="F61:G61"/>
    <mergeCell ref="H61:I61"/>
    <mergeCell ref="J61:K61"/>
    <mergeCell ref="L61:M61"/>
    <mergeCell ref="N61:O61"/>
    <mergeCell ref="P61:Q61"/>
    <mergeCell ref="R60:S60"/>
    <mergeCell ref="T60:U60"/>
    <mergeCell ref="V60:W60"/>
    <mergeCell ref="X60:Y60"/>
    <mergeCell ref="Z60:AA60"/>
    <mergeCell ref="AB60:AC60"/>
    <mergeCell ref="AD59:AE59"/>
    <mergeCell ref="AF59:AG59"/>
    <mergeCell ref="A60:B60"/>
    <mergeCell ref="D60:E60"/>
    <mergeCell ref="F60:G60"/>
    <mergeCell ref="H60:I60"/>
    <mergeCell ref="J60:K60"/>
    <mergeCell ref="L60:M60"/>
    <mergeCell ref="N60:O60"/>
    <mergeCell ref="P60:Q60"/>
    <mergeCell ref="R59:S59"/>
    <mergeCell ref="T59:U59"/>
    <mergeCell ref="V59:W59"/>
    <mergeCell ref="X59:Y59"/>
    <mergeCell ref="Z59:AA59"/>
    <mergeCell ref="AB59:AC59"/>
    <mergeCell ref="AD62:AE62"/>
    <mergeCell ref="AF62:AG62"/>
    <mergeCell ref="A63:B63"/>
    <mergeCell ref="D63:E63"/>
    <mergeCell ref="F63:G63"/>
    <mergeCell ref="H63:I63"/>
    <mergeCell ref="J63:K63"/>
    <mergeCell ref="L63:M63"/>
    <mergeCell ref="N63:O63"/>
    <mergeCell ref="P63:Q63"/>
    <mergeCell ref="R62:S62"/>
    <mergeCell ref="T62:U62"/>
    <mergeCell ref="V62:W62"/>
    <mergeCell ref="X62:Y62"/>
    <mergeCell ref="Z62:AA62"/>
    <mergeCell ref="AB62:AC62"/>
    <mergeCell ref="AD61:AE61"/>
    <mergeCell ref="AF61:AG61"/>
    <mergeCell ref="A62:B62"/>
    <mergeCell ref="D62:E62"/>
    <mergeCell ref="F62:G62"/>
    <mergeCell ref="H62:I62"/>
    <mergeCell ref="J62:K62"/>
    <mergeCell ref="L62:M62"/>
    <mergeCell ref="N62:O62"/>
    <mergeCell ref="P62:Q62"/>
    <mergeCell ref="R61:S61"/>
    <mergeCell ref="T61:U61"/>
    <mergeCell ref="V61:W61"/>
    <mergeCell ref="X61:Y61"/>
    <mergeCell ref="Z61:AA61"/>
    <mergeCell ref="AB61:AC61"/>
    <mergeCell ref="AD64:AE64"/>
    <mergeCell ref="AF64:AG64"/>
    <mergeCell ref="A65:B65"/>
    <mergeCell ref="D65:E65"/>
    <mergeCell ref="F65:G65"/>
    <mergeCell ref="H65:I65"/>
    <mergeCell ref="J65:K65"/>
    <mergeCell ref="L65:M65"/>
    <mergeCell ref="N65:O65"/>
    <mergeCell ref="P65:Q65"/>
    <mergeCell ref="R64:S64"/>
    <mergeCell ref="T64:U64"/>
    <mergeCell ref="V64:W64"/>
    <mergeCell ref="X64:Y64"/>
    <mergeCell ref="Z64:AA64"/>
    <mergeCell ref="AB64:AC64"/>
    <mergeCell ref="AD63:AE63"/>
    <mergeCell ref="AF63:AG63"/>
    <mergeCell ref="A64:B64"/>
    <mergeCell ref="D64:E64"/>
    <mergeCell ref="F64:G64"/>
    <mergeCell ref="H64:I64"/>
    <mergeCell ref="J64:K64"/>
    <mergeCell ref="L64:M64"/>
    <mergeCell ref="N64:O64"/>
    <mergeCell ref="P64:Q64"/>
    <mergeCell ref="R63:S63"/>
    <mergeCell ref="T63:U63"/>
    <mergeCell ref="V63:W63"/>
    <mergeCell ref="X63:Y63"/>
    <mergeCell ref="Z63:AA63"/>
    <mergeCell ref="AB63:AC63"/>
    <mergeCell ref="AD66:AE66"/>
    <mergeCell ref="AF66:AG66"/>
    <mergeCell ref="A67:B67"/>
    <mergeCell ref="D67:E67"/>
    <mergeCell ref="F67:G67"/>
    <mergeCell ref="H67:I67"/>
    <mergeCell ref="J67:K67"/>
    <mergeCell ref="L67:M67"/>
    <mergeCell ref="N67:O67"/>
    <mergeCell ref="P67:Q67"/>
    <mergeCell ref="R66:S66"/>
    <mergeCell ref="T66:U66"/>
    <mergeCell ref="V66:W66"/>
    <mergeCell ref="X66:Y66"/>
    <mergeCell ref="Z66:AA66"/>
    <mergeCell ref="AB66:AC66"/>
    <mergeCell ref="AD65:AE65"/>
    <mergeCell ref="AF65:AG65"/>
    <mergeCell ref="A66:B66"/>
    <mergeCell ref="D66:E66"/>
    <mergeCell ref="F66:G66"/>
    <mergeCell ref="H66:I66"/>
    <mergeCell ref="J66:K66"/>
    <mergeCell ref="L66:M66"/>
    <mergeCell ref="N66:O66"/>
    <mergeCell ref="P66:Q66"/>
    <mergeCell ref="R65:S65"/>
    <mergeCell ref="T65:U65"/>
    <mergeCell ref="V65:W65"/>
    <mergeCell ref="X65:Y65"/>
    <mergeCell ref="Z65:AA65"/>
    <mergeCell ref="AB65:AC65"/>
    <mergeCell ref="AD68:AE68"/>
    <mergeCell ref="AF68:AG68"/>
    <mergeCell ref="A69:B69"/>
    <mergeCell ref="D69:E69"/>
    <mergeCell ref="F69:G69"/>
    <mergeCell ref="H69:I69"/>
    <mergeCell ref="J69:K69"/>
    <mergeCell ref="L69:M69"/>
    <mergeCell ref="N69:O69"/>
    <mergeCell ref="P69:Q69"/>
    <mergeCell ref="R68:S68"/>
    <mergeCell ref="T68:U68"/>
    <mergeCell ref="V68:W68"/>
    <mergeCell ref="X68:Y68"/>
    <mergeCell ref="Z68:AA68"/>
    <mergeCell ref="AB68:AC68"/>
    <mergeCell ref="AD67:AE67"/>
    <mergeCell ref="AF67:AG67"/>
    <mergeCell ref="A68:B68"/>
    <mergeCell ref="D68:E68"/>
    <mergeCell ref="F68:G68"/>
    <mergeCell ref="H68:I68"/>
    <mergeCell ref="J68:K68"/>
    <mergeCell ref="L68:M68"/>
    <mergeCell ref="N68:O68"/>
    <mergeCell ref="P68:Q68"/>
    <mergeCell ref="R67:S67"/>
    <mergeCell ref="T67:U67"/>
    <mergeCell ref="V67:W67"/>
    <mergeCell ref="X67:Y67"/>
    <mergeCell ref="Z67:AA67"/>
    <mergeCell ref="AB67:AC67"/>
    <mergeCell ref="AD70:AE70"/>
    <mergeCell ref="AF70:AG70"/>
    <mergeCell ref="A71:B71"/>
    <mergeCell ref="D71:E71"/>
    <mergeCell ref="F71:G71"/>
    <mergeCell ref="H71:I71"/>
    <mergeCell ref="J71:K71"/>
    <mergeCell ref="L71:M71"/>
    <mergeCell ref="N71:O71"/>
    <mergeCell ref="P71:Q71"/>
    <mergeCell ref="R70:S70"/>
    <mergeCell ref="T70:U70"/>
    <mergeCell ref="V70:W70"/>
    <mergeCell ref="X70:Y70"/>
    <mergeCell ref="Z70:AA70"/>
    <mergeCell ref="AB70:AC70"/>
    <mergeCell ref="AD69:AE69"/>
    <mergeCell ref="AF69:AG69"/>
    <mergeCell ref="A70:B70"/>
    <mergeCell ref="D70:E70"/>
    <mergeCell ref="F70:G70"/>
    <mergeCell ref="H70:I70"/>
    <mergeCell ref="J70:K70"/>
    <mergeCell ref="L70:M70"/>
    <mergeCell ref="N70:O70"/>
    <mergeCell ref="P70:Q70"/>
    <mergeCell ref="R69:S69"/>
    <mergeCell ref="T69:U69"/>
    <mergeCell ref="V69:W69"/>
    <mergeCell ref="X69:Y69"/>
    <mergeCell ref="Z69:AA69"/>
    <mergeCell ref="AB69:AC69"/>
    <mergeCell ref="AD72:AE72"/>
    <mergeCell ref="AF72:AG72"/>
    <mergeCell ref="A73:B73"/>
    <mergeCell ref="D73:E73"/>
    <mergeCell ref="F73:G73"/>
    <mergeCell ref="H73:I73"/>
    <mergeCell ref="J73:K73"/>
    <mergeCell ref="L73:M73"/>
    <mergeCell ref="N73:O73"/>
    <mergeCell ref="P73:Q73"/>
    <mergeCell ref="R72:S72"/>
    <mergeCell ref="T72:U72"/>
    <mergeCell ref="V72:W72"/>
    <mergeCell ref="X72:Y72"/>
    <mergeCell ref="Z72:AA72"/>
    <mergeCell ref="AB72:AC72"/>
    <mergeCell ref="AD71:AE71"/>
    <mergeCell ref="AF71:AG71"/>
    <mergeCell ref="A72:B72"/>
    <mergeCell ref="D72:E72"/>
    <mergeCell ref="F72:G72"/>
    <mergeCell ref="H72:I72"/>
    <mergeCell ref="J72:K72"/>
    <mergeCell ref="L72:M72"/>
    <mergeCell ref="N72:O72"/>
    <mergeCell ref="P72:Q72"/>
    <mergeCell ref="R71:S71"/>
    <mergeCell ref="T71:U71"/>
    <mergeCell ref="V71:W71"/>
    <mergeCell ref="X71:Y71"/>
    <mergeCell ref="Z71:AA71"/>
    <mergeCell ref="AB71:AC71"/>
    <mergeCell ref="AD74:AE74"/>
    <mergeCell ref="AF74:AG74"/>
    <mergeCell ref="A75:B75"/>
    <mergeCell ref="D75:E75"/>
    <mergeCell ref="F75:G75"/>
    <mergeCell ref="H75:I75"/>
    <mergeCell ref="J75:K75"/>
    <mergeCell ref="L75:M75"/>
    <mergeCell ref="N75:O75"/>
    <mergeCell ref="P75:Q75"/>
    <mergeCell ref="R74:S74"/>
    <mergeCell ref="T74:U74"/>
    <mergeCell ref="V74:W74"/>
    <mergeCell ref="X74:Y74"/>
    <mergeCell ref="Z74:AA74"/>
    <mergeCell ref="AB74:AC74"/>
    <mergeCell ref="AD73:AE73"/>
    <mergeCell ref="AF73:AG73"/>
    <mergeCell ref="A74:B74"/>
    <mergeCell ref="D74:E74"/>
    <mergeCell ref="F74:G74"/>
    <mergeCell ref="H74:I74"/>
    <mergeCell ref="J74:K74"/>
    <mergeCell ref="L74:M74"/>
    <mergeCell ref="N74:O74"/>
    <mergeCell ref="P74:Q74"/>
    <mergeCell ref="R73:S73"/>
    <mergeCell ref="T73:U73"/>
    <mergeCell ref="V73:W73"/>
    <mergeCell ref="X73:Y73"/>
    <mergeCell ref="Z73:AA73"/>
    <mergeCell ref="AB73:AC73"/>
    <mergeCell ref="AD76:AE76"/>
    <mergeCell ref="AF76:AG76"/>
    <mergeCell ref="A77:B77"/>
    <mergeCell ref="D77:E77"/>
    <mergeCell ref="F77:G77"/>
    <mergeCell ref="H77:I77"/>
    <mergeCell ref="J77:K77"/>
    <mergeCell ref="L77:M77"/>
    <mergeCell ref="N77:O77"/>
    <mergeCell ref="P77:Q77"/>
    <mergeCell ref="R76:S76"/>
    <mergeCell ref="T76:U76"/>
    <mergeCell ref="V76:W76"/>
    <mergeCell ref="X76:Y76"/>
    <mergeCell ref="Z76:AA76"/>
    <mergeCell ref="AB76:AC76"/>
    <mergeCell ref="AD75:AE75"/>
    <mergeCell ref="AF75:AG75"/>
    <mergeCell ref="A76:B76"/>
    <mergeCell ref="D76:E76"/>
    <mergeCell ref="F76:G76"/>
    <mergeCell ref="H76:I76"/>
    <mergeCell ref="J76:K76"/>
    <mergeCell ref="L76:M76"/>
    <mergeCell ref="N76:O76"/>
    <mergeCell ref="P76:Q76"/>
    <mergeCell ref="R75:S75"/>
    <mergeCell ref="T75:U75"/>
    <mergeCell ref="V75:W75"/>
    <mergeCell ref="X75:Y75"/>
    <mergeCell ref="Z75:AA75"/>
    <mergeCell ref="AB75:AC75"/>
    <mergeCell ref="AD78:AE78"/>
    <mergeCell ref="AF78:AG78"/>
    <mergeCell ref="A79:B79"/>
    <mergeCell ref="D79:E79"/>
    <mergeCell ref="F79:G79"/>
    <mergeCell ref="H79:I79"/>
    <mergeCell ref="J79:K79"/>
    <mergeCell ref="L79:M79"/>
    <mergeCell ref="N79:O79"/>
    <mergeCell ref="P79:Q79"/>
    <mergeCell ref="R78:S78"/>
    <mergeCell ref="T78:U78"/>
    <mergeCell ref="V78:W78"/>
    <mergeCell ref="X78:Y78"/>
    <mergeCell ref="Z78:AA78"/>
    <mergeCell ref="AB78:AC78"/>
    <mergeCell ref="AD77:AE77"/>
    <mergeCell ref="AF77:AG77"/>
    <mergeCell ref="A78:B78"/>
    <mergeCell ref="D78:E78"/>
    <mergeCell ref="F78:G78"/>
    <mergeCell ref="H78:I78"/>
    <mergeCell ref="J78:K78"/>
    <mergeCell ref="L78:M78"/>
    <mergeCell ref="N78:O78"/>
    <mergeCell ref="P78:Q78"/>
    <mergeCell ref="R77:S77"/>
    <mergeCell ref="T77:U77"/>
    <mergeCell ref="V77:W77"/>
    <mergeCell ref="X77:Y77"/>
    <mergeCell ref="Z77:AA77"/>
    <mergeCell ref="AB77:AC77"/>
    <mergeCell ref="AD80:AE80"/>
    <mergeCell ref="AF80:AG80"/>
    <mergeCell ref="A81:B81"/>
    <mergeCell ref="D81:E81"/>
    <mergeCell ref="F81:G81"/>
    <mergeCell ref="H81:I81"/>
    <mergeCell ref="J81:K81"/>
    <mergeCell ref="L81:M81"/>
    <mergeCell ref="N81:O81"/>
    <mergeCell ref="P81:Q81"/>
    <mergeCell ref="R80:S80"/>
    <mergeCell ref="T80:U80"/>
    <mergeCell ref="V80:W80"/>
    <mergeCell ref="X80:Y80"/>
    <mergeCell ref="Z80:AA80"/>
    <mergeCell ref="AB80:AC80"/>
    <mergeCell ref="AD79:AE79"/>
    <mergeCell ref="AF79:AG79"/>
    <mergeCell ref="A80:B80"/>
    <mergeCell ref="D80:E80"/>
    <mergeCell ref="F80:G80"/>
    <mergeCell ref="H80:I80"/>
    <mergeCell ref="J80:K80"/>
    <mergeCell ref="L80:M80"/>
    <mergeCell ref="N80:O80"/>
    <mergeCell ref="P80:Q80"/>
    <mergeCell ref="R79:S79"/>
    <mergeCell ref="T79:U79"/>
    <mergeCell ref="V79:W79"/>
    <mergeCell ref="X79:Y79"/>
    <mergeCell ref="Z79:AA79"/>
    <mergeCell ref="AB79:AC79"/>
    <mergeCell ref="AD82:AE82"/>
    <mergeCell ref="AF82:AG82"/>
    <mergeCell ref="A83:B83"/>
    <mergeCell ref="D83:E83"/>
    <mergeCell ref="F83:G83"/>
    <mergeCell ref="H83:I83"/>
    <mergeCell ref="J83:K83"/>
    <mergeCell ref="L83:M83"/>
    <mergeCell ref="N83:O83"/>
    <mergeCell ref="P83:Q83"/>
    <mergeCell ref="R82:S82"/>
    <mergeCell ref="T82:U82"/>
    <mergeCell ref="V82:W82"/>
    <mergeCell ref="X82:Y82"/>
    <mergeCell ref="Z82:AA82"/>
    <mergeCell ref="AB82:AC82"/>
    <mergeCell ref="AD81:AE81"/>
    <mergeCell ref="AF81:AG81"/>
    <mergeCell ref="A82:B82"/>
    <mergeCell ref="D82:E82"/>
    <mergeCell ref="F82:G82"/>
    <mergeCell ref="H82:I82"/>
    <mergeCell ref="J82:K82"/>
    <mergeCell ref="L82:M82"/>
    <mergeCell ref="N82:O82"/>
    <mergeCell ref="P82:Q82"/>
    <mergeCell ref="R81:S81"/>
    <mergeCell ref="T81:U81"/>
    <mergeCell ref="V81:W81"/>
    <mergeCell ref="X81:Y81"/>
    <mergeCell ref="Z81:AA81"/>
    <mergeCell ref="AB81:AC81"/>
    <mergeCell ref="AD84:AE84"/>
    <mergeCell ref="AF84:AG84"/>
    <mergeCell ref="A85:B85"/>
    <mergeCell ref="D85:E85"/>
    <mergeCell ref="F85:G85"/>
    <mergeCell ref="H85:I85"/>
    <mergeCell ref="J85:K85"/>
    <mergeCell ref="L85:M85"/>
    <mergeCell ref="N85:O85"/>
    <mergeCell ref="P85:Q85"/>
    <mergeCell ref="R84:S84"/>
    <mergeCell ref="T84:U84"/>
    <mergeCell ref="V84:W84"/>
    <mergeCell ref="X84:Y84"/>
    <mergeCell ref="Z84:AA84"/>
    <mergeCell ref="AB84:AC84"/>
    <mergeCell ref="AD83:AE83"/>
    <mergeCell ref="AF83:AG83"/>
    <mergeCell ref="A84:B84"/>
    <mergeCell ref="D84:E84"/>
    <mergeCell ref="F84:G84"/>
    <mergeCell ref="H84:I84"/>
    <mergeCell ref="J84:K84"/>
    <mergeCell ref="L84:M84"/>
    <mergeCell ref="N84:O84"/>
    <mergeCell ref="P84:Q84"/>
    <mergeCell ref="R83:S83"/>
    <mergeCell ref="T83:U83"/>
    <mergeCell ref="V83:W83"/>
    <mergeCell ref="X83:Y83"/>
    <mergeCell ref="Z83:AA83"/>
    <mergeCell ref="AB83:AC83"/>
    <mergeCell ref="AD86:AE86"/>
    <mergeCell ref="AF86:AG86"/>
    <mergeCell ref="A87:B87"/>
    <mergeCell ref="D87:E87"/>
    <mergeCell ref="F87:G87"/>
    <mergeCell ref="H87:I87"/>
    <mergeCell ref="J87:K87"/>
    <mergeCell ref="L87:M87"/>
    <mergeCell ref="N87:O87"/>
    <mergeCell ref="P87:Q87"/>
    <mergeCell ref="R86:S86"/>
    <mergeCell ref="T86:U86"/>
    <mergeCell ref="V86:W86"/>
    <mergeCell ref="X86:Y86"/>
    <mergeCell ref="Z86:AA86"/>
    <mergeCell ref="AB86:AC86"/>
    <mergeCell ref="AD85:AE85"/>
    <mergeCell ref="AF85:AG85"/>
    <mergeCell ref="A86:B86"/>
    <mergeCell ref="D86:E86"/>
    <mergeCell ref="F86:G86"/>
    <mergeCell ref="H86:I86"/>
    <mergeCell ref="J86:K86"/>
    <mergeCell ref="L86:M86"/>
    <mergeCell ref="N86:O86"/>
    <mergeCell ref="P86:Q86"/>
    <mergeCell ref="R85:S85"/>
    <mergeCell ref="T85:U85"/>
    <mergeCell ref="V85:W85"/>
    <mergeCell ref="X85:Y85"/>
    <mergeCell ref="Z85:AA85"/>
    <mergeCell ref="AB85:AC85"/>
    <mergeCell ref="AD88:AE88"/>
    <mergeCell ref="AF88:AG88"/>
    <mergeCell ref="A89:B89"/>
    <mergeCell ref="D89:E89"/>
    <mergeCell ref="F89:G89"/>
    <mergeCell ref="H89:I89"/>
    <mergeCell ref="J89:K89"/>
    <mergeCell ref="L89:M89"/>
    <mergeCell ref="N89:O89"/>
    <mergeCell ref="P89:Q89"/>
    <mergeCell ref="R88:S88"/>
    <mergeCell ref="T88:U88"/>
    <mergeCell ref="V88:W88"/>
    <mergeCell ref="X88:Y88"/>
    <mergeCell ref="Z88:AA88"/>
    <mergeCell ref="AB88:AC88"/>
    <mergeCell ref="AD87:AE87"/>
    <mergeCell ref="AF87:AG87"/>
    <mergeCell ref="A88:B88"/>
    <mergeCell ref="D88:E88"/>
    <mergeCell ref="F88:G88"/>
    <mergeCell ref="H88:I88"/>
    <mergeCell ref="J88:K88"/>
    <mergeCell ref="L88:M88"/>
    <mergeCell ref="N88:O88"/>
    <mergeCell ref="P88:Q88"/>
    <mergeCell ref="R87:S87"/>
    <mergeCell ref="T87:U87"/>
    <mergeCell ref="V87:W87"/>
    <mergeCell ref="X87:Y87"/>
    <mergeCell ref="Z87:AA87"/>
    <mergeCell ref="AB87:AC87"/>
    <mergeCell ref="AD90:AE90"/>
    <mergeCell ref="AF90:AG90"/>
    <mergeCell ref="A91:B91"/>
    <mergeCell ref="D91:E91"/>
    <mergeCell ref="F91:G91"/>
    <mergeCell ref="H91:I91"/>
    <mergeCell ref="J91:K91"/>
    <mergeCell ref="L91:M91"/>
    <mergeCell ref="N91:O91"/>
    <mergeCell ref="P91:Q91"/>
    <mergeCell ref="R90:S90"/>
    <mergeCell ref="T90:U90"/>
    <mergeCell ref="V90:W90"/>
    <mergeCell ref="X90:Y90"/>
    <mergeCell ref="Z90:AA90"/>
    <mergeCell ref="AB90:AC90"/>
    <mergeCell ref="AD89:AE89"/>
    <mergeCell ref="AF89:AG89"/>
    <mergeCell ref="A90:B90"/>
    <mergeCell ref="D90:E90"/>
    <mergeCell ref="F90:G90"/>
    <mergeCell ref="H90:I90"/>
    <mergeCell ref="J90:K90"/>
    <mergeCell ref="L90:M90"/>
    <mergeCell ref="N90:O90"/>
    <mergeCell ref="P90:Q90"/>
    <mergeCell ref="R89:S89"/>
    <mergeCell ref="T89:U89"/>
    <mergeCell ref="V89:W89"/>
    <mergeCell ref="X89:Y89"/>
    <mergeCell ref="Z89:AA89"/>
    <mergeCell ref="AB89:AC89"/>
    <mergeCell ref="AD92:AE92"/>
    <mergeCell ref="AF92:AG92"/>
    <mergeCell ref="A93:B93"/>
    <mergeCell ref="D93:E93"/>
    <mergeCell ref="F93:G93"/>
    <mergeCell ref="H93:I93"/>
    <mergeCell ref="J93:K93"/>
    <mergeCell ref="L93:M93"/>
    <mergeCell ref="N93:O93"/>
    <mergeCell ref="P93:Q93"/>
    <mergeCell ref="R92:S92"/>
    <mergeCell ref="T92:U92"/>
    <mergeCell ref="V92:W92"/>
    <mergeCell ref="X92:Y92"/>
    <mergeCell ref="Z92:AA92"/>
    <mergeCell ref="AB92:AC92"/>
    <mergeCell ref="AD91:AE91"/>
    <mergeCell ref="AF91:AG91"/>
    <mergeCell ref="A92:B92"/>
    <mergeCell ref="D92:E92"/>
    <mergeCell ref="F92:G92"/>
    <mergeCell ref="H92:I92"/>
    <mergeCell ref="J92:K92"/>
    <mergeCell ref="L92:M92"/>
    <mergeCell ref="N92:O92"/>
    <mergeCell ref="P92:Q92"/>
    <mergeCell ref="R91:S91"/>
    <mergeCell ref="T91:U91"/>
    <mergeCell ref="V91:W91"/>
    <mergeCell ref="X91:Y91"/>
    <mergeCell ref="Z91:AA91"/>
    <mergeCell ref="AB91:AC91"/>
    <mergeCell ref="AD94:AE94"/>
    <mergeCell ref="AF94:AG94"/>
    <mergeCell ref="A95:B95"/>
    <mergeCell ref="D95:E95"/>
    <mergeCell ref="F95:G95"/>
    <mergeCell ref="H95:I95"/>
    <mergeCell ref="J95:K95"/>
    <mergeCell ref="L95:M95"/>
    <mergeCell ref="N95:O95"/>
    <mergeCell ref="P95:Q95"/>
    <mergeCell ref="R94:S94"/>
    <mergeCell ref="T94:U94"/>
    <mergeCell ref="V94:W94"/>
    <mergeCell ref="X94:Y94"/>
    <mergeCell ref="Z94:AA94"/>
    <mergeCell ref="AB94:AC94"/>
    <mergeCell ref="AD93:AE93"/>
    <mergeCell ref="AF93:AG93"/>
    <mergeCell ref="A94:B94"/>
    <mergeCell ref="D94:E94"/>
    <mergeCell ref="F94:G94"/>
    <mergeCell ref="H94:I94"/>
    <mergeCell ref="J94:K94"/>
    <mergeCell ref="L94:M94"/>
    <mergeCell ref="N94:O94"/>
    <mergeCell ref="P94:Q94"/>
    <mergeCell ref="R93:S93"/>
    <mergeCell ref="T93:U93"/>
    <mergeCell ref="V93:W93"/>
    <mergeCell ref="X93:Y93"/>
    <mergeCell ref="Z93:AA93"/>
    <mergeCell ref="AB93:AC93"/>
    <mergeCell ref="AD96:AE96"/>
    <mergeCell ref="AF96:AG96"/>
    <mergeCell ref="A97:B97"/>
    <mergeCell ref="D97:E97"/>
    <mergeCell ref="F97:G97"/>
    <mergeCell ref="H97:I97"/>
    <mergeCell ref="J97:K97"/>
    <mergeCell ref="L97:M97"/>
    <mergeCell ref="N97:O97"/>
    <mergeCell ref="P97:Q97"/>
    <mergeCell ref="R96:S96"/>
    <mergeCell ref="T96:U96"/>
    <mergeCell ref="V96:W96"/>
    <mergeCell ref="X96:Y96"/>
    <mergeCell ref="Z96:AA96"/>
    <mergeCell ref="AB96:AC96"/>
    <mergeCell ref="AD95:AE95"/>
    <mergeCell ref="AF95:AG95"/>
    <mergeCell ref="A96:B96"/>
    <mergeCell ref="D96:E96"/>
    <mergeCell ref="F96:G96"/>
    <mergeCell ref="H96:I96"/>
    <mergeCell ref="J96:K96"/>
    <mergeCell ref="L96:M96"/>
    <mergeCell ref="N96:O96"/>
    <mergeCell ref="P96:Q96"/>
    <mergeCell ref="R95:S95"/>
    <mergeCell ref="T95:U95"/>
    <mergeCell ref="V95:W95"/>
    <mergeCell ref="X95:Y95"/>
    <mergeCell ref="Z95:AA95"/>
    <mergeCell ref="AB95:AC95"/>
    <mergeCell ref="AD98:AE98"/>
    <mergeCell ref="AF98:AG98"/>
    <mergeCell ref="A99:B99"/>
    <mergeCell ref="D99:E99"/>
    <mergeCell ref="F99:G99"/>
    <mergeCell ref="H99:I99"/>
    <mergeCell ref="J99:K99"/>
    <mergeCell ref="L99:M99"/>
    <mergeCell ref="N99:O99"/>
    <mergeCell ref="P99:Q99"/>
    <mergeCell ref="R98:S98"/>
    <mergeCell ref="T98:U98"/>
    <mergeCell ref="V98:W98"/>
    <mergeCell ref="X98:Y98"/>
    <mergeCell ref="Z98:AA98"/>
    <mergeCell ref="AB98:AC98"/>
    <mergeCell ref="AD97:AE97"/>
    <mergeCell ref="AF97:AG97"/>
    <mergeCell ref="A98:B98"/>
    <mergeCell ref="D98:E98"/>
    <mergeCell ref="F98:G98"/>
    <mergeCell ref="H98:I98"/>
    <mergeCell ref="J98:K98"/>
    <mergeCell ref="L98:M98"/>
    <mergeCell ref="N98:O98"/>
    <mergeCell ref="P98:Q98"/>
    <mergeCell ref="R97:S97"/>
    <mergeCell ref="T97:U97"/>
    <mergeCell ref="V97:W97"/>
    <mergeCell ref="X97:Y97"/>
    <mergeCell ref="Z97:AA97"/>
    <mergeCell ref="AB97:AC97"/>
    <mergeCell ref="AD100:AE100"/>
    <mergeCell ref="AF100:AG100"/>
    <mergeCell ref="A101:B101"/>
    <mergeCell ref="D101:E101"/>
    <mergeCell ref="F101:G101"/>
    <mergeCell ref="H101:I101"/>
    <mergeCell ref="J101:K101"/>
    <mergeCell ref="L101:M101"/>
    <mergeCell ref="N101:O101"/>
    <mergeCell ref="P101:Q101"/>
    <mergeCell ref="R100:S100"/>
    <mergeCell ref="T100:U100"/>
    <mergeCell ref="V100:W100"/>
    <mergeCell ref="X100:Y100"/>
    <mergeCell ref="Z100:AA100"/>
    <mergeCell ref="AB100:AC100"/>
    <mergeCell ref="AD99:AE99"/>
    <mergeCell ref="AF99:AG99"/>
    <mergeCell ref="A100:B100"/>
    <mergeCell ref="D100:E100"/>
    <mergeCell ref="F100:G100"/>
    <mergeCell ref="H100:I100"/>
    <mergeCell ref="J100:K100"/>
    <mergeCell ref="L100:M100"/>
    <mergeCell ref="N100:O100"/>
    <mergeCell ref="P100:Q100"/>
    <mergeCell ref="R99:S99"/>
    <mergeCell ref="T99:U99"/>
    <mergeCell ref="V99:W99"/>
    <mergeCell ref="X99:Y99"/>
    <mergeCell ref="Z99:AA99"/>
    <mergeCell ref="AB99:AC99"/>
    <mergeCell ref="AD102:AE102"/>
    <mergeCell ref="AF102:AG102"/>
    <mergeCell ref="A103:B103"/>
    <mergeCell ref="D103:E103"/>
    <mergeCell ref="F103:G103"/>
    <mergeCell ref="H103:I103"/>
    <mergeCell ref="J103:K103"/>
    <mergeCell ref="L103:M103"/>
    <mergeCell ref="N103:O103"/>
    <mergeCell ref="P103:Q103"/>
    <mergeCell ref="R102:S102"/>
    <mergeCell ref="T102:U102"/>
    <mergeCell ref="V102:W102"/>
    <mergeCell ref="X102:Y102"/>
    <mergeCell ref="Z102:AA102"/>
    <mergeCell ref="AB102:AC102"/>
    <mergeCell ref="AD101:AE101"/>
    <mergeCell ref="AF101:AG101"/>
    <mergeCell ref="A102:B102"/>
    <mergeCell ref="D102:E102"/>
    <mergeCell ref="F102:G102"/>
    <mergeCell ref="H102:I102"/>
    <mergeCell ref="J102:K102"/>
    <mergeCell ref="L102:M102"/>
    <mergeCell ref="N102:O102"/>
    <mergeCell ref="P102:Q102"/>
    <mergeCell ref="R101:S101"/>
    <mergeCell ref="T101:U101"/>
    <mergeCell ref="V101:W101"/>
    <mergeCell ref="X101:Y101"/>
    <mergeCell ref="Z101:AA101"/>
    <mergeCell ref="AB101:AC101"/>
    <mergeCell ref="AD104:AE104"/>
    <mergeCell ref="AF104:AG104"/>
    <mergeCell ref="A105:B105"/>
    <mergeCell ref="D105:E105"/>
    <mergeCell ref="F105:G105"/>
    <mergeCell ref="H105:I105"/>
    <mergeCell ref="J105:K105"/>
    <mergeCell ref="L105:M105"/>
    <mergeCell ref="N105:O105"/>
    <mergeCell ref="P105:Q105"/>
    <mergeCell ref="R104:S104"/>
    <mergeCell ref="T104:U104"/>
    <mergeCell ref="V104:W104"/>
    <mergeCell ref="X104:Y104"/>
    <mergeCell ref="Z104:AA104"/>
    <mergeCell ref="AB104:AC104"/>
    <mergeCell ref="AD103:AE103"/>
    <mergeCell ref="AF103:AG103"/>
    <mergeCell ref="A104:B104"/>
    <mergeCell ref="D104:E104"/>
    <mergeCell ref="F104:G104"/>
    <mergeCell ref="H104:I104"/>
    <mergeCell ref="J104:K104"/>
    <mergeCell ref="L104:M104"/>
    <mergeCell ref="N104:O104"/>
    <mergeCell ref="P104:Q104"/>
    <mergeCell ref="R103:S103"/>
    <mergeCell ref="T103:U103"/>
    <mergeCell ref="V103:W103"/>
    <mergeCell ref="X103:Y103"/>
    <mergeCell ref="Z103:AA103"/>
    <mergeCell ref="AB103:AC103"/>
    <mergeCell ref="AD106:AE106"/>
    <mergeCell ref="AF106:AG106"/>
    <mergeCell ref="A107:B107"/>
    <mergeCell ref="D107:E107"/>
    <mergeCell ref="F107:G107"/>
    <mergeCell ref="H107:I107"/>
    <mergeCell ref="J107:K107"/>
    <mergeCell ref="L107:M107"/>
    <mergeCell ref="N107:O107"/>
    <mergeCell ref="P107:Q107"/>
    <mergeCell ref="R106:S106"/>
    <mergeCell ref="T106:U106"/>
    <mergeCell ref="V106:W106"/>
    <mergeCell ref="X106:Y106"/>
    <mergeCell ref="Z106:AA106"/>
    <mergeCell ref="AB106:AC106"/>
    <mergeCell ref="AD105:AE105"/>
    <mergeCell ref="AF105:AG105"/>
    <mergeCell ref="A106:B106"/>
    <mergeCell ref="D106:E106"/>
    <mergeCell ref="F106:G106"/>
    <mergeCell ref="H106:I106"/>
    <mergeCell ref="J106:K106"/>
    <mergeCell ref="L106:M106"/>
    <mergeCell ref="N106:O106"/>
    <mergeCell ref="P106:Q106"/>
    <mergeCell ref="R105:S105"/>
    <mergeCell ref="T105:U105"/>
    <mergeCell ref="V105:W105"/>
    <mergeCell ref="X105:Y105"/>
    <mergeCell ref="Z105:AA105"/>
    <mergeCell ref="AB105:AC105"/>
    <mergeCell ref="AD108:AE108"/>
    <mergeCell ref="AF108:AG108"/>
    <mergeCell ref="A109:B109"/>
    <mergeCell ref="D109:E109"/>
    <mergeCell ref="F109:G109"/>
    <mergeCell ref="H109:I109"/>
    <mergeCell ref="J109:K109"/>
    <mergeCell ref="L109:M109"/>
    <mergeCell ref="N109:O109"/>
    <mergeCell ref="P109:Q109"/>
    <mergeCell ref="R108:S108"/>
    <mergeCell ref="T108:U108"/>
    <mergeCell ref="V108:W108"/>
    <mergeCell ref="X108:Y108"/>
    <mergeCell ref="Z108:AA108"/>
    <mergeCell ref="AB108:AC108"/>
    <mergeCell ref="AD107:AE107"/>
    <mergeCell ref="AF107:AG107"/>
    <mergeCell ref="A108:B108"/>
    <mergeCell ref="D108:E108"/>
    <mergeCell ref="F108:G108"/>
    <mergeCell ref="H108:I108"/>
    <mergeCell ref="J108:K108"/>
    <mergeCell ref="L108:M108"/>
    <mergeCell ref="N108:O108"/>
    <mergeCell ref="P108:Q108"/>
    <mergeCell ref="R107:S107"/>
    <mergeCell ref="T107:U107"/>
    <mergeCell ref="V107:W107"/>
    <mergeCell ref="X107:Y107"/>
    <mergeCell ref="Z107:AA107"/>
    <mergeCell ref="AB107:AC107"/>
    <mergeCell ref="AD110:AE110"/>
    <mergeCell ref="AF110:AG110"/>
    <mergeCell ref="R110:S110"/>
    <mergeCell ref="T110:U110"/>
    <mergeCell ref="V110:W110"/>
    <mergeCell ref="X110:Y110"/>
    <mergeCell ref="Z110:AA110"/>
    <mergeCell ref="AB110:AC110"/>
    <mergeCell ref="AD109:AE109"/>
    <mergeCell ref="AF109:AG109"/>
    <mergeCell ref="A110:B110"/>
    <mergeCell ref="D110:E110"/>
    <mergeCell ref="F110:G110"/>
    <mergeCell ref="H110:I110"/>
    <mergeCell ref="J110:K110"/>
    <mergeCell ref="L110:M110"/>
    <mergeCell ref="N110:O110"/>
    <mergeCell ref="P110:Q110"/>
    <mergeCell ref="R109:S109"/>
    <mergeCell ref="T109:U109"/>
    <mergeCell ref="V109:W109"/>
    <mergeCell ref="X109:Y109"/>
    <mergeCell ref="Z109:AA109"/>
    <mergeCell ref="AB109:AC10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BreakPreview" topLeftCell="A14" zoomScaleNormal="100" zoomScaleSheetLayoutView="100" workbookViewId="0">
      <selection activeCell="A16" sqref="A16:H16"/>
    </sheetView>
  </sheetViews>
  <sheetFormatPr baseColWidth="10" defaultColWidth="11.42578125" defaultRowHeight="15" x14ac:dyDescent="0.25"/>
  <cols>
    <col min="1" max="1" width="8.28515625" customWidth="1" collapsed="1"/>
    <col min="2" max="2" width="15" customWidth="1" collapsed="1"/>
    <col min="3" max="3" width="18.7109375" customWidth="1" collapsed="1"/>
    <col min="4" max="4" width="14.85546875" customWidth="1" collapsed="1"/>
    <col min="5" max="5" width="15.28515625" customWidth="1" collapsed="1"/>
    <col min="6" max="7" width="11.42578125" collapsed="1"/>
    <col min="8" max="8" width="14.5703125" customWidth="1" collapsed="1"/>
    <col min="9" max="9" width="1.28515625" customWidth="1" collapsed="1"/>
    <col min="10" max="16384" width="11.42578125" collapsed="1"/>
  </cols>
  <sheetData>
    <row r="1" spans="1:9" ht="15.75" hidden="1" thickBot="1" x14ac:dyDescent="0.3">
      <c r="A1" s="15"/>
      <c r="B1" s="1008" t="s">
        <v>470</v>
      </c>
      <c r="C1" s="114"/>
      <c r="D1" s="114"/>
      <c r="E1" s="115" t="s">
        <v>433</v>
      </c>
      <c r="F1" s="116" t="s">
        <v>443</v>
      </c>
      <c r="G1" s="116"/>
      <c r="H1" s="116"/>
      <c r="I1" s="117"/>
    </row>
    <row r="2" spans="1:9" ht="15.75" hidden="1" thickBot="1" x14ac:dyDescent="0.3">
      <c r="A2" s="15"/>
      <c r="B2" s="1009"/>
      <c r="C2" s="118" t="s">
        <v>441</v>
      </c>
      <c r="D2" s="119">
        <v>1</v>
      </c>
      <c r="E2" s="120">
        <v>4</v>
      </c>
      <c r="F2" s="120">
        <v>30</v>
      </c>
      <c r="G2" s="120">
        <f>+VLOOKUP(E24,$C$2:$F$5,3,FALSE)</f>
        <v>1</v>
      </c>
      <c r="H2" s="120"/>
      <c r="I2" s="121">
        <v>20</v>
      </c>
    </row>
    <row r="3" spans="1:9" ht="15.75" hidden="1" thickBot="1" x14ac:dyDescent="0.3">
      <c r="A3" s="15" t="s">
        <v>415</v>
      </c>
      <c r="B3" s="1009"/>
      <c r="C3" s="118" t="s">
        <v>439</v>
      </c>
      <c r="D3" s="119">
        <v>0.5</v>
      </c>
      <c r="E3" s="120">
        <v>3</v>
      </c>
      <c r="F3" s="120">
        <v>20</v>
      </c>
      <c r="G3" s="120">
        <f>+VLOOKUP(F24,$C$2:$F$5,4,FALSE)</f>
        <v>30</v>
      </c>
      <c r="H3" s="120"/>
      <c r="I3" s="121">
        <v>10</v>
      </c>
    </row>
    <row r="4" spans="1:9" ht="15.75" hidden="1" thickBot="1" x14ac:dyDescent="0.3">
      <c r="A4" s="15"/>
      <c r="B4" s="1009"/>
      <c r="C4" s="118" t="s">
        <v>437</v>
      </c>
      <c r="D4" s="119">
        <v>0.2</v>
      </c>
      <c r="E4" s="120">
        <v>2</v>
      </c>
      <c r="F4" s="120">
        <v>10</v>
      </c>
      <c r="G4" s="120">
        <f>+G2*G3</f>
        <v>30</v>
      </c>
      <c r="H4" s="120"/>
      <c r="I4" s="121">
        <v>10</v>
      </c>
    </row>
    <row r="5" spans="1:9" ht="15.75" hidden="1" thickBot="1" x14ac:dyDescent="0.3">
      <c r="A5" s="15"/>
      <c r="B5" s="1009"/>
      <c r="C5" s="118" t="s">
        <v>435</v>
      </c>
      <c r="D5" s="119">
        <v>0.1</v>
      </c>
      <c r="E5" s="120">
        <v>1</v>
      </c>
      <c r="F5" s="120">
        <v>5</v>
      </c>
      <c r="G5" s="120"/>
      <c r="H5" s="120"/>
      <c r="I5" s="121">
        <v>5</v>
      </c>
    </row>
    <row r="6" spans="1:9" ht="23.25" hidden="1" thickBot="1" x14ac:dyDescent="0.3">
      <c r="A6" s="15"/>
      <c r="B6" s="1009"/>
      <c r="C6" s="15"/>
      <c r="D6" s="15"/>
      <c r="E6" s="118" t="s">
        <v>435</v>
      </c>
      <c r="F6" s="118" t="s">
        <v>437</v>
      </c>
      <c r="G6" s="118" t="s">
        <v>439</v>
      </c>
      <c r="H6" s="118" t="s">
        <v>453</v>
      </c>
      <c r="I6" s="122"/>
    </row>
    <row r="7" spans="1:9" ht="15.75" hidden="1" thickBot="1" x14ac:dyDescent="0.3">
      <c r="A7" s="15"/>
      <c r="B7" s="1009"/>
      <c r="C7" s="15"/>
      <c r="D7" s="15"/>
      <c r="E7" s="114"/>
      <c r="F7" s="15"/>
      <c r="G7" s="15"/>
      <c r="H7" s="15"/>
      <c r="I7" s="122"/>
    </row>
    <row r="8" spans="1:9" ht="15.75" hidden="1" thickBot="1" x14ac:dyDescent="0.3">
      <c r="A8" s="15"/>
      <c r="B8" s="1009"/>
      <c r="C8" s="118" t="s">
        <v>441</v>
      </c>
      <c r="D8" s="118"/>
      <c r="E8" s="123" t="s">
        <v>471</v>
      </c>
      <c r="F8" s="123" t="s">
        <v>472</v>
      </c>
      <c r="G8" s="124" t="s">
        <v>473</v>
      </c>
      <c r="H8" s="124" t="s">
        <v>473</v>
      </c>
      <c r="I8" s="121">
        <v>20</v>
      </c>
    </row>
    <row r="9" spans="1:9" ht="15.75" hidden="1" thickBot="1" x14ac:dyDescent="0.3">
      <c r="A9" s="15"/>
      <c r="B9" s="1009"/>
      <c r="C9" s="118" t="s">
        <v>439</v>
      </c>
      <c r="D9" s="118"/>
      <c r="E9" s="125" t="s">
        <v>474</v>
      </c>
      <c r="F9" s="123" t="s">
        <v>471</v>
      </c>
      <c r="G9" s="123" t="s">
        <v>472</v>
      </c>
      <c r="H9" s="124" t="s">
        <v>473</v>
      </c>
      <c r="I9" s="121">
        <v>10</v>
      </c>
    </row>
    <row r="10" spans="1:9" ht="15.75" hidden="1" thickBot="1" x14ac:dyDescent="0.3">
      <c r="A10" s="15"/>
      <c r="B10" s="1009"/>
      <c r="C10" s="118" t="s">
        <v>437</v>
      </c>
      <c r="D10" s="118"/>
      <c r="E10" s="125" t="s">
        <v>475</v>
      </c>
      <c r="F10" s="125" t="s">
        <v>474</v>
      </c>
      <c r="G10" s="123" t="s">
        <v>471</v>
      </c>
      <c r="H10" s="123" t="s">
        <v>471</v>
      </c>
      <c r="I10" s="121">
        <v>10</v>
      </c>
    </row>
    <row r="11" spans="1:9" ht="15" hidden="1" customHeight="1" x14ac:dyDescent="0.25">
      <c r="A11" s="15"/>
      <c r="B11" s="1009"/>
      <c r="C11" s="118" t="s">
        <v>435</v>
      </c>
      <c r="D11" s="118"/>
      <c r="E11" s="125" t="s">
        <v>475</v>
      </c>
      <c r="F11" s="125" t="s">
        <v>475</v>
      </c>
      <c r="G11" s="125" t="s">
        <v>474</v>
      </c>
      <c r="H11" s="125" t="s">
        <v>474</v>
      </c>
      <c r="I11" s="121">
        <v>5</v>
      </c>
    </row>
    <row r="12" spans="1:9" ht="15" hidden="1" customHeight="1" thickBot="1" x14ac:dyDescent="0.3">
      <c r="A12" s="15"/>
      <c r="B12" s="15"/>
      <c r="C12" s="126"/>
      <c r="D12" s="126"/>
      <c r="E12" s="118" t="s">
        <v>435</v>
      </c>
      <c r="F12" s="118" t="s">
        <v>437</v>
      </c>
      <c r="G12" s="118" t="s">
        <v>439</v>
      </c>
      <c r="H12" s="118" t="s">
        <v>453</v>
      </c>
      <c r="I12" s="127"/>
    </row>
    <row r="13" spans="1:9" ht="15.75" hidden="1" thickBot="1" x14ac:dyDescent="0.3">
      <c r="A13" s="15"/>
      <c r="B13" s="15"/>
      <c r="C13" s="15"/>
      <c r="D13" s="15"/>
      <c r="E13" s="128"/>
      <c r="F13" s="128"/>
      <c r="G13" s="128"/>
      <c r="H13" s="128"/>
      <c r="I13" s="92"/>
    </row>
    <row r="14" spans="1:9" ht="27" customHeight="1" x14ac:dyDescent="0.25">
      <c r="A14" s="914" t="s">
        <v>6</v>
      </c>
      <c r="B14" s="915"/>
      <c r="C14" s="915"/>
      <c r="D14" s="915"/>
      <c r="E14" s="915"/>
      <c r="F14" s="915"/>
      <c r="G14" s="915"/>
      <c r="H14" s="916"/>
      <c r="I14" s="89"/>
    </row>
    <row r="15" spans="1:9" ht="28.5" customHeight="1" x14ac:dyDescent="0.25">
      <c r="A15" s="917" t="s">
        <v>827</v>
      </c>
      <c r="B15" s="918"/>
      <c r="C15" s="918"/>
      <c r="D15" s="918"/>
      <c r="E15" s="918"/>
      <c r="F15" s="918"/>
      <c r="G15" s="918"/>
      <c r="H15" s="919"/>
      <c r="I15" s="89"/>
    </row>
    <row r="16" spans="1:9" ht="29.25" customHeight="1" thickBot="1" x14ac:dyDescent="0.3">
      <c r="A16" s="920" t="s">
        <v>415</v>
      </c>
      <c r="B16" s="921"/>
      <c r="C16" s="921"/>
      <c r="D16" s="921"/>
      <c r="E16" s="921"/>
      <c r="F16" s="921"/>
      <c r="G16" s="921"/>
      <c r="H16" s="922"/>
      <c r="I16" s="89"/>
    </row>
    <row r="17" spans="1:9" ht="6" customHeight="1" thickBot="1" x14ac:dyDescent="0.3">
      <c r="A17" s="89"/>
      <c r="B17" s="90"/>
      <c r="C17" s="90"/>
      <c r="D17" s="90"/>
      <c r="E17" s="90"/>
      <c r="F17" s="90"/>
      <c r="G17" s="90"/>
      <c r="H17" s="94"/>
      <c r="I17" s="89"/>
    </row>
    <row r="18" spans="1:9" ht="42.75" customHeight="1" thickBot="1" x14ac:dyDescent="0.3">
      <c r="A18" s="941" t="s">
        <v>357</v>
      </c>
      <c r="B18" s="943"/>
      <c r="C18" s="944" t="str">
        <f>+'3 ECONOMICO'!C18:H18</f>
        <v>MANTENIMIENTO PREVENTIVO Y CORRECTIVO DE LOS TANQUES DE AGUA PARA LA INFRAESTRUCTURA INSTITUCIONAL SEGÚN REQUERIMIENTO DEL MUNICIPIO DE ENVIGADO</v>
      </c>
      <c r="D18" s="1010"/>
      <c r="E18" s="1010"/>
      <c r="F18" s="1010"/>
      <c r="G18" s="1010"/>
      <c r="H18" s="1011"/>
      <c r="I18" s="89"/>
    </row>
    <row r="19" spans="1:9" ht="6" customHeight="1" thickBot="1" x14ac:dyDescent="0.3">
      <c r="A19" s="89"/>
      <c r="B19" s="90"/>
      <c r="C19" s="90"/>
      <c r="D19" s="90"/>
      <c r="E19" s="90"/>
      <c r="F19" s="90"/>
      <c r="G19" s="90"/>
      <c r="H19" s="94"/>
      <c r="I19" s="89"/>
    </row>
    <row r="20" spans="1:9" ht="39" customHeight="1" thickBot="1" x14ac:dyDescent="0.3">
      <c r="A20" s="926" t="s">
        <v>505</v>
      </c>
      <c r="B20" s="927"/>
      <c r="C20" s="927"/>
      <c r="D20" s="927"/>
      <c r="E20" s="927"/>
      <c r="F20" s="927"/>
      <c r="G20" s="927"/>
      <c r="H20" s="928"/>
      <c r="I20" s="93"/>
    </row>
    <row r="21" spans="1:9" ht="22.5" x14ac:dyDescent="0.25">
      <c r="A21" s="971" t="s">
        <v>417</v>
      </c>
      <c r="B21" s="129" t="s">
        <v>477</v>
      </c>
      <c r="C21" s="130" t="s">
        <v>478</v>
      </c>
      <c r="D21" s="143">
        <f>+'ARU DEFINITIVO'!D9</f>
        <v>125816171</v>
      </c>
      <c r="E21" s="131" t="s">
        <v>479</v>
      </c>
      <c r="F21" s="996" t="s">
        <v>480</v>
      </c>
      <c r="G21" s="996"/>
      <c r="H21" s="997"/>
      <c r="I21" s="114"/>
    </row>
    <row r="22" spans="1:9" ht="22.5" x14ac:dyDescent="0.25">
      <c r="A22" s="985"/>
      <c r="B22" s="132" t="s">
        <v>481</v>
      </c>
      <c r="C22" s="133" t="s">
        <v>482</v>
      </c>
      <c r="D22" s="144">
        <f>+'4.1 Calculos Operacionales'!F31</f>
        <v>42449101.799580306</v>
      </c>
      <c r="E22" s="134" t="s">
        <v>483</v>
      </c>
      <c r="F22" s="998" t="s">
        <v>506</v>
      </c>
      <c r="G22" s="998"/>
      <c r="H22" s="999"/>
      <c r="I22" s="114"/>
    </row>
    <row r="23" spans="1:9" ht="22.5" x14ac:dyDescent="0.25">
      <c r="A23" s="985"/>
      <c r="B23" s="132" t="s">
        <v>484</v>
      </c>
      <c r="C23" s="133" t="s">
        <v>485</v>
      </c>
      <c r="D23" s="135">
        <f>+D22/D21</f>
        <v>0.33738987176441976</v>
      </c>
      <c r="E23" s="136" t="s">
        <v>433</v>
      </c>
      <c r="F23" s="136" t="s">
        <v>443</v>
      </c>
      <c r="G23" s="1000" t="s">
        <v>417</v>
      </c>
      <c r="H23" s="1001"/>
      <c r="I23" s="114"/>
    </row>
    <row r="24" spans="1:9" ht="22.5" x14ac:dyDescent="0.25">
      <c r="A24" s="985"/>
      <c r="B24" s="132" t="s">
        <v>486</v>
      </c>
      <c r="C24" s="133" t="s">
        <v>487</v>
      </c>
      <c r="D24" s="145">
        <f>+VLOOKUP(E24,C2:D5,2,FALSE)</f>
        <v>0.1</v>
      </c>
      <c r="E24" s="1002" t="s">
        <v>435</v>
      </c>
      <c r="F24" s="1002" t="str">
        <f>+IF(D23&lt;=0.05,"BAJO",IF(AND(D23&gt;0.05,D23&lt;=0.15),"MEDIO - BAJO",IF(AND(D23&gt;0.15,D23&lt;=0.3),"MEDIO - ALTO","ALTO")))</f>
        <v>ALTO</v>
      </c>
      <c r="G24" s="1122" t="str">
        <f>+IF(G4&lt;=10,"ACEPTABLE",IF(OR(G4=15,G4=20),"TOLERABLE",IF(OR(G4=30,G4=40),"MODERADO",IF(G4=60,"IMPORTANTE",IF(G4&gt;=80,"INACEPTABLE","NO EXISTE")))))</f>
        <v>MODERADO</v>
      </c>
      <c r="H24" s="1123"/>
      <c r="I24" s="114"/>
    </row>
    <row r="25" spans="1:9" x14ac:dyDescent="0.25">
      <c r="A25" s="985"/>
      <c r="B25" s="132" t="s">
        <v>488</v>
      </c>
      <c r="C25" s="133" t="s">
        <v>489</v>
      </c>
      <c r="D25" s="144">
        <f>+D22*D24</f>
        <v>4244910.1799580306</v>
      </c>
      <c r="E25" s="1002"/>
      <c r="F25" s="1002"/>
      <c r="G25" s="1122"/>
      <c r="H25" s="1123"/>
      <c r="I25" s="114"/>
    </row>
    <row r="26" spans="1:9" ht="15.75" x14ac:dyDescent="0.25">
      <c r="A26" s="985"/>
      <c r="B26" s="137"/>
      <c r="C26" s="138"/>
      <c r="D26" s="138"/>
      <c r="E26" s="139"/>
      <c r="F26" s="139"/>
      <c r="G26" s="146"/>
      <c r="H26" s="147"/>
      <c r="I26" s="114"/>
    </row>
    <row r="27" spans="1:9" x14ac:dyDescent="0.25">
      <c r="A27" s="985"/>
      <c r="B27" s="1005" t="s">
        <v>490</v>
      </c>
      <c r="C27" s="1006"/>
      <c r="D27" s="1006"/>
      <c r="E27" s="1006"/>
      <c r="F27" s="1006"/>
      <c r="G27" s="1006"/>
      <c r="H27" s="1007"/>
      <c r="I27" s="114"/>
    </row>
    <row r="28" spans="1:9" ht="59.25" customHeight="1" thickBot="1" x14ac:dyDescent="0.3">
      <c r="A28" s="986"/>
      <c r="B28" s="993" t="s">
        <v>507</v>
      </c>
      <c r="C28" s="994"/>
      <c r="D28" s="994"/>
      <c r="E28" s="994"/>
      <c r="F28" s="994"/>
      <c r="G28" s="994"/>
      <c r="H28" s="995"/>
      <c r="I28" s="114"/>
    </row>
    <row r="29" spans="1:9" ht="30.75" customHeight="1" x14ac:dyDescent="0.25">
      <c r="A29" s="971" t="s">
        <v>492</v>
      </c>
      <c r="B29" s="987" t="s">
        <v>493</v>
      </c>
      <c r="C29" s="988"/>
      <c r="D29" s="988"/>
      <c r="E29" s="988"/>
      <c r="F29" s="988"/>
      <c r="G29" s="988"/>
      <c r="H29" s="989"/>
      <c r="I29" s="114"/>
    </row>
    <row r="30" spans="1:9" ht="30.75" customHeight="1" x14ac:dyDescent="0.25">
      <c r="A30" s="985"/>
      <c r="B30" s="990" t="s">
        <v>508</v>
      </c>
      <c r="C30" s="991"/>
      <c r="D30" s="991"/>
      <c r="E30" s="991"/>
      <c r="F30" s="991"/>
      <c r="G30" s="991"/>
      <c r="H30" s="992"/>
      <c r="I30" s="114"/>
    </row>
    <row r="31" spans="1:9" ht="15.75" thickBot="1" x14ac:dyDescent="0.3">
      <c r="A31" s="986"/>
      <c r="B31" s="993" t="s">
        <v>509</v>
      </c>
      <c r="C31" s="994"/>
      <c r="D31" s="994"/>
      <c r="E31" s="994"/>
      <c r="F31" s="994"/>
      <c r="G31" s="994"/>
      <c r="H31" s="995"/>
      <c r="I31" s="114"/>
    </row>
    <row r="32" spans="1:9" ht="30" customHeight="1" x14ac:dyDescent="0.25">
      <c r="A32" s="971" t="s">
        <v>497</v>
      </c>
      <c r="B32" s="974" t="s">
        <v>498</v>
      </c>
      <c r="C32" s="975"/>
      <c r="D32" s="975"/>
      <c r="E32" s="975"/>
      <c r="F32" s="975"/>
      <c r="G32" s="975"/>
      <c r="H32" s="976"/>
      <c r="I32" s="114"/>
    </row>
    <row r="33" spans="1:9" ht="18" x14ac:dyDescent="0.25">
      <c r="A33" s="972"/>
      <c r="B33" s="977" t="s">
        <v>499</v>
      </c>
      <c r="C33" s="978"/>
      <c r="D33" s="979"/>
      <c r="E33" s="980" t="s">
        <v>500</v>
      </c>
      <c r="F33" s="980"/>
      <c r="G33" s="980"/>
      <c r="H33" s="981"/>
      <c r="I33" s="114"/>
    </row>
    <row r="34" spans="1:9" x14ac:dyDescent="0.25">
      <c r="A34" s="972"/>
      <c r="B34" s="962" t="s">
        <v>510</v>
      </c>
      <c r="C34" s="963"/>
      <c r="D34" s="964"/>
      <c r="E34" s="982" t="s">
        <v>511</v>
      </c>
      <c r="F34" s="982"/>
      <c r="G34" s="982"/>
      <c r="H34" s="983"/>
      <c r="I34" s="114"/>
    </row>
    <row r="35" spans="1:9" x14ac:dyDescent="0.25">
      <c r="A35" s="972"/>
      <c r="B35" s="962" t="s">
        <v>512</v>
      </c>
      <c r="C35" s="963"/>
      <c r="D35" s="964"/>
      <c r="E35" s="962" t="s">
        <v>513</v>
      </c>
      <c r="F35" s="963"/>
      <c r="G35" s="963"/>
      <c r="H35" s="984"/>
      <c r="I35" s="114"/>
    </row>
    <row r="36" spans="1:9" ht="24.75" customHeight="1" x14ac:dyDescent="0.25">
      <c r="A36" s="972"/>
      <c r="B36" s="962" t="s">
        <v>514</v>
      </c>
      <c r="C36" s="963"/>
      <c r="D36" s="964"/>
      <c r="E36" s="962" t="s">
        <v>515</v>
      </c>
      <c r="F36" s="963"/>
      <c r="G36" s="963"/>
      <c r="H36" s="984"/>
      <c r="I36" s="114"/>
    </row>
    <row r="37" spans="1:9" ht="15.75" thickBot="1" x14ac:dyDescent="0.3">
      <c r="A37" s="973"/>
      <c r="B37" s="967"/>
      <c r="C37" s="968"/>
      <c r="D37" s="969"/>
      <c r="E37" s="1120"/>
      <c r="F37" s="1120"/>
      <c r="G37" s="1120"/>
      <c r="H37" s="1121"/>
      <c r="I37" s="114"/>
    </row>
    <row r="38" spans="1:9" ht="30" customHeight="1" thickBot="1" x14ac:dyDescent="0.3">
      <c r="A38" s="952" t="s">
        <v>504</v>
      </c>
      <c r="B38" s="953"/>
      <c r="C38" s="953"/>
      <c r="D38" s="953"/>
      <c r="E38" s="953"/>
      <c r="F38" s="954" t="s">
        <v>516</v>
      </c>
      <c r="G38" s="954"/>
      <c r="H38" s="955"/>
      <c r="I38" s="114"/>
    </row>
    <row r="39" spans="1:9" x14ac:dyDescent="0.25">
      <c r="A39" s="142"/>
      <c r="B39" s="142"/>
      <c r="C39" s="114"/>
      <c r="D39" s="114"/>
      <c r="E39" s="114"/>
      <c r="F39" s="114"/>
      <c r="G39" s="114"/>
      <c r="H39" s="114"/>
      <c r="I39" s="114"/>
    </row>
    <row r="40" spans="1:9" x14ac:dyDescent="0.25">
      <c r="A40" s="142"/>
      <c r="B40" s="142"/>
      <c r="C40" s="114"/>
      <c r="D40" s="114"/>
      <c r="E40" s="114"/>
      <c r="F40" s="114"/>
      <c r="G40" s="114"/>
      <c r="H40" s="114"/>
      <c r="I40" s="114"/>
    </row>
  </sheetData>
  <mergeCells count="34">
    <mergeCell ref="B1:B11"/>
    <mergeCell ref="A14:H14"/>
    <mergeCell ref="A15:H15"/>
    <mergeCell ref="A16:H16"/>
    <mergeCell ref="A18:B18"/>
    <mergeCell ref="C18:H18"/>
    <mergeCell ref="A20:H20"/>
    <mergeCell ref="A21:A28"/>
    <mergeCell ref="F21:H21"/>
    <mergeCell ref="F22:H22"/>
    <mergeCell ref="G23:H23"/>
    <mergeCell ref="E24:E25"/>
    <mergeCell ref="F24:F25"/>
    <mergeCell ref="G24:H25"/>
    <mergeCell ref="B27:H27"/>
    <mergeCell ref="B28:H28"/>
    <mergeCell ref="A29:A31"/>
    <mergeCell ref="B29:H29"/>
    <mergeCell ref="B30:H30"/>
    <mergeCell ref="B31:H31"/>
    <mergeCell ref="A32:A37"/>
    <mergeCell ref="B32:H32"/>
    <mergeCell ref="B33:D33"/>
    <mergeCell ref="E33:H33"/>
    <mergeCell ref="B34:D34"/>
    <mergeCell ref="E34:H34"/>
    <mergeCell ref="A38:E38"/>
    <mergeCell ref="F38:H38"/>
    <mergeCell ref="B35:D35"/>
    <mergeCell ref="E35:H35"/>
    <mergeCell ref="B36:D36"/>
    <mergeCell ref="E36:H36"/>
    <mergeCell ref="B37:D37"/>
    <mergeCell ref="E37:H37"/>
  </mergeCells>
  <conditionalFormatting sqref="F38:H38">
    <cfRule type="cellIs" dxfId="23" priority="4" stopIfTrue="1" operator="equal">
      <formula>"EL CONTRATANTE"</formula>
    </cfRule>
    <cfRule type="cellIs" dxfId="22" priority="5" stopIfTrue="1" operator="equal">
      <formula>"EL CONTRATISTA"</formula>
    </cfRule>
    <cfRule type="cellIs" dxfId="21" priority="6" stopIfTrue="1" operator="equal">
      <formula>"AMBOS"</formula>
    </cfRule>
  </conditionalFormatting>
  <conditionalFormatting sqref="G24:H25">
    <cfRule type="expression" dxfId="20" priority="1" stopIfTrue="1">
      <formula>IF($G$24="INACEPTABLE",TRUE,FALSE)</formula>
    </cfRule>
    <cfRule type="expression" dxfId="19" priority="2" stopIfTrue="1">
      <formula>IF(OR($G$24="MODERADO",$G$24="IMPORTANTE"),TRUE,FALSE)</formula>
    </cfRule>
    <cfRule type="expression" dxfId="18" priority="3" stopIfTrue="1">
      <formula>IF(OR($G$24="ACEPTABLE",$G$24="TOLERABLE"),TRUE,FALSE)</formula>
    </cfRule>
  </conditionalFormatting>
  <dataValidations count="12">
    <dataValidation allowBlank="1" showInputMessage="1" showErrorMessage="1" promptTitle="RIESGO" prompt="Clasificación del riesgo según la combinación entre Probabilidad y Severidad" sqref="G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SEVERIDAD" prompt="Estime la severidad que tendrían las consecuencias  del riesgo si llegara a ocurrir" sqref="F23"/>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CAUSAS" prompt="Describa las principales causas por las cuales se puede presentar el riesgo que ha sido considerado." sqref="B29:H29"/>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NOMBRE CORTO DEL RIESGO" prompt="Los riesgos no son mas que posibles problemas con cosecuencias preocupantes para el contrato o para la Empresa." sqref="E21:F21"/>
    <dataValidation type="list" allowBlank="1" showInputMessage="1" showErrorMessage="1" sqref="E22">
      <formula1>"ANTES,DURANTE,DESPUÉS"</formula1>
    </dataValidation>
    <dataValidation errorStyle="information" allowBlank="1" showInputMessage="1" showErrorMessage="1" errorTitle="IMPACTO" error="Escoja una de las siguientes opciones:_x000a__x000a_LEVE_x000a_MODERADO_x000a_CATASTROFICO_x000a_" sqref="F24:F25"/>
    <dataValidation allowBlank="1" showInputMessage="1" showErrorMessage="1" promptTitle="ASIGNACIÓN DE RIESGOS" prompt="Para cada medida de tratamiento, determine las actividades del PHVA, en que debe participar EL METRO y EL CONTRATISTA para administrar el riesgo." sqref="B32:H32"/>
    <dataValidation type="list" allowBlank="1" showInputMessage="1" showErrorMessage="1" sqref="F38:H38">
      <formula1>"EL CONTRATANTE,EL CONTRATISTA,AMBOS"</formula1>
    </dataValidation>
    <dataValidation allowBlank="1" showInputMessage="1" showErrorMessage="1" promptTitle="ASIGNACIÓN DE RIESGOS" prompt="Determine quien debe asumir las consecuencias y cual es la participación de las partes en la administración del riesgo" sqref="A38"/>
  </dataValidations>
  <pageMargins left="0.7" right="0.7" top="0.75" bottom="0.75" header="0.3" footer="0.3"/>
  <pageSetup scale="8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view="pageBreakPreview" zoomScale="106" zoomScaleNormal="100" zoomScaleSheetLayoutView="106" workbookViewId="0">
      <selection activeCell="I16" sqref="I16"/>
    </sheetView>
  </sheetViews>
  <sheetFormatPr baseColWidth="10" defaultColWidth="11.42578125" defaultRowHeight="15" x14ac:dyDescent="0.25"/>
  <cols>
    <col min="1" max="1" width="25.7109375" customWidth="1" collapsed="1"/>
    <col min="2" max="3" width="11.42578125" collapsed="1"/>
    <col min="4" max="4" width="16" bestFit="1" customWidth="1" collapsed="1"/>
    <col min="5" max="5" width="18.5703125" customWidth="1" collapsed="1"/>
    <col min="6" max="6" width="19.85546875" customWidth="1" collapsed="1"/>
    <col min="7" max="16384" width="11.42578125" collapsed="1"/>
  </cols>
  <sheetData>
    <row r="1" spans="1:7" ht="18" x14ac:dyDescent="0.25">
      <c r="A1" s="914" t="s">
        <v>6</v>
      </c>
      <c r="B1" s="915"/>
      <c r="C1" s="915"/>
      <c r="D1" s="915"/>
      <c r="E1" s="915"/>
      <c r="F1" s="915"/>
      <c r="G1" s="916"/>
    </row>
    <row r="2" spans="1:7" ht="18" x14ac:dyDescent="0.25">
      <c r="A2" s="917" t="s">
        <v>827</v>
      </c>
      <c r="B2" s="918"/>
      <c r="C2" s="918"/>
      <c r="D2" s="918"/>
      <c r="E2" s="918"/>
      <c r="F2" s="918"/>
      <c r="G2" s="919"/>
    </row>
    <row r="3" spans="1:7" ht="24" customHeight="1" thickBot="1" x14ac:dyDescent="0.3">
      <c r="A3" s="920" t="s">
        <v>415</v>
      </c>
      <c r="B3" s="921"/>
      <c r="C3" s="921"/>
      <c r="D3" s="921"/>
      <c r="E3" s="921"/>
      <c r="F3" s="921"/>
      <c r="G3" s="922"/>
    </row>
    <row r="4" spans="1:7" ht="6" customHeight="1" thickBot="1" x14ac:dyDescent="0.3">
      <c r="A4" s="89"/>
      <c r="B4" s="90"/>
      <c r="C4" s="90"/>
      <c r="D4" s="90"/>
      <c r="E4" s="90"/>
      <c r="F4" s="90"/>
      <c r="G4" s="90"/>
    </row>
    <row r="5" spans="1:7" ht="34.5" customHeight="1" thickBot="1" x14ac:dyDescent="0.3">
      <c r="A5" s="91" t="s">
        <v>357</v>
      </c>
      <c r="B5" s="944" t="str">
        <f>PRESUPUESTO!B5:F5</f>
        <v>MANTENIMIENTO PREVENTIVO Y CORRECTIVO DE LOS TANQUES DE AGUA PARA LA INFRAESTRUCTURA INSTITUCIONAL SEGÚN REQUERIMIENTO DEL MUNICIPIO DE ENVIGADO</v>
      </c>
      <c r="C5" s="1010"/>
      <c r="D5" s="1010"/>
      <c r="E5" s="1010"/>
      <c r="F5" s="1010"/>
      <c r="G5" s="1011"/>
    </row>
    <row r="6" spans="1:7" ht="6" customHeight="1" thickBot="1" x14ac:dyDescent="0.3">
      <c r="A6" s="89"/>
      <c r="B6" s="90"/>
      <c r="C6" s="90"/>
      <c r="D6" s="90"/>
      <c r="E6" s="90"/>
      <c r="F6" s="90"/>
      <c r="G6" s="90"/>
    </row>
    <row r="7" spans="1:7" ht="33" customHeight="1" thickBot="1" x14ac:dyDescent="0.3">
      <c r="A7" s="926" t="s">
        <v>517</v>
      </c>
      <c r="B7" s="927"/>
      <c r="C7" s="927"/>
      <c r="D7" s="927"/>
      <c r="E7" s="927"/>
      <c r="F7" s="927"/>
      <c r="G7" s="927"/>
    </row>
    <row r="8" spans="1:7" ht="6" customHeight="1" thickBot="1" x14ac:dyDescent="0.3">
      <c r="A8" s="89"/>
      <c r="B8" s="90"/>
      <c r="C8" s="90"/>
      <c r="D8" s="90"/>
      <c r="E8" s="90"/>
      <c r="F8" s="90"/>
      <c r="G8" s="94"/>
    </row>
    <row r="9" spans="1:7" ht="15.75" thickBot="1" x14ac:dyDescent="0.3">
      <c r="A9" s="1125" t="s">
        <v>359</v>
      </c>
      <c r="B9" s="1126"/>
      <c r="C9" s="1126"/>
      <c r="D9" s="1127">
        <f>PRESUPUESTO!F14</f>
        <v>125816171</v>
      </c>
      <c r="E9" s="1128"/>
      <c r="F9" s="148"/>
      <c r="G9" s="149"/>
    </row>
    <row r="10" spans="1:7" ht="6" customHeight="1" thickBot="1" x14ac:dyDescent="0.3">
      <c r="A10" s="537"/>
      <c r="B10" s="538"/>
      <c r="C10" s="538"/>
      <c r="D10" s="538"/>
      <c r="E10" s="538"/>
      <c r="F10" s="538"/>
      <c r="G10" s="149"/>
    </row>
    <row r="11" spans="1:7" ht="45" x14ac:dyDescent="0.25">
      <c r="A11" s="539" t="s">
        <v>361</v>
      </c>
      <c r="B11" s="540" t="s">
        <v>362</v>
      </c>
      <c r="C11" s="540" t="s">
        <v>363</v>
      </c>
      <c r="D11" s="540" t="s">
        <v>8</v>
      </c>
      <c r="E11" s="540" t="s">
        <v>9</v>
      </c>
      <c r="F11" s="540" t="s">
        <v>364</v>
      </c>
      <c r="G11" s="541" t="s">
        <v>365</v>
      </c>
    </row>
    <row r="12" spans="1:7" ht="51.75" customHeight="1" x14ac:dyDescent="0.25">
      <c r="A12" s="542" t="str">
        <f>+'ARU DEFINITIVO'!A14</f>
        <v xml:space="preserve">DIRECTOR DE OBRA </v>
      </c>
      <c r="B12" s="557">
        <f>+'ARU DEFINITIVO'!B14</f>
        <v>1</v>
      </c>
      <c r="C12" s="543">
        <f>12/24</f>
        <v>0.5</v>
      </c>
      <c r="D12" s="556">
        <f>+'ARU DEFINITIVO'!D14</f>
        <v>12028025</v>
      </c>
      <c r="E12" s="544">
        <v>0.58284599999999998</v>
      </c>
      <c r="F12" s="545">
        <f>D12*(1+E12)*C12*B12</f>
        <v>9519255.6295749992</v>
      </c>
      <c r="G12" s="290">
        <f t="shared" ref="G12:G19" si="0">+F12/$D$9</f>
        <v>7.5660032839300118E-2</v>
      </c>
    </row>
    <row r="13" spans="1:7" ht="45.75" customHeight="1" x14ac:dyDescent="0.25">
      <c r="A13" s="542" t="str">
        <f>+'ARU DEFINITIVO'!A15</f>
        <v xml:space="preserve">RESIDENTE DE ESTRUCTURA Y PUENTES </v>
      </c>
      <c r="B13" s="557">
        <f>+'ARU DEFINITIVO'!B15</f>
        <v>1</v>
      </c>
      <c r="C13" s="543">
        <f t="shared" ref="C13:C19" si="1">12/24</f>
        <v>0.5</v>
      </c>
      <c r="D13" s="556">
        <f>+'ARU DEFINITIVO'!D15</f>
        <v>7796595</v>
      </c>
      <c r="E13" s="544">
        <v>0.58284599999999998</v>
      </c>
      <c r="F13" s="545">
        <f t="shared" ref="F13:F19" si="2">D13*(1+E13)*C13*B13</f>
        <v>6170404.6046850001</v>
      </c>
      <c r="G13" s="290">
        <f t="shared" si="0"/>
        <v>4.9043016932100086E-2</v>
      </c>
    </row>
    <row r="14" spans="1:7" ht="45" customHeight="1" x14ac:dyDescent="0.25">
      <c r="A14" s="542" t="str">
        <f>+'ARU DEFINITIVO'!A16</f>
        <v>RESIDENTE DE URBANISMO</v>
      </c>
      <c r="B14" s="557">
        <f>+'ARU DEFINITIVO'!B16</f>
        <v>1</v>
      </c>
      <c r="C14" s="543">
        <f t="shared" si="1"/>
        <v>0.5</v>
      </c>
      <c r="D14" s="556">
        <f>+'ARU DEFINITIVO'!D16</f>
        <v>7796595</v>
      </c>
      <c r="E14" s="544">
        <v>0.58284599999999998</v>
      </c>
      <c r="F14" s="545">
        <f t="shared" si="2"/>
        <v>6170404.6046850001</v>
      </c>
      <c r="G14" s="290">
        <f t="shared" si="0"/>
        <v>4.9043016932100086E-2</v>
      </c>
    </row>
    <row r="15" spans="1:7" ht="36.75" customHeight="1" x14ac:dyDescent="0.25">
      <c r="A15" s="542" t="str">
        <f>+'ARU DEFINITIVO'!A17</f>
        <v>INGENIERO RESIDENTE DE OBRA</v>
      </c>
      <c r="B15" s="557">
        <f>+'ARU DEFINITIVO'!B17</f>
        <v>1</v>
      </c>
      <c r="C15" s="543">
        <f t="shared" si="1"/>
        <v>0.5</v>
      </c>
      <c r="D15" s="556">
        <f>+'ARU DEFINITIVO'!D17</f>
        <v>6953837</v>
      </c>
      <c r="E15" s="544">
        <v>0.58284599999999998</v>
      </c>
      <c r="F15" s="545">
        <f t="shared" si="2"/>
        <v>5503426.5400510002</v>
      </c>
      <c r="G15" s="290">
        <f t="shared" si="0"/>
        <v>4.3741805972230707E-2</v>
      </c>
    </row>
    <row r="16" spans="1:7" ht="30" customHeight="1" x14ac:dyDescent="0.25">
      <c r="A16" s="542" t="str">
        <f>+'ARU DEFINITIVO'!A18</f>
        <v>PROFESIONAL AMBIENTAL</v>
      </c>
      <c r="B16" s="557">
        <f>+'ARU DEFINITIVO'!B18</f>
        <v>1</v>
      </c>
      <c r="C16" s="543">
        <f t="shared" si="1"/>
        <v>0.5</v>
      </c>
      <c r="D16" s="556">
        <f>+'ARU DEFINITIVO'!D18</f>
        <v>5259509</v>
      </c>
      <c r="E16" s="544">
        <v>0.58284599999999998</v>
      </c>
      <c r="F16" s="545">
        <f t="shared" si="2"/>
        <v>4162496.3913070001</v>
      </c>
      <c r="G16" s="290">
        <f t="shared" si="0"/>
        <v>3.3083953821063272E-2</v>
      </c>
    </row>
    <row r="17" spans="1:7" ht="31.5" customHeight="1" x14ac:dyDescent="0.25">
      <c r="A17" s="542" t="str">
        <f>+'ARU DEFINITIVO'!A19</f>
        <v>RESIDENTE FORESTAL</v>
      </c>
      <c r="B17" s="557">
        <f>+'ARU DEFINITIVO'!B19</f>
        <v>1</v>
      </c>
      <c r="C17" s="543">
        <f t="shared" si="1"/>
        <v>0.5</v>
      </c>
      <c r="D17" s="556">
        <f>+'ARU DEFINITIVO'!D19</f>
        <v>5259509</v>
      </c>
      <c r="E17" s="544">
        <v>0.58284599999999998</v>
      </c>
      <c r="F17" s="545">
        <f t="shared" si="2"/>
        <v>4162496.3913070001</v>
      </c>
      <c r="G17" s="290">
        <f t="shared" si="0"/>
        <v>3.3083953821063272E-2</v>
      </c>
    </row>
    <row r="18" spans="1:7" ht="43.5" customHeight="1" x14ac:dyDescent="0.25">
      <c r="A18" s="542" t="str">
        <f>+'ARU DEFINITIVO'!A20</f>
        <v>RESIDENTE DE SEGURIDAD Y SALUD EN EL TRABAJO --SST</v>
      </c>
      <c r="B18" s="557">
        <f>+'ARU DEFINITIVO'!B20</f>
        <v>1</v>
      </c>
      <c r="C18" s="543">
        <f t="shared" si="1"/>
        <v>0.5</v>
      </c>
      <c r="D18" s="556">
        <f>+'ARU DEFINITIVO'!D20</f>
        <v>4959460</v>
      </c>
      <c r="E18" s="544">
        <v>0.58284599999999998</v>
      </c>
      <c r="F18" s="545">
        <f t="shared" si="2"/>
        <v>3925030.7115799999</v>
      </c>
      <c r="G18" s="290">
        <f t="shared" si="0"/>
        <v>3.1196551924791923E-2</v>
      </c>
    </row>
    <row r="19" spans="1:7" ht="24" customHeight="1" x14ac:dyDescent="0.25">
      <c r="A19" s="542" t="str">
        <f>+'ARU DEFINITIVO'!A21</f>
        <v>ALMACENISTA</v>
      </c>
      <c r="B19" s="557">
        <f>+'ARU DEFINITIVO'!B21</f>
        <v>1</v>
      </c>
      <c r="C19" s="543">
        <f t="shared" si="1"/>
        <v>0.5</v>
      </c>
      <c r="D19" s="556">
        <f>+'ARU DEFINITIVO'!D21</f>
        <v>1804648</v>
      </c>
      <c r="E19" s="544">
        <v>0.58284599999999998</v>
      </c>
      <c r="F19" s="545">
        <f t="shared" si="2"/>
        <v>1428239.934104</v>
      </c>
      <c r="G19" s="290">
        <f t="shared" si="0"/>
        <v>1.1351799397106116E-2</v>
      </c>
    </row>
    <row r="20" spans="1:7" ht="15.75" thickBot="1" x14ac:dyDescent="0.3">
      <c r="A20" s="1129" t="s">
        <v>369</v>
      </c>
      <c r="B20" s="1130"/>
      <c r="C20" s="1130"/>
      <c r="D20" s="1130"/>
      <c r="E20" s="1131"/>
      <c r="F20" s="546">
        <f>SUM(F12:F19)</f>
        <v>41041754.807294004</v>
      </c>
      <c r="G20" s="546">
        <f>SUM(G12:G19)</f>
        <v>0.32620413163975559</v>
      </c>
    </row>
    <row r="21" spans="1:7" ht="6" customHeight="1" thickBot="1" x14ac:dyDescent="0.3">
      <c r="A21" s="548"/>
      <c r="B21" s="549"/>
      <c r="C21" s="549"/>
      <c r="D21" s="549"/>
      <c r="E21" s="549"/>
      <c r="F21" s="549"/>
      <c r="G21" s="550"/>
    </row>
    <row r="22" spans="1:7" ht="45" x14ac:dyDescent="0.25">
      <c r="A22" s="539" t="s">
        <v>370</v>
      </c>
      <c r="B22" s="540" t="s">
        <v>365</v>
      </c>
      <c r="C22" s="540" t="s">
        <v>363</v>
      </c>
      <c r="D22" s="540" t="s">
        <v>8</v>
      </c>
      <c r="E22" s="540" t="s">
        <v>9</v>
      </c>
      <c r="F22" s="540" t="s">
        <v>364</v>
      </c>
      <c r="G22" s="541" t="s">
        <v>365</v>
      </c>
    </row>
    <row r="23" spans="1:7" x14ac:dyDescent="0.25">
      <c r="A23" s="542" t="str">
        <f>+'ARU DEFINITIVO'!A25</f>
        <v>GERENCIA</v>
      </c>
      <c r="B23" s="323">
        <f>+'ARU DEFINITIVO'!B25</f>
        <v>0.1</v>
      </c>
      <c r="C23" s="543">
        <f>+C12</f>
        <v>0.5</v>
      </c>
      <c r="D23" s="551">
        <f>+'ARU DEFINITIVO'!D25</f>
        <v>10148359</v>
      </c>
      <c r="E23" s="289">
        <f>+'ARU DEFINITIVO'!E25</f>
        <v>0.58284599999999998</v>
      </c>
      <c r="F23" s="319">
        <f t="shared" ref="F23:F28" si="3">D23*(1+E23)*C23*B23</f>
        <v>803164.47248570004</v>
      </c>
      <c r="G23" s="552">
        <f t="shared" ref="G23:G28" si="4">+F23/$D$9</f>
        <v>6.3836346798830813E-3</v>
      </c>
    </row>
    <row r="24" spans="1:7" x14ac:dyDescent="0.25">
      <c r="A24" s="542" t="str">
        <f>+'ARU DEFINITIVO'!A26</f>
        <v>SECRETARIA</v>
      </c>
      <c r="B24" s="323">
        <f>+'ARU DEFINITIVO'!B26</f>
        <v>0.1</v>
      </c>
      <c r="C24" s="543">
        <f>+$C$12</f>
        <v>0.5</v>
      </c>
      <c r="D24" s="551">
        <f>+'ARU DEFINITIVO'!D26</f>
        <v>1522257</v>
      </c>
      <c r="E24" s="289">
        <f>+'ARU DEFINITIVO'!E26</f>
        <v>0.58284599999999998</v>
      </c>
      <c r="F24" s="319">
        <f t="shared" si="3"/>
        <v>120474.92017110001</v>
      </c>
      <c r="G24" s="553">
        <f t="shared" si="4"/>
        <v>9.5754718343081676E-4</v>
      </c>
    </row>
    <row r="25" spans="1:7" x14ac:dyDescent="0.25">
      <c r="A25" s="542" t="str">
        <f>+'ARU DEFINITIVO'!A27</f>
        <v xml:space="preserve">CONTADORA </v>
      </c>
      <c r="B25" s="323">
        <f>+'ARU DEFINITIVO'!B27</f>
        <v>0.1</v>
      </c>
      <c r="C25" s="543">
        <f>+$C$12</f>
        <v>0.5</v>
      </c>
      <c r="D25" s="551">
        <f>+'ARU DEFINITIVO'!D27</f>
        <v>2540250</v>
      </c>
      <c r="E25" s="289">
        <f>+'ARU DEFINITIVO'!E27</f>
        <v>0.58284599999999998</v>
      </c>
      <c r="F25" s="319">
        <f t="shared" si="3"/>
        <v>201041.22757500003</v>
      </c>
      <c r="G25" s="553">
        <f t="shared" si="4"/>
        <v>1.5978965658953333E-3</v>
      </c>
    </row>
    <row r="26" spans="1:7" x14ac:dyDescent="0.25">
      <c r="A26" s="542" t="str">
        <f>+'ARU DEFINITIVO'!A28</f>
        <v>MENSAJERO</v>
      </c>
      <c r="B26" s="323">
        <f>+'ARU DEFINITIVO'!B28</f>
        <v>0.1</v>
      </c>
      <c r="C26" s="543">
        <f>+$C$12</f>
        <v>0.5</v>
      </c>
      <c r="D26" s="551">
        <f>+'ARU DEFINITIVO'!D28</f>
        <v>1360415</v>
      </c>
      <c r="E26" s="289">
        <f>+'ARU DEFINITIVO'!E28</f>
        <v>0.58284599999999998</v>
      </c>
      <c r="F26" s="319">
        <f t="shared" si="3"/>
        <v>107666.3720545</v>
      </c>
      <c r="G26" s="553">
        <f t="shared" si="4"/>
        <v>8.5574351213167979E-4</v>
      </c>
    </row>
    <row r="27" spans="1:7" x14ac:dyDescent="0.25">
      <c r="A27" s="542" t="str">
        <f>+'ARU DEFINITIVO'!A29</f>
        <v>ALQUILER OFICINA</v>
      </c>
      <c r="B27" s="323">
        <f>+'ARU DEFINITIVO'!B29</f>
        <v>0.1</v>
      </c>
      <c r="C27" s="543">
        <f>+$C$12</f>
        <v>0.5</v>
      </c>
      <c r="D27" s="551">
        <f>+'ARU DEFINITIVO'!D29</f>
        <v>3000000</v>
      </c>
      <c r="E27" s="289">
        <f>+'ARU DEFINITIVO'!E29</f>
        <v>0</v>
      </c>
      <c r="F27" s="319">
        <f t="shared" si="3"/>
        <v>150000</v>
      </c>
      <c r="G27" s="553">
        <f t="shared" si="4"/>
        <v>1.1922155857055927E-3</v>
      </c>
    </row>
    <row r="28" spans="1:7" x14ac:dyDescent="0.25">
      <c r="A28" s="542" t="str">
        <f>+'ARU DEFINITIVO'!A30</f>
        <v>SERVICIOS PÚBLICOS</v>
      </c>
      <c r="B28" s="323">
        <f>+'ARU DEFINITIVO'!B30</f>
        <v>0.1</v>
      </c>
      <c r="C28" s="543">
        <f>+$C$12</f>
        <v>0.5</v>
      </c>
      <c r="D28" s="551">
        <f>+'ARU DEFINITIVO'!D30</f>
        <v>500000</v>
      </c>
      <c r="E28" s="289">
        <f>+'ARU DEFINITIVO'!E30</f>
        <v>0</v>
      </c>
      <c r="F28" s="319">
        <f t="shared" si="3"/>
        <v>25000</v>
      </c>
      <c r="G28" s="553">
        <f t="shared" si="4"/>
        <v>1.9870259761759878E-4</v>
      </c>
    </row>
    <row r="29" spans="1:7" ht="15.75" thickBot="1" x14ac:dyDescent="0.3">
      <c r="A29" s="1129" t="s">
        <v>376</v>
      </c>
      <c r="B29" s="1130"/>
      <c r="C29" s="1130"/>
      <c r="D29" s="1130"/>
      <c r="E29" s="1131"/>
      <c r="F29" s="558">
        <f>SUM(F23:F28)</f>
        <v>1407346.9922863003</v>
      </c>
      <c r="G29" s="547">
        <f>SUM(G23:G28)</f>
        <v>1.1185740124664103E-2</v>
      </c>
    </row>
    <row r="30" spans="1:7" ht="6" customHeight="1" thickBot="1" x14ac:dyDescent="0.3">
      <c r="A30" s="548"/>
      <c r="B30" s="549"/>
      <c r="C30" s="549"/>
      <c r="D30" s="549"/>
      <c r="E30" s="549"/>
      <c r="F30" s="549"/>
      <c r="G30" s="550"/>
    </row>
    <row r="31" spans="1:7" ht="15.75" thickBot="1" x14ac:dyDescent="0.3">
      <c r="A31" s="1132" t="s">
        <v>518</v>
      </c>
      <c r="B31" s="1133"/>
      <c r="C31" s="1133"/>
      <c r="D31" s="1133"/>
      <c r="E31" s="1134"/>
      <c r="F31" s="554">
        <f>F20+F29</f>
        <v>42449101.799580306</v>
      </c>
      <c r="G31" s="555">
        <f>G29+G20</f>
        <v>0.3373898717644197</v>
      </c>
    </row>
    <row r="32" spans="1:7" x14ac:dyDescent="0.25">
      <c r="A32" s="150"/>
      <c r="B32" s="151"/>
      <c r="C32" s="151"/>
      <c r="D32" s="151"/>
      <c r="E32" s="151"/>
      <c r="F32" s="151"/>
      <c r="G32" s="152"/>
    </row>
    <row r="33" spans="1:7" x14ac:dyDescent="0.25">
      <c r="A33" s="150"/>
      <c r="B33" s="151"/>
      <c r="C33" s="151"/>
      <c r="D33" s="151"/>
      <c r="E33" s="151"/>
      <c r="F33" s="151"/>
      <c r="G33" s="152"/>
    </row>
    <row r="34" spans="1:7" x14ac:dyDescent="0.25">
      <c r="A34" s="87"/>
      <c r="B34" s="114"/>
      <c r="C34" s="114"/>
      <c r="D34" s="114"/>
      <c r="E34" s="153" t="s">
        <v>396</v>
      </c>
      <c r="F34" s="16"/>
      <c r="G34" s="17"/>
    </row>
    <row r="35" spans="1:7" x14ac:dyDescent="0.25">
      <c r="A35" s="227"/>
      <c r="B35" s="111"/>
      <c r="C35" s="111"/>
      <c r="D35" s="114"/>
      <c r="E35" s="189"/>
      <c r="F35" s="190"/>
      <c r="G35" s="191"/>
    </row>
    <row r="36" spans="1:7" x14ac:dyDescent="0.25">
      <c r="A36" s="227"/>
      <c r="B36" s="111"/>
      <c r="C36" s="111"/>
      <c r="D36" s="114"/>
      <c r="E36" s="189"/>
      <c r="F36" s="190"/>
      <c r="G36" s="191"/>
    </row>
    <row r="37" spans="1:7" x14ac:dyDescent="0.25">
      <c r="A37" s="87"/>
      <c r="B37" s="19"/>
      <c r="C37" s="19"/>
      <c r="D37" s="114"/>
      <c r="E37" s="189"/>
      <c r="F37" s="190"/>
      <c r="G37" s="191"/>
    </row>
    <row r="38" spans="1:7" x14ac:dyDescent="0.25">
      <c r="A38" s="87"/>
      <c r="B38" s="1124"/>
      <c r="C38" s="1124"/>
      <c r="D38" s="114"/>
      <c r="E38" s="189"/>
      <c r="F38" s="190"/>
      <c r="G38" s="191"/>
    </row>
    <row r="39" spans="1:7" x14ac:dyDescent="0.25">
      <c r="A39" s="19"/>
      <c r="B39" s="19"/>
      <c r="C39" s="19"/>
      <c r="D39" s="114"/>
      <c r="E39" s="189"/>
      <c r="F39" s="190"/>
      <c r="G39" s="191"/>
    </row>
    <row r="40" spans="1:7" x14ac:dyDescent="0.25">
      <c r="A40" s="19"/>
      <c r="B40" s="114"/>
      <c r="C40" s="114"/>
      <c r="D40" s="114"/>
      <c r="E40" s="189"/>
      <c r="F40" s="190"/>
      <c r="G40" s="191"/>
    </row>
    <row r="41" spans="1:7" x14ac:dyDescent="0.25">
      <c r="A41" s="111"/>
      <c r="B41" s="111"/>
      <c r="C41" s="111"/>
      <c r="D41" s="114"/>
      <c r="E41" s="189"/>
      <c r="F41" s="190"/>
      <c r="G41" s="191"/>
    </row>
    <row r="42" spans="1:7" x14ac:dyDescent="0.25">
      <c r="A42" s="111"/>
      <c r="B42" s="111"/>
      <c r="C42" s="111"/>
      <c r="D42" s="114"/>
      <c r="E42" s="189"/>
      <c r="F42" s="190"/>
      <c r="G42" s="191"/>
    </row>
    <row r="43" spans="1:7" x14ac:dyDescent="0.25">
      <c r="A43" s="19"/>
      <c r="B43" s="19"/>
      <c r="C43" s="19"/>
      <c r="D43" s="114"/>
      <c r="E43" s="189"/>
      <c r="F43" s="190"/>
      <c r="G43" s="191"/>
    </row>
    <row r="44" spans="1:7" x14ac:dyDescent="0.25">
      <c r="A44" s="19"/>
      <c r="B44" s="1124"/>
      <c r="C44" s="1124"/>
      <c r="D44" s="114"/>
      <c r="E44" s="192"/>
      <c r="F44" s="193"/>
      <c r="G44" s="194"/>
    </row>
    <row r="45" spans="1:7" x14ac:dyDescent="0.25">
      <c r="A45" s="19"/>
      <c r="B45" s="19"/>
      <c r="C45" s="19"/>
      <c r="D45" s="114"/>
      <c r="E45" s="190"/>
      <c r="F45" s="190"/>
      <c r="G45" s="190"/>
    </row>
    <row r="46" spans="1:7" x14ac:dyDescent="0.25">
      <c r="A46" s="19"/>
      <c r="B46" s="114"/>
      <c r="C46" s="114"/>
      <c r="D46" s="114"/>
      <c r="E46" s="190"/>
      <c r="F46" s="190"/>
      <c r="G46" s="190"/>
    </row>
    <row r="47" spans="1:7" x14ac:dyDescent="0.25">
      <c r="A47" s="111"/>
      <c r="B47" s="111"/>
      <c r="C47" s="111"/>
      <c r="D47" s="114"/>
      <c r="E47" s="190"/>
      <c r="F47" s="190"/>
      <c r="G47" s="190"/>
    </row>
    <row r="48" spans="1:7" x14ac:dyDescent="0.25">
      <c r="A48" s="111"/>
      <c r="B48" s="111"/>
      <c r="C48" s="111"/>
      <c r="D48" s="114"/>
      <c r="E48" s="190"/>
      <c r="F48" s="190"/>
      <c r="G48" s="190"/>
    </row>
    <row r="49" spans="1:7" x14ac:dyDescent="0.25">
      <c r="A49" s="19"/>
      <c r="B49" s="19"/>
      <c r="C49" s="19"/>
      <c r="D49" s="114"/>
      <c r="E49" s="190"/>
      <c r="F49" s="190"/>
      <c r="G49" s="190"/>
    </row>
    <row r="50" spans="1:7" x14ac:dyDescent="0.25">
      <c r="A50" s="19"/>
      <c r="B50" s="1124"/>
      <c r="C50" s="1124"/>
      <c r="D50" s="114"/>
      <c r="E50" s="190"/>
      <c r="F50" s="190"/>
      <c r="G50" s="190"/>
    </row>
    <row r="51" spans="1:7" x14ac:dyDescent="0.25">
      <c r="A51" s="150"/>
      <c r="B51" s="151"/>
      <c r="C51" s="151"/>
      <c r="D51" s="151"/>
      <c r="E51" s="151"/>
      <c r="F51" s="151"/>
      <c r="G51" s="152"/>
    </row>
  </sheetData>
  <mergeCells count="13">
    <mergeCell ref="B50:C50"/>
    <mergeCell ref="A9:C9"/>
    <mergeCell ref="D9:E9"/>
    <mergeCell ref="A1:G1"/>
    <mergeCell ref="A2:G2"/>
    <mergeCell ref="A3:G3"/>
    <mergeCell ref="B5:G5"/>
    <mergeCell ref="A7:G7"/>
    <mergeCell ref="A20:E20"/>
    <mergeCell ref="A29:E29"/>
    <mergeCell ref="A31:E31"/>
    <mergeCell ref="B38:C38"/>
    <mergeCell ref="B44:C44"/>
  </mergeCells>
  <pageMargins left="0.7" right="0.7" top="0.75" bottom="0.75" header="0.3" footer="0.3"/>
  <pageSetup scale="66"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view="pageBreakPreview" topLeftCell="A23" zoomScale="106" zoomScaleNormal="100" zoomScaleSheetLayoutView="106" workbookViewId="0">
      <selection activeCell="A16" sqref="A16:H16"/>
    </sheetView>
  </sheetViews>
  <sheetFormatPr baseColWidth="10" defaultColWidth="11.42578125" defaultRowHeight="15" x14ac:dyDescent="0.25"/>
  <cols>
    <col min="1" max="1" width="7.140625" customWidth="1" collapsed="1"/>
    <col min="2" max="2" width="13.85546875" customWidth="1" collapsed="1"/>
    <col min="3" max="3" width="17.85546875" customWidth="1" collapsed="1"/>
    <col min="4" max="4" width="18.5703125" customWidth="1" collapsed="1"/>
    <col min="5" max="5" width="14.85546875" customWidth="1" collapsed="1"/>
    <col min="6" max="6" width="13.28515625" customWidth="1" collapsed="1"/>
    <col min="7" max="16384" width="11.42578125" collapsed="1"/>
  </cols>
  <sheetData>
    <row r="1" spans="1:9" ht="15.75" hidden="1" thickBot="1" x14ac:dyDescent="0.3">
      <c r="A1" s="15"/>
      <c r="B1" s="1008" t="s">
        <v>470</v>
      </c>
      <c r="C1" s="114"/>
      <c r="D1" s="114"/>
      <c r="E1" s="115" t="s">
        <v>433</v>
      </c>
      <c r="F1" s="116" t="s">
        <v>443</v>
      </c>
      <c r="G1" s="116"/>
      <c r="H1" s="116"/>
      <c r="I1" s="117"/>
    </row>
    <row r="2" spans="1:9" ht="15.75" hidden="1" thickBot="1" x14ac:dyDescent="0.3">
      <c r="A2" s="15"/>
      <c r="B2" s="1009"/>
      <c r="C2" s="118" t="s">
        <v>441</v>
      </c>
      <c r="D2" s="119">
        <v>1</v>
      </c>
      <c r="E2" s="120">
        <v>4</v>
      </c>
      <c r="F2" s="120">
        <v>30</v>
      </c>
      <c r="G2" s="120">
        <f>+VLOOKUP(E24,$C$2:$F$5,3,FALSE)</f>
        <v>1</v>
      </c>
      <c r="H2" s="120"/>
      <c r="I2" s="121">
        <v>20</v>
      </c>
    </row>
    <row r="3" spans="1:9" ht="15.75" hidden="1" thickBot="1" x14ac:dyDescent="0.3">
      <c r="A3" s="15" t="s">
        <v>415</v>
      </c>
      <c r="B3" s="1009"/>
      <c r="C3" s="118" t="s">
        <v>439</v>
      </c>
      <c r="D3" s="119">
        <v>0.5</v>
      </c>
      <c r="E3" s="120">
        <v>3</v>
      </c>
      <c r="F3" s="120">
        <v>20</v>
      </c>
      <c r="G3" s="120">
        <f>+VLOOKUP(F24,$C$2:$F$5,4,FALSE)</f>
        <v>5</v>
      </c>
      <c r="H3" s="120"/>
      <c r="I3" s="121">
        <v>10</v>
      </c>
    </row>
    <row r="4" spans="1:9" ht="15.75" hidden="1" thickBot="1" x14ac:dyDescent="0.3">
      <c r="A4" s="15"/>
      <c r="B4" s="1009"/>
      <c r="C4" s="118" t="s">
        <v>437</v>
      </c>
      <c r="D4" s="119">
        <v>0.2</v>
      </c>
      <c r="E4" s="120">
        <v>2</v>
      </c>
      <c r="F4" s="120">
        <v>10</v>
      </c>
      <c r="G4" s="120">
        <f>+G2*G3</f>
        <v>5</v>
      </c>
      <c r="H4" s="120"/>
      <c r="I4" s="121">
        <v>10</v>
      </c>
    </row>
    <row r="5" spans="1:9" ht="15.75" hidden="1" thickBot="1" x14ac:dyDescent="0.3">
      <c r="A5" s="15"/>
      <c r="B5" s="1009"/>
      <c r="C5" s="118" t="s">
        <v>435</v>
      </c>
      <c r="D5" s="119">
        <v>0.1</v>
      </c>
      <c r="E5" s="120">
        <v>1</v>
      </c>
      <c r="F5" s="120">
        <v>5</v>
      </c>
      <c r="G5" s="120"/>
      <c r="H5" s="120"/>
      <c r="I5" s="121">
        <v>5</v>
      </c>
    </row>
    <row r="6" spans="1:9" ht="23.25" hidden="1" thickBot="1" x14ac:dyDescent="0.3">
      <c r="A6" s="15"/>
      <c r="B6" s="1009"/>
      <c r="C6" s="15"/>
      <c r="D6" s="15"/>
      <c r="E6" s="118" t="s">
        <v>435</v>
      </c>
      <c r="F6" s="118" t="s">
        <v>437</v>
      </c>
      <c r="G6" s="118" t="s">
        <v>439</v>
      </c>
      <c r="H6" s="118" t="s">
        <v>453</v>
      </c>
      <c r="I6" s="122"/>
    </row>
    <row r="7" spans="1:9" ht="15.75" hidden="1" thickBot="1" x14ac:dyDescent="0.3">
      <c r="A7" s="15"/>
      <c r="B7" s="1009"/>
      <c r="C7" s="15"/>
      <c r="D7" s="15"/>
      <c r="E7" s="114"/>
      <c r="F7" s="15"/>
      <c r="G7" s="15"/>
      <c r="H7" s="15"/>
      <c r="I7" s="122"/>
    </row>
    <row r="8" spans="1:9" ht="15.75" hidden="1" thickBot="1" x14ac:dyDescent="0.3">
      <c r="A8" s="15"/>
      <c r="B8" s="1009"/>
      <c r="C8" s="118" t="s">
        <v>441</v>
      </c>
      <c r="D8" s="118"/>
      <c r="E8" s="123" t="s">
        <v>471</v>
      </c>
      <c r="F8" s="123" t="s">
        <v>472</v>
      </c>
      <c r="G8" s="124" t="s">
        <v>473</v>
      </c>
      <c r="H8" s="124" t="s">
        <v>473</v>
      </c>
      <c r="I8" s="121">
        <v>20</v>
      </c>
    </row>
    <row r="9" spans="1:9" ht="15.75" hidden="1" thickBot="1" x14ac:dyDescent="0.3">
      <c r="A9" s="15"/>
      <c r="B9" s="1009"/>
      <c r="C9" s="118" t="s">
        <v>439</v>
      </c>
      <c r="D9" s="118"/>
      <c r="E9" s="125" t="s">
        <v>474</v>
      </c>
      <c r="F9" s="123" t="s">
        <v>471</v>
      </c>
      <c r="G9" s="123" t="s">
        <v>472</v>
      </c>
      <c r="H9" s="124" t="s">
        <v>473</v>
      </c>
      <c r="I9" s="121">
        <v>10</v>
      </c>
    </row>
    <row r="10" spans="1:9" ht="15.75" hidden="1" thickBot="1" x14ac:dyDescent="0.3">
      <c r="A10" s="15"/>
      <c r="B10" s="1009"/>
      <c r="C10" s="118" t="s">
        <v>437</v>
      </c>
      <c r="D10" s="118"/>
      <c r="E10" s="125" t="s">
        <v>475</v>
      </c>
      <c r="F10" s="125" t="s">
        <v>474</v>
      </c>
      <c r="G10" s="123" t="s">
        <v>471</v>
      </c>
      <c r="H10" s="123" t="s">
        <v>471</v>
      </c>
      <c r="I10" s="121">
        <v>10</v>
      </c>
    </row>
    <row r="11" spans="1:9" ht="15.75" hidden="1" thickBot="1" x14ac:dyDescent="0.3">
      <c r="A11" s="15"/>
      <c r="B11" s="1009"/>
      <c r="C11" s="118" t="s">
        <v>435</v>
      </c>
      <c r="D11" s="118"/>
      <c r="E11" s="125" t="s">
        <v>475</v>
      </c>
      <c r="F11" s="125" t="s">
        <v>475</v>
      </c>
      <c r="G11" s="125" t="s">
        <v>474</v>
      </c>
      <c r="H11" s="125" t="s">
        <v>474</v>
      </c>
      <c r="I11" s="121">
        <v>5</v>
      </c>
    </row>
    <row r="12" spans="1:9" ht="23.25" hidden="1" thickBot="1" x14ac:dyDescent="0.3">
      <c r="A12" s="15"/>
      <c r="B12" s="15"/>
      <c r="C12" s="126"/>
      <c r="D12" s="126"/>
      <c r="E12" s="118" t="s">
        <v>435</v>
      </c>
      <c r="F12" s="118" t="s">
        <v>437</v>
      </c>
      <c r="G12" s="118" t="s">
        <v>439</v>
      </c>
      <c r="H12" s="118" t="s">
        <v>453</v>
      </c>
      <c r="I12" s="127"/>
    </row>
    <row r="13" spans="1:9" ht="15.75" hidden="1" thickBot="1" x14ac:dyDescent="0.3">
      <c r="A13" s="15"/>
      <c r="B13" s="15"/>
      <c r="C13" s="15"/>
      <c r="D13" s="15"/>
      <c r="E13" s="128"/>
      <c r="F13" s="128"/>
      <c r="G13" s="128"/>
      <c r="H13" s="128"/>
      <c r="I13" s="92"/>
    </row>
    <row r="14" spans="1:9" ht="18" x14ac:dyDescent="0.25">
      <c r="A14" s="914" t="s">
        <v>6</v>
      </c>
      <c r="B14" s="915"/>
      <c r="C14" s="915"/>
      <c r="D14" s="915"/>
      <c r="E14" s="915"/>
      <c r="F14" s="915"/>
      <c r="G14" s="915"/>
      <c r="H14" s="916"/>
      <c r="I14" s="89"/>
    </row>
    <row r="15" spans="1:9" ht="18" x14ac:dyDescent="0.25">
      <c r="A15" s="917" t="s">
        <v>827</v>
      </c>
      <c r="B15" s="918"/>
      <c r="C15" s="918"/>
      <c r="D15" s="918"/>
      <c r="E15" s="918"/>
      <c r="F15" s="918"/>
      <c r="G15" s="918"/>
      <c r="H15" s="919"/>
      <c r="I15" s="89"/>
    </row>
    <row r="16" spans="1:9" ht="27" customHeight="1" thickBot="1" x14ac:dyDescent="0.3">
      <c r="A16" s="920" t="s">
        <v>415</v>
      </c>
      <c r="B16" s="921"/>
      <c r="C16" s="921"/>
      <c r="D16" s="921"/>
      <c r="E16" s="921"/>
      <c r="F16" s="921"/>
      <c r="G16" s="921"/>
      <c r="H16" s="922"/>
      <c r="I16" s="89"/>
    </row>
    <row r="17" spans="1:9" ht="6" customHeight="1" thickBot="1" x14ac:dyDescent="0.3">
      <c r="A17" s="89"/>
      <c r="B17" s="90"/>
      <c r="C17" s="90"/>
      <c r="D17" s="90"/>
      <c r="E17" s="90"/>
      <c r="F17" s="90"/>
      <c r="G17" s="90"/>
      <c r="H17" s="94"/>
      <c r="I17" s="89"/>
    </row>
    <row r="18" spans="1:9" ht="42.75" customHeight="1" thickBot="1" x14ac:dyDescent="0.3">
      <c r="A18" s="941" t="s">
        <v>357</v>
      </c>
      <c r="B18" s="943"/>
      <c r="C18" s="944" t="str">
        <f>PRESUPUESTO!B5</f>
        <v>MANTENIMIENTO PREVENTIVO Y CORRECTIVO DE LOS TANQUES DE AGUA PARA LA INFRAESTRUCTURA INSTITUCIONAL SEGÚN REQUERIMIENTO DEL MUNICIPIO DE ENVIGADO</v>
      </c>
      <c r="D18" s="1010"/>
      <c r="E18" s="1010"/>
      <c r="F18" s="1010"/>
      <c r="G18" s="1010"/>
      <c r="H18" s="1011"/>
      <c r="I18" s="89"/>
    </row>
    <row r="19" spans="1:9" ht="6" customHeight="1" thickBot="1" x14ac:dyDescent="0.3">
      <c r="A19" s="89"/>
      <c r="B19" s="90"/>
      <c r="C19" s="90"/>
      <c r="D19" s="90"/>
      <c r="E19" s="90"/>
      <c r="F19" s="90"/>
      <c r="G19" s="90"/>
      <c r="H19" s="94"/>
      <c r="I19" s="89"/>
    </row>
    <row r="20" spans="1:9" ht="40.5" customHeight="1" thickBot="1" x14ac:dyDescent="0.3">
      <c r="A20" s="926" t="s">
        <v>519</v>
      </c>
      <c r="B20" s="927"/>
      <c r="C20" s="927"/>
      <c r="D20" s="927"/>
      <c r="E20" s="927"/>
      <c r="F20" s="927"/>
      <c r="G20" s="927"/>
      <c r="H20" s="928"/>
      <c r="I20" s="93"/>
    </row>
    <row r="21" spans="1:9" ht="22.5" x14ac:dyDescent="0.25">
      <c r="A21" s="971" t="s">
        <v>417</v>
      </c>
      <c r="B21" s="129" t="s">
        <v>477</v>
      </c>
      <c r="C21" s="130" t="s">
        <v>478</v>
      </c>
      <c r="D21" s="154">
        <f>'ARU DEFINITIVO'!D9</f>
        <v>125816171</v>
      </c>
      <c r="E21" s="131" t="s">
        <v>479</v>
      </c>
      <c r="F21" s="996" t="s">
        <v>480</v>
      </c>
      <c r="G21" s="996"/>
      <c r="H21" s="997"/>
      <c r="I21" s="114"/>
    </row>
    <row r="22" spans="1:9" ht="22.5" x14ac:dyDescent="0.25">
      <c r="A22" s="985"/>
      <c r="B22" s="132" t="s">
        <v>481</v>
      </c>
      <c r="C22" s="133" t="s">
        <v>482</v>
      </c>
      <c r="D22" s="155">
        <f>+'5.1 Calculo Financiero'!F16</f>
        <v>5258521.4040280478</v>
      </c>
      <c r="E22" s="134" t="s">
        <v>483</v>
      </c>
      <c r="F22" s="998" t="s">
        <v>423</v>
      </c>
      <c r="G22" s="998"/>
      <c r="H22" s="999"/>
      <c r="I22" s="114"/>
    </row>
    <row r="23" spans="1:9" ht="22.5" x14ac:dyDescent="0.25">
      <c r="A23" s="985"/>
      <c r="B23" s="132" t="s">
        <v>484</v>
      </c>
      <c r="C23" s="133" t="s">
        <v>485</v>
      </c>
      <c r="D23" s="135">
        <f>+D22/D21</f>
        <v>4.1795274504324631E-2</v>
      </c>
      <c r="E23" s="136" t="s">
        <v>433</v>
      </c>
      <c r="F23" s="136" t="s">
        <v>443</v>
      </c>
      <c r="G23" s="1000" t="s">
        <v>417</v>
      </c>
      <c r="H23" s="1001"/>
      <c r="I23" s="114"/>
    </row>
    <row r="24" spans="1:9" ht="22.5" x14ac:dyDescent="0.25">
      <c r="A24" s="985"/>
      <c r="B24" s="132" t="s">
        <v>486</v>
      </c>
      <c r="C24" s="133" t="s">
        <v>487</v>
      </c>
      <c r="D24" s="156">
        <f>+VLOOKUP(E24,C2:D5,2,FALSE)</f>
        <v>0.1</v>
      </c>
      <c r="E24" s="1002" t="s">
        <v>435</v>
      </c>
      <c r="F24" s="1002" t="str">
        <f>+IF(D23&lt;=0.05,"BAJO",IF(AND(D23&gt;0.05,D23&lt;=0.15),"MEDIO - BAJO",IF(AND(D23&gt;0.15,D23&lt;=0.3),"MEDIO - ALTO","ALTO")))</f>
        <v>BAJO</v>
      </c>
      <c r="G24" s="1135" t="str">
        <f>+IF(G4&lt;=10,"ACEPTABLE",IF(OR(G4=15,G4=20),"TOLERABLE",IF(OR(G4=30,G4=40),"MODERADO",IF(G4=60,"IMPORTANTE",IF(G4&gt;=80,"INACEPTABLE","NO EXISTE")))))</f>
        <v>ACEPTABLE</v>
      </c>
      <c r="H24" s="1136"/>
      <c r="I24" s="114"/>
    </row>
    <row r="25" spans="1:9" x14ac:dyDescent="0.25">
      <c r="A25" s="985"/>
      <c r="B25" s="132" t="s">
        <v>488</v>
      </c>
      <c r="C25" s="133" t="s">
        <v>489</v>
      </c>
      <c r="D25" s="155">
        <f>+D22*D24</f>
        <v>525852.14040280483</v>
      </c>
      <c r="E25" s="1002"/>
      <c r="F25" s="1002"/>
      <c r="G25" s="1135"/>
      <c r="H25" s="1136"/>
      <c r="I25" s="114"/>
    </row>
    <row r="26" spans="1:9" ht="15.75" x14ac:dyDescent="0.25">
      <c r="A26" s="985"/>
      <c r="B26" s="137"/>
      <c r="C26" s="138"/>
      <c r="D26" s="138"/>
      <c r="E26" s="139"/>
      <c r="F26" s="139"/>
      <c r="G26" s="157"/>
      <c r="H26" s="158"/>
      <c r="I26" s="114"/>
    </row>
    <row r="27" spans="1:9" x14ac:dyDescent="0.25">
      <c r="A27" s="985"/>
      <c r="B27" s="1005" t="s">
        <v>490</v>
      </c>
      <c r="C27" s="1006"/>
      <c r="D27" s="1006"/>
      <c r="E27" s="1006"/>
      <c r="F27" s="1006"/>
      <c r="G27" s="1006"/>
      <c r="H27" s="1007"/>
      <c r="I27" s="114"/>
    </row>
    <row r="28" spans="1:9" ht="74.25" customHeight="1" thickBot="1" x14ac:dyDescent="0.3">
      <c r="A28" s="986"/>
      <c r="B28" s="993" t="s">
        <v>520</v>
      </c>
      <c r="C28" s="994"/>
      <c r="D28" s="994"/>
      <c r="E28" s="994"/>
      <c r="F28" s="994"/>
      <c r="G28" s="994"/>
      <c r="H28" s="995"/>
      <c r="I28" s="114"/>
    </row>
    <row r="29" spans="1:9" ht="33" customHeight="1" x14ac:dyDescent="0.25">
      <c r="A29" s="971" t="s">
        <v>492</v>
      </c>
      <c r="B29" s="974" t="s">
        <v>493</v>
      </c>
      <c r="C29" s="975"/>
      <c r="D29" s="975"/>
      <c r="E29" s="975"/>
      <c r="F29" s="975"/>
      <c r="G29" s="975"/>
      <c r="H29" s="976"/>
      <c r="I29" s="114"/>
    </row>
    <row r="30" spans="1:9" x14ac:dyDescent="0.25">
      <c r="A30" s="985"/>
      <c r="B30" s="990" t="s">
        <v>521</v>
      </c>
      <c r="C30" s="991"/>
      <c r="D30" s="991"/>
      <c r="E30" s="991"/>
      <c r="F30" s="991"/>
      <c r="G30" s="991"/>
      <c r="H30" s="992"/>
      <c r="I30" s="114"/>
    </row>
    <row r="31" spans="1:9" x14ac:dyDescent="0.25">
      <c r="A31" s="985"/>
      <c r="B31" s="990" t="s">
        <v>522</v>
      </c>
      <c r="C31" s="991"/>
      <c r="D31" s="991"/>
      <c r="E31" s="991"/>
      <c r="F31" s="991"/>
      <c r="G31" s="991"/>
      <c r="H31" s="992"/>
      <c r="I31" s="114"/>
    </row>
    <row r="32" spans="1:9" ht="15.75" thickBot="1" x14ac:dyDescent="0.3">
      <c r="A32" s="986"/>
      <c r="B32" s="993"/>
      <c r="C32" s="994"/>
      <c r="D32" s="994"/>
      <c r="E32" s="994"/>
      <c r="F32" s="994"/>
      <c r="G32" s="994"/>
      <c r="H32" s="995"/>
      <c r="I32" s="114"/>
    </row>
    <row r="33" spans="1:9" ht="32.25" customHeight="1" x14ac:dyDescent="0.25">
      <c r="A33" s="971" t="s">
        <v>497</v>
      </c>
      <c r="B33" s="974" t="s">
        <v>498</v>
      </c>
      <c r="C33" s="975"/>
      <c r="D33" s="975"/>
      <c r="E33" s="975"/>
      <c r="F33" s="975"/>
      <c r="G33" s="975"/>
      <c r="H33" s="976"/>
      <c r="I33" s="114"/>
    </row>
    <row r="34" spans="1:9" ht="18" x14ac:dyDescent="0.25">
      <c r="A34" s="972"/>
      <c r="B34" s="977" t="s">
        <v>499</v>
      </c>
      <c r="C34" s="978"/>
      <c r="D34" s="979"/>
      <c r="E34" s="980" t="s">
        <v>500</v>
      </c>
      <c r="F34" s="980"/>
      <c r="G34" s="980"/>
      <c r="H34" s="981"/>
      <c r="I34" s="114"/>
    </row>
    <row r="35" spans="1:9" ht="25.5" customHeight="1" x14ac:dyDescent="0.25">
      <c r="A35" s="972"/>
      <c r="B35" s="962" t="s">
        <v>523</v>
      </c>
      <c r="C35" s="963"/>
      <c r="D35" s="964"/>
      <c r="E35" s="982" t="s">
        <v>524</v>
      </c>
      <c r="F35" s="982"/>
      <c r="G35" s="982"/>
      <c r="H35" s="983"/>
      <c r="I35" s="114"/>
    </row>
    <row r="36" spans="1:9" ht="25.5" customHeight="1" x14ac:dyDescent="0.25">
      <c r="A36" s="972"/>
      <c r="B36" s="962" t="s">
        <v>525</v>
      </c>
      <c r="C36" s="963"/>
      <c r="D36" s="964"/>
      <c r="E36" s="962" t="s">
        <v>526</v>
      </c>
      <c r="F36" s="963"/>
      <c r="G36" s="963"/>
      <c r="H36" s="984"/>
      <c r="I36" s="114"/>
    </row>
    <row r="37" spans="1:9" ht="15.75" thickBot="1" x14ac:dyDescent="0.3">
      <c r="A37" s="973"/>
      <c r="B37" s="967"/>
      <c r="C37" s="968"/>
      <c r="D37" s="969"/>
      <c r="E37" s="967"/>
      <c r="F37" s="968"/>
      <c r="G37" s="968"/>
      <c r="H37" s="970"/>
      <c r="I37" s="114"/>
    </row>
    <row r="38" spans="1:9" ht="27.75" customHeight="1" thickBot="1" x14ac:dyDescent="0.3">
      <c r="A38" s="952" t="s">
        <v>504</v>
      </c>
      <c r="B38" s="953"/>
      <c r="C38" s="953"/>
      <c r="D38" s="953"/>
      <c r="E38" s="953"/>
      <c r="F38" s="954" t="s">
        <v>516</v>
      </c>
      <c r="G38" s="954"/>
      <c r="H38" s="955"/>
      <c r="I38" s="114"/>
    </row>
    <row r="39" spans="1:9" x14ac:dyDescent="0.25">
      <c r="A39" s="142"/>
      <c r="B39" s="142"/>
      <c r="C39" s="114"/>
      <c r="D39" s="114"/>
      <c r="E39" s="114"/>
      <c r="F39" s="114"/>
      <c r="G39" s="114"/>
      <c r="H39" s="114"/>
      <c r="I39" s="114"/>
    </row>
  </sheetData>
  <mergeCells count="33">
    <mergeCell ref="E35:H35"/>
    <mergeCell ref="B1:B11"/>
    <mergeCell ref="A14:H14"/>
    <mergeCell ref="A15:H15"/>
    <mergeCell ref="A16:H16"/>
    <mergeCell ref="A18:B18"/>
    <mergeCell ref="C18:H18"/>
    <mergeCell ref="A20:H20"/>
    <mergeCell ref="A21:A28"/>
    <mergeCell ref="F21:H21"/>
    <mergeCell ref="F22:H22"/>
    <mergeCell ref="G23:H23"/>
    <mergeCell ref="E24:E25"/>
    <mergeCell ref="G24:H25"/>
    <mergeCell ref="B27:H27"/>
    <mergeCell ref="F24:F25"/>
    <mergeCell ref="B28:H28"/>
    <mergeCell ref="A38:E38"/>
    <mergeCell ref="F38:H38"/>
    <mergeCell ref="A29:A32"/>
    <mergeCell ref="B29:H29"/>
    <mergeCell ref="B30:H30"/>
    <mergeCell ref="B31:H31"/>
    <mergeCell ref="B32:H32"/>
    <mergeCell ref="A33:A37"/>
    <mergeCell ref="B33:H33"/>
    <mergeCell ref="B34:D34"/>
    <mergeCell ref="E34:H34"/>
    <mergeCell ref="B35:D35"/>
    <mergeCell ref="B37:D37"/>
    <mergeCell ref="B36:D36"/>
    <mergeCell ref="E36:H36"/>
    <mergeCell ref="E37:H37"/>
  </mergeCells>
  <conditionalFormatting sqref="F38:H38">
    <cfRule type="cellIs" dxfId="17" priority="4" stopIfTrue="1" operator="equal">
      <formula>"EL CONTRATANTE"</formula>
    </cfRule>
    <cfRule type="cellIs" dxfId="16" priority="5" stopIfTrue="1" operator="equal">
      <formula>"EL CONTRATISTA"</formula>
    </cfRule>
    <cfRule type="cellIs" dxfId="15" priority="6" stopIfTrue="1" operator="equal">
      <formula>"AMBOS"</formula>
    </cfRule>
  </conditionalFormatting>
  <conditionalFormatting sqref="G24:H25">
    <cfRule type="expression" dxfId="14" priority="1" stopIfTrue="1">
      <formula>IF($G$24="INACEPTABLE",TRUE,FALSE)</formula>
    </cfRule>
    <cfRule type="expression" dxfId="13" priority="2" stopIfTrue="1">
      <formula>IF(OR($G$24="MODERADO",$G$24="IMPORTANTE"),TRUE,FALSE)</formula>
    </cfRule>
    <cfRule type="expression" dxfId="12" priority="3" stopIfTrue="1">
      <formula>IF(OR($G$24="ACEPTABLE",$G$24="TOLERABLE"),TRUE,FALSE)</formula>
    </cfRule>
  </conditionalFormatting>
  <dataValidations count="12">
    <dataValidation errorStyle="information" allowBlank="1" showInputMessage="1" showErrorMessage="1" errorTitle="IMPACTO" error="Escoja una de las siguientes opciones:_x000a__x000a_LEVE_x000a_MODERADO_x000a_CATASTROFICO_x000a_" sqref="F24:F25"/>
    <dataValidation type="list" allowBlank="1" showInputMessage="1" showErrorMessage="1" sqref="E22">
      <formula1>"ANTES,DURANTE,DESPUÉS"</formula1>
    </dataValidation>
    <dataValidation allowBlank="1" showInputMessage="1" showErrorMessage="1" promptTitle="NOMBRE CORTO DEL RIESGO" prompt="Los riesgos no son mas que posibles problemas con cosecuencias preocupantes para el contrato o para la Empresa." sqref="E21:F21"/>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CAUSAS" prompt="Describa las principales causas por las cuales se puede presentar el riesgo que ha sido considerado." sqref="B29:H29"/>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SEVERIDAD" prompt="Estime la severidad que tendrían las consecuencias  del riesgo si llegara a ocurrir" sqref="F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RIESGO" prompt="Clasificación del riesgo según la combinación entre Probabilidad y Severidad" sqref="G23"/>
    <dataValidation allowBlank="1" showInputMessage="1" showErrorMessage="1" promptTitle="ASIGNACIÓN DE RIESGOS" prompt="Para cada medida de tratamiento, determine las actividades del PHVA, en que debe participar EL METRO y EL CONTRATISTA para administrar el riesgo." sqref="B33:H33"/>
    <dataValidation allowBlank="1" showInputMessage="1" showErrorMessage="1" promptTitle="ASIGNACIÓN DE RIESGOS" prompt="Determine quien debe asumir las consecuencias y cual es la participación de las partes en la administración del riesgo" sqref="A38"/>
    <dataValidation type="list" allowBlank="1" showInputMessage="1" showErrorMessage="1" sqref="F38:H38">
      <formula1>"EL CONTRATANTE,EL CONTRATISTA,AMBOS"</formula1>
    </dataValidation>
  </dataValidations>
  <pageMargins left="0.7" right="0.7" top="0.75" bottom="0.75" header="0.3" footer="0.3"/>
  <pageSetup scale="7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view="pageBreakPreview" zoomScale="106" zoomScaleSheetLayoutView="106" workbookViewId="0">
      <selection activeCell="A3" sqref="A3:G3"/>
    </sheetView>
  </sheetViews>
  <sheetFormatPr baseColWidth="10" defaultColWidth="10.85546875" defaultRowHeight="15" x14ac:dyDescent="0.25"/>
  <cols>
    <col min="1" max="1" width="12.85546875" style="79" customWidth="1" collapsed="1"/>
    <col min="2" max="2" width="10.85546875" style="79" collapsed="1"/>
    <col min="3" max="3" width="20.42578125" style="79" customWidth="1" collapsed="1"/>
    <col min="4" max="4" width="18.5703125" style="79" bestFit="1" customWidth="1" collapsed="1"/>
    <col min="5" max="5" width="16" style="79" customWidth="1" collapsed="1"/>
    <col min="6" max="6" width="17.140625" style="79" customWidth="1" collapsed="1"/>
    <col min="7" max="7" width="13.140625" style="79" customWidth="1" collapsed="1"/>
    <col min="8" max="16384" width="10.85546875" style="79" collapsed="1"/>
  </cols>
  <sheetData>
    <row r="1" spans="1:7" ht="18" x14ac:dyDescent="0.25">
      <c r="A1" s="1140" t="s">
        <v>6</v>
      </c>
      <c r="B1" s="1141"/>
      <c r="C1" s="1141"/>
      <c r="D1" s="1141"/>
      <c r="E1" s="1141"/>
      <c r="F1" s="1141"/>
      <c r="G1" s="1142"/>
    </row>
    <row r="2" spans="1:7" ht="18" x14ac:dyDescent="0.25">
      <c r="A2" s="1143" t="s">
        <v>827</v>
      </c>
      <c r="B2" s="1144"/>
      <c r="C2" s="1144"/>
      <c r="D2" s="1144"/>
      <c r="E2" s="1144"/>
      <c r="F2" s="1144"/>
      <c r="G2" s="1145"/>
    </row>
    <row r="3" spans="1:7" ht="27" customHeight="1" thickBot="1" x14ac:dyDescent="0.3">
      <c r="A3" s="1146" t="s">
        <v>415</v>
      </c>
      <c r="B3" s="1147"/>
      <c r="C3" s="1147"/>
      <c r="D3" s="1147"/>
      <c r="E3" s="1147"/>
      <c r="F3" s="1147"/>
      <c r="G3" s="1148"/>
    </row>
    <row r="4" spans="1:7" ht="6" customHeight="1" thickBot="1" x14ac:dyDescent="0.3">
      <c r="A4" s="159"/>
      <c r="B4" s="159"/>
      <c r="C4" s="160"/>
      <c r="D4" s="160"/>
      <c r="E4" s="160"/>
      <c r="F4" s="160"/>
      <c r="G4" s="160"/>
    </row>
    <row r="5" spans="1:7" ht="42.75" customHeight="1" thickBot="1" x14ac:dyDescent="0.3">
      <c r="A5" s="1149" t="s">
        <v>357</v>
      </c>
      <c r="B5" s="1150"/>
      <c r="C5" s="1151" t="str">
        <f>PRESUPUESTO!B5</f>
        <v>MANTENIMIENTO PREVENTIVO Y CORRECTIVO DE LOS TANQUES DE AGUA PARA LA INFRAESTRUCTURA INSTITUCIONAL SEGÚN REQUERIMIENTO DEL MUNICIPIO DE ENVIGADO</v>
      </c>
      <c r="D5" s="1152"/>
      <c r="E5" s="1152"/>
      <c r="F5" s="1152"/>
      <c r="G5" s="1153"/>
    </row>
    <row r="6" spans="1:7" ht="6" customHeight="1" thickBot="1" x14ac:dyDescent="0.3">
      <c r="A6" s="159"/>
      <c r="B6" s="159"/>
      <c r="C6" s="160"/>
      <c r="D6" s="160"/>
      <c r="E6" s="160"/>
      <c r="F6" s="160"/>
      <c r="G6" s="160"/>
    </row>
    <row r="7" spans="1:7" ht="36" customHeight="1" thickBot="1" x14ac:dyDescent="0.3">
      <c r="A7" s="1154" t="s">
        <v>527</v>
      </c>
      <c r="B7" s="1155"/>
      <c r="C7" s="1155"/>
      <c r="D7" s="1155"/>
      <c r="E7" s="1155"/>
      <c r="F7" s="1155"/>
      <c r="G7" s="1156"/>
    </row>
    <row r="8" spans="1:7" ht="6" customHeight="1" thickBot="1" x14ac:dyDescent="0.3">
      <c r="A8" s="161"/>
      <c r="B8" s="161"/>
      <c r="C8" s="161"/>
      <c r="D8" s="161"/>
      <c r="E8" s="161"/>
      <c r="F8" s="161"/>
      <c r="G8" s="161"/>
    </row>
    <row r="9" spans="1:7" ht="15.75" thickBot="1" x14ac:dyDescent="0.3">
      <c r="A9" s="161"/>
      <c r="B9" s="1137" t="s">
        <v>528</v>
      </c>
      <c r="C9" s="1138"/>
      <c r="D9" s="1139"/>
      <c r="E9" s="162">
        <v>0.28170000000000001</v>
      </c>
      <c r="F9" s="161"/>
      <c r="G9" s="161"/>
    </row>
    <row r="10" spans="1:7" ht="15.75" thickBot="1" x14ac:dyDescent="0.3">
      <c r="A10" s="161"/>
      <c r="B10" s="1137" t="s">
        <v>529</v>
      </c>
      <c r="C10" s="1138"/>
      <c r="D10" s="1139"/>
      <c r="E10" s="162">
        <f>+NOMINAL(E9,12)/12</f>
        <v>2.0897637252162315E-2</v>
      </c>
      <c r="F10" s="161"/>
      <c r="G10" s="161"/>
    </row>
    <row r="11" spans="1:7" ht="6" customHeight="1" x14ac:dyDescent="0.25">
      <c r="A11" s="161"/>
      <c r="B11" s="161"/>
      <c r="C11" s="161"/>
      <c r="D11" s="161"/>
      <c r="E11" s="161"/>
      <c r="F11" s="161"/>
      <c r="G11" s="161"/>
    </row>
    <row r="12" spans="1:7" ht="22.5" x14ac:dyDescent="0.25">
      <c r="A12" s="163"/>
      <c r="B12" s="164" t="s">
        <v>530</v>
      </c>
      <c r="C12" s="165" t="s">
        <v>531</v>
      </c>
      <c r="D12" s="165" t="s">
        <v>532</v>
      </c>
      <c r="E12" s="164" t="s">
        <v>533</v>
      </c>
      <c r="F12" s="164" t="s">
        <v>534</v>
      </c>
      <c r="G12" s="166"/>
    </row>
    <row r="13" spans="1:7" x14ac:dyDescent="0.25">
      <c r="A13" s="161"/>
      <c r="B13" s="167" t="s">
        <v>399</v>
      </c>
      <c r="C13" s="229">
        <f>+'FLUJO DE CAJA'!D21</f>
        <v>-125816171</v>
      </c>
      <c r="D13" s="229">
        <f>+'FLUJO DE CAJA'!D22</f>
        <v>-125816171</v>
      </c>
      <c r="E13" s="229">
        <f>+IF(D13&gt;0,0,D13*(-1))</f>
        <v>125816171</v>
      </c>
      <c r="F13" s="229">
        <f>+E13*$E$10</f>
        <v>2629260.7020140239</v>
      </c>
      <c r="G13" s="168"/>
    </row>
    <row r="14" spans="1:7" x14ac:dyDescent="0.25">
      <c r="A14" s="161"/>
      <c r="B14" s="167" t="s">
        <v>400</v>
      </c>
      <c r="C14" s="229">
        <f>+'FLUJO DE CAJA'!E21</f>
        <v>0</v>
      </c>
      <c r="D14" s="229">
        <f>+'FLUJO DE CAJA'!E22</f>
        <v>-125816171</v>
      </c>
      <c r="E14" s="229">
        <f t="shared" ref="E14:E15" si="0">+IF(D14&gt;0,0,D14*(-1))</f>
        <v>125816171</v>
      </c>
      <c r="F14" s="229">
        <f t="shared" ref="F14:F15" si="1">+E14*$E$10</f>
        <v>2629260.7020140239</v>
      </c>
      <c r="G14" s="168"/>
    </row>
    <row r="15" spans="1:7" x14ac:dyDescent="0.25">
      <c r="A15" s="161"/>
      <c r="B15" s="167" t="s">
        <v>401</v>
      </c>
      <c r="C15" s="229">
        <f>+'FLUJO DE CAJA'!F21</f>
        <v>125816171</v>
      </c>
      <c r="D15" s="229">
        <f>+'FLUJO DE CAJA'!F22</f>
        <v>0</v>
      </c>
      <c r="E15" s="229">
        <f t="shared" si="0"/>
        <v>0</v>
      </c>
      <c r="F15" s="229">
        <f t="shared" si="1"/>
        <v>0</v>
      </c>
      <c r="G15" s="168"/>
    </row>
    <row r="16" spans="1:7" x14ac:dyDescent="0.25">
      <c r="A16" s="161"/>
      <c r="B16" s="169" t="s">
        <v>22</v>
      </c>
      <c r="C16" s="171">
        <f>SUM(C13:C15)</f>
        <v>0</v>
      </c>
      <c r="D16" s="170"/>
      <c r="E16" s="170"/>
      <c r="F16" s="233">
        <f>SUM(F13:F15)</f>
        <v>5258521.4040280478</v>
      </c>
      <c r="G16" s="168"/>
    </row>
    <row r="17" spans="1:7" x14ac:dyDescent="0.25">
      <c r="A17" s="161"/>
      <c r="B17" s="172" t="s">
        <v>535</v>
      </c>
      <c r="C17" s="173" t="s">
        <v>536</v>
      </c>
      <c r="D17" s="173"/>
      <c r="E17" s="173"/>
      <c r="F17" s="161"/>
      <c r="G17" s="161"/>
    </row>
    <row r="18" spans="1:7" x14ac:dyDescent="0.25">
      <c r="A18" s="161"/>
      <c r="B18" s="161"/>
      <c r="C18" s="161"/>
      <c r="D18" s="161"/>
      <c r="E18" s="161"/>
      <c r="F18" s="161"/>
      <c r="G18" s="161"/>
    </row>
    <row r="19" spans="1:7" x14ac:dyDescent="0.25">
      <c r="A19" s="161"/>
      <c r="B19" s="80"/>
      <c r="C19" s="206"/>
      <c r="D19" s="206"/>
      <c r="E19" s="175" t="s">
        <v>396</v>
      </c>
      <c r="F19" s="174"/>
      <c r="G19" s="206"/>
    </row>
    <row r="20" spans="1:7" x14ac:dyDescent="0.25">
      <c r="A20" s="161"/>
      <c r="B20" s="230"/>
      <c r="C20" s="231"/>
      <c r="D20" s="231"/>
      <c r="E20" s="176"/>
      <c r="F20" s="560"/>
      <c r="G20" s="559"/>
    </row>
    <row r="21" spans="1:7" x14ac:dyDescent="0.25">
      <c r="A21" s="161"/>
      <c r="B21" s="230"/>
      <c r="C21" s="231"/>
      <c r="D21" s="231"/>
      <c r="E21" s="176"/>
      <c r="F21" s="560"/>
      <c r="G21" s="559"/>
    </row>
    <row r="22" spans="1:7" x14ac:dyDescent="0.25">
      <c r="A22" s="161"/>
      <c r="B22" s="80"/>
      <c r="C22" s="177"/>
      <c r="D22" s="177"/>
      <c r="E22" s="176"/>
      <c r="F22" s="560"/>
      <c r="G22" s="559"/>
    </row>
    <row r="23" spans="1:7" x14ac:dyDescent="0.25">
      <c r="A23" s="161"/>
      <c r="B23" s="80"/>
      <c r="C23" s="232"/>
      <c r="D23" s="232"/>
      <c r="E23" s="176"/>
      <c r="F23" s="560"/>
      <c r="G23" s="559"/>
    </row>
    <row r="24" spans="1:7" x14ac:dyDescent="0.25">
      <c r="A24" s="161"/>
      <c r="B24" s="177"/>
      <c r="C24" s="177"/>
      <c r="D24" s="177"/>
      <c r="E24" s="176"/>
      <c r="F24" s="560"/>
      <c r="G24" s="559"/>
    </row>
    <row r="25" spans="1:7" x14ac:dyDescent="0.25">
      <c r="A25" s="161"/>
      <c r="B25" s="177"/>
      <c r="C25" s="206"/>
      <c r="D25" s="206"/>
      <c r="E25" s="176"/>
      <c r="F25" s="560"/>
      <c r="G25" s="559"/>
    </row>
    <row r="26" spans="1:7" x14ac:dyDescent="0.25">
      <c r="A26" s="161"/>
      <c r="B26" s="231"/>
      <c r="C26" s="231"/>
      <c r="D26" s="231"/>
      <c r="E26" s="176"/>
      <c r="F26" s="560"/>
      <c r="G26" s="559"/>
    </row>
    <row r="27" spans="1:7" x14ac:dyDescent="0.25">
      <c r="A27" s="161"/>
      <c r="B27" s="231"/>
      <c r="C27" s="231"/>
      <c r="D27" s="231"/>
      <c r="E27" s="176"/>
      <c r="F27" s="560"/>
      <c r="G27" s="559"/>
    </row>
    <row r="28" spans="1:7" x14ac:dyDescent="0.25">
      <c r="A28" s="161"/>
      <c r="B28" s="177"/>
      <c r="C28" s="177"/>
      <c r="D28" s="177"/>
      <c r="E28" s="176"/>
      <c r="F28" s="560"/>
      <c r="G28" s="559"/>
    </row>
    <row r="29" spans="1:7" x14ac:dyDescent="0.25">
      <c r="A29" s="161"/>
      <c r="B29" s="177"/>
      <c r="C29" s="232"/>
      <c r="D29" s="232"/>
      <c r="E29" s="176"/>
      <c r="F29" s="560"/>
      <c r="G29" s="559"/>
    </row>
    <row r="30" spans="1:7" x14ac:dyDescent="0.25">
      <c r="A30" s="161"/>
      <c r="B30" s="177"/>
      <c r="C30" s="177"/>
      <c r="D30" s="177"/>
      <c r="E30" s="561"/>
      <c r="F30" s="562"/>
      <c r="G30" s="559"/>
    </row>
    <row r="31" spans="1:7" x14ac:dyDescent="0.25">
      <c r="A31" s="161"/>
      <c r="B31" s="177"/>
      <c r="C31" s="206"/>
      <c r="D31" s="206"/>
      <c r="E31" s="559"/>
      <c r="F31" s="559"/>
      <c r="G31" s="559"/>
    </row>
    <row r="32" spans="1:7" x14ac:dyDescent="0.25">
      <c r="A32" s="161"/>
      <c r="B32" s="231"/>
      <c r="C32" s="231"/>
      <c r="D32" s="231"/>
      <c r="E32" s="559"/>
      <c r="F32" s="559"/>
      <c r="G32" s="559"/>
    </row>
    <row r="33" spans="1:7" x14ac:dyDescent="0.25">
      <c r="A33" s="161"/>
      <c r="B33" s="231"/>
      <c r="C33" s="231"/>
      <c r="D33" s="231"/>
      <c r="E33" s="559"/>
      <c r="F33" s="559"/>
      <c r="G33" s="559"/>
    </row>
    <row r="34" spans="1:7" x14ac:dyDescent="0.25">
      <c r="A34" s="161"/>
      <c r="B34" s="177"/>
      <c r="C34" s="177"/>
      <c r="D34" s="177"/>
      <c r="E34" s="559"/>
      <c r="F34" s="559"/>
      <c r="G34" s="559"/>
    </row>
    <row r="35" spans="1:7" x14ac:dyDescent="0.25">
      <c r="A35" s="161"/>
      <c r="B35" s="177"/>
      <c r="C35" s="232"/>
      <c r="D35" s="232"/>
      <c r="E35" s="559"/>
      <c r="F35" s="559"/>
      <c r="G35" s="559"/>
    </row>
  </sheetData>
  <mergeCells count="8">
    <mergeCell ref="B9:D9"/>
    <mergeCell ref="B10:D10"/>
    <mergeCell ref="A1:G1"/>
    <mergeCell ref="A2:G2"/>
    <mergeCell ref="A3:G3"/>
    <mergeCell ref="A5:B5"/>
    <mergeCell ref="C5:G5"/>
    <mergeCell ref="A7:G7"/>
  </mergeCells>
  <pageMargins left="0.7" right="0.7" top="0.75" bottom="0.75" header="0.3" footer="0.3"/>
  <pageSetup scale="76"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view="pageBreakPreview" topLeftCell="A14" zoomScale="106" zoomScaleNormal="100" zoomScaleSheetLayoutView="106" workbookViewId="0">
      <selection activeCell="A16" sqref="A16:H16"/>
    </sheetView>
  </sheetViews>
  <sheetFormatPr baseColWidth="10" defaultColWidth="11.42578125" defaultRowHeight="15" x14ac:dyDescent="0.25"/>
  <cols>
    <col min="1" max="1" width="8.85546875" customWidth="1" collapsed="1"/>
    <col min="2" max="2" width="15.140625" customWidth="1" collapsed="1"/>
    <col min="3" max="3" width="15.85546875" customWidth="1" collapsed="1"/>
    <col min="4" max="4" width="18" bestFit="1" customWidth="1" collapsed="1"/>
    <col min="5" max="5" width="16.7109375" customWidth="1" collapsed="1"/>
    <col min="6" max="8" width="11.42578125" collapsed="1"/>
    <col min="9" max="9" width="0.85546875" customWidth="1" collapsed="1"/>
    <col min="10" max="16384" width="11.42578125" collapsed="1"/>
  </cols>
  <sheetData>
    <row r="1" spans="1:9" ht="15.75" hidden="1" thickBot="1" x14ac:dyDescent="0.3">
      <c r="A1" s="15"/>
      <c r="B1" s="1008" t="s">
        <v>470</v>
      </c>
      <c r="C1" s="114"/>
      <c r="D1" s="114"/>
      <c r="E1" s="115" t="s">
        <v>433</v>
      </c>
      <c r="F1" s="116" t="s">
        <v>443</v>
      </c>
      <c r="G1" s="116"/>
      <c r="H1" s="116"/>
      <c r="I1" s="117"/>
    </row>
    <row r="2" spans="1:9" ht="15.75" hidden="1" thickBot="1" x14ac:dyDescent="0.3">
      <c r="A2" s="15"/>
      <c r="B2" s="1009"/>
      <c r="C2" s="118" t="s">
        <v>441</v>
      </c>
      <c r="D2" s="119">
        <v>1</v>
      </c>
      <c r="E2" s="120">
        <v>4</v>
      </c>
      <c r="F2" s="120">
        <v>30</v>
      </c>
      <c r="G2" s="120">
        <f>+VLOOKUP(E24,$C$2:$F$5,3,FALSE)</f>
        <v>2</v>
      </c>
      <c r="H2" s="120"/>
      <c r="I2" s="121">
        <v>20</v>
      </c>
    </row>
    <row r="3" spans="1:9" ht="15.75" hidden="1" thickBot="1" x14ac:dyDescent="0.3">
      <c r="A3" s="15" t="s">
        <v>415</v>
      </c>
      <c r="B3" s="1009"/>
      <c r="C3" s="118" t="s">
        <v>439</v>
      </c>
      <c r="D3" s="119">
        <v>0.5</v>
      </c>
      <c r="E3" s="120">
        <v>3</v>
      </c>
      <c r="F3" s="120">
        <v>20</v>
      </c>
      <c r="G3" s="120">
        <f>+VLOOKUP(F24,$C$2:$F$5,4,FALSE)</f>
        <v>10</v>
      </c>
      <c r="H3" s="120"/>
      <c r="I3" s="121">
        <v>10</v>
      </c>
    </row>
    <row r="4" spans="1:9" ht="15.75" hidden="1" thickBot="1" x14ac:dyDescent="0.3">
      <c r="A4" s="15"/>
      <c r="B4" s="1009"/>
      <c r="C4" s="118" t="s">
        <v>437</v>
      </c>
      <c r="D4" s="119">
        <v>0.2</v>
      </c>
      <c r="E4" s="120">
        <v>2</v>
      </c>
      <c r="F4" s="120">
        <v>10</v>
      </c>
      <c r="G4" s="120">
        <f>+G2*G3</f>
        <v>20</v>
      </c>
      <c r="H4" s="120"/>
      <c r="I4" s="121">
        <v>10</v>
      </c>
    </row>
    <row r="5" spans="1:9" ht="15.75" hidden="1" thickBot="1" x14ac:dyDescent="0.3">
      <c r="A5" s="15"/>
      <c r="B5" s="1009"/>
      <c r="C5" s="118" t="s">
        <v>435</v>
      </c>
      <c r="D5" s="119">
        <v>0.1</v>
      </c>
      <c r="E5" s="120">
        <v>1</v>
      </c>
      <c r="F5" s="120">
        <v>5</v>
      </c>
      <c r="G5" s="120"/>
      <c r="H5" s="120"/>
      <c r="I5" s="121">
        <v>5</v>
      </c>
    </row>
    <row r="6" spans="1:9" ht="23.25" hidden="1" thickBot="1" x14ac:dyDescent="0.3">
      <c r="A6" s="15"/>
      <c r="B6" s="1009"/>
      <c r="C6" s="15"/>
      <c r="D6" s="15"/>
      <c r="E6" s="118" t="s">
        <v>435</v>
      </c>
      <c r="F6" s="118" t="s">
        <v>437</v>
      </c>
      <c r="G6" s="118" t="s">
        <v>439</v>
      </c>
      <c r="H6" s="118" t="s">
        <v>453</v>
      </c>
      <c r="I6" s="122"/>
    </row>
    <row r="7" spans="1:9" ht="15.75" hidden="1" thickBot="1" x14ac:dyDescent="0.3">
      <c r="A7" s="15"/>
      <c r="B7" s="1009"/>
      <c r="C7" s="15"/>
      <c r="D7" s="15"/>
      <c r="E7" s="114"/>
      <c r="F7" s="15"/>
      <c r="G7" s="15"/>
      <c r="H7" s="15"/>
      <c r="I7" s="122"/>
    </row>
    <row r="8" spans="1:9" ht="15.75" hidden="1" thickBot="1" x14ac:dyDescent="0.3">
      <c r="A8" s="15"/>
      <c r="B8" s="1009"/>
      <c r="C8" s="118" t="s">
        <v>441</v>
      </c>
      <c r="D8" s="118"/>
      <c r="E8" s="123" t="s">
        <v>471</v>
      </c>
      <c r="F8" s="123" t="s">
        <v>472</v>
      </c>
      <c r="G8" s="124" t="s">
        <v>473</v>
      </c>
      <c r="H8" s="124" t="s">
        <v>473</v>
      </c>
      <c r="I8" s="121">
        <v>20</v>
      </c>
    </row>
    <row r="9" spans="1:9" ht="15.75" hidden="1" thickBot="1" x14ac:dyDescent="0.3">
      <c r="A9" s="15"/>
      <c r="B9" s="1009"/>
      <c r="C9" s="118" t="s">
        <v>439</v>
      </c>
      <c r="D9" s="118"/>
      <c r="E9" s="125" t="s">
        <v>474</v>
      </c>
      <c r="F9" s="123" t="s">
        <v>471</v>
      </c>
      <c r="G9" s="123" t="s">
        <v>472</v>
      </c>
      <c r="H9" s="124" t="s">
        <v>473</v>
      </c>
      <c r="I9" s="121">
        <v>10</v>
      </c>
    </row>
    <row r="10" spans="1:9" ht="15.75" hidden="1" thickBot="1" x14ac:dyDescent="0.3">
      <c r="A10" s="15"/>
      <c r="B10" s="1009"/>
      <c r="C10" s="118" t="s">
        <v>437</v>
      </c>
      <c r="D10" s="118"/>
      <c r="E10" s="125" t="s">
        <v>475</v>
      </c>
      <c r="F10" s="125" t="s">
        <v>474</v>
      </c>
      <c r="G10" s="123" t="s">
        <v>471</v>
      </c>
      <c r="H10" s="123" t="s">
        <v>471</v>
      </c>
      <c r="I10" s="121">
        <v>10</v>
      </c>
    </row>
    <row r="11" spans="1:9" ht="15.75" hidden="1" thickBot="1" x14ac:dyDescent="0.3">
      <c r="A11" s="15"/>
      <c r="B11" s="1009"/>
      <c r="C11" s="118" t="s">
        <v>435</v>
      </c>
      <c r="D11" s="118"/>
      <c r="E11" s="125" t="s">
        <v>475</v>
      </c>
      <c r="F11" s="125" t="s">
        <v>475</v>
      </c>
      <c r="G11" s="125" t="s">
        <v>474</v>
      </c>
      <c r="H11" s="125" t="s">
        <v>474</v>
      </c>
      <c r="I11" s="121">
        <v>5</v>
      </c>
    </row>
    <row r="12" spans="1:9" ht="23.25" hidden="1" thickBot="1" x14ac:dyDescent="0.3">
      <c r="A12" s="15"/>
      <c r="B12" s="15"/>
      <c r="C12" s="126"/>
      <c r="D12" s="126"/>
      <c r="E12" s="118" t="s">
        <v>435</v>
      </c>
      <c r="F12" s="118" t="s">
        <v>437</v>
      </c>
      <c r="G12" s="118" t="s">
        <v>439</v>
      </c>
      <c r="H12" s="118" t="s">
        <v>453</v>
      </c>
      <c r="I12" s="127"/>
    </row>
    <row r="13" spans="1:9" ht="15.75" hidden="1" thickBot="1" x14ac:dyDescent="0.3">
      <c r="A13" s="15"/>
      <c r="B13" s="15"/>
      <c r="C13" s="15"/>
      <c r="D13" s="15"/>
      <c r="E13" s="128"/>
      <c r="F13" s="128"/>
      <c r="G13" s="128"/>
      <c r="H13" s="128"/>
      <c r="I13" s="92"/>
    </row>
    <row r="14" spans="1:9" ht="18" x14ac:dyDescent="0.25">
      <c r="A14" s="914" t="s">
        <v>6</v>
      </c>
      <c r="B14" s="915"/>
      <c r="C14" s="915"/>
      <c r="D14" s="915"/>
      <c r="E14" s="915"/>
      <c r="F14" s="915"/>
      <c r="G14" s="915"/>
      <c r="H14" s="916"/>
      <c r="I14" s="89"/>
    </row>
    <row r="15" spans="1:9" ht="18" x14ac:dyDescent="0.25">
      <c r="A15" s="917" t="s">
        <v>827</v>
      </c>
      <c r="B15" s="918"/>
      <c r="C15" s="918"/>
      <c r="D15" s="918"/>
      <c r="E15" s="918"/>
      <c r="F15" s="918"/>
      <c r="G15" s="918"/>
      <c r="H15" s="919"/>
      <c r="I15" s="89"/>
    </row>
    <row r="16" spans="1:9" ht="18.75" thickBot="1" x14ac:dyDescent="0.3">
      <c r="A16" s="920" t="s">
        <v>415</v>
      </c>
      <c r="B16" s="921"/>
      <c r="C16" s="921"/>
      <c r="D16" s="921"/>
      <c r="E16" s="921"/>
      <c r="F16" s="921"/>
      <c r="G16" s="921"/>
      <c r="H16" s="922"/>
      <c r="I16" s="89"/>
    </row>
    <row r="17" spans="1:9" ht="6" customHeight="1" thickBot="1" x14ac:dyDescent="0.3">
      <c r="A17" s="89"/>
      <c r="B17" s="90"/>
      <c r="C17" s="90"/>
      <c r="D17" s="90"/>
      <c r="E17" s="90"/>
      <c r="F17" s="90"/>
      <c r="G17" s="90"/>
      <c r="H17" s="94"/>
      <c r="I17" s="89"/>
    </row>
    <row r="18" spans="1:9" ht="45.75" customHeight="1" thickBot="1" x14ac:dyDescent="0.3">
      <c r="A18" s="941" t="s">
        <v>357</v>
      </c>
      <c r="B18" s="943"/>
      <c r="C18" s="1159" t="str">
        <f>PRESUPUESTO!B5</f>
        <v>MANTENIMIENTO PREVENTIVO Y CORRECTIVO DE LOS TANQUES DE AGUA PARA LA INFRAESTRUCTURA INSTITUCIONAL SEGÚN REQUERIMIENTO DEL MUNICIPIO DE ENVIGADO</v>
      </c>
      <c r="D18" s="1010"/>
      <c r="E18" s="1010"/>
      <c r="F18" s="1010"/>
      <c r="G18" s="1010"/>
      <c r="H18" s="1011"/>
      <c r="I18" s="89"/>
    </row>
    <row r="19" spans="1:9" ht="6" customHeight="1" thickBot="1" x14ac:dyDescent="0.3">
      <c r="A19" s="89"/>
      <c r="B19" s="90"/>
      <c r="C19" s="90"/>
      <c r="D19" s="90"/>
      <c r="E19" s="90"/>
      <c r="F19" s="90"/>
      <c r="G19" s="90"/>
      <c r="H19" s="94"/>
      <c r="I19" s="89"/>
    </row>
    <row r="20" spans="1:9" ht="37.5" customHeight="1" thickBot="1" x14ac:dyDescent="0.3">
      <c r="A20" s="926" t="s">
        <v>537</v>
      </c>
      <c r="B20" s="927"/>
      <c r="C20" s="927"/>
      <c r="D20" s="927"/>
      <c r="E20" s="927"/>
      <c r="F20" s="927"/>
      <c r="G20" s="927"/>
      <c r="H20" s="928"/>
      <c r="I20" s="93"/>
    </row>
    <row r="21" spans="1:9" ht="22.5" x14ac:dyDescent="0.25">
      <c r="A21" s="971" t="s">
        <v>417</v>
      </c>
      <c r="B21" s="178" t="s">
        <v>477</v>
      </c>
      <c r="C21" s="179" t="s">
        <v>478</v>
      </c>
      <c r="D21" s="180">
        <f>+'ARU DEFINITIVO'!D9</f>
        <v>125816171</v>
      </c>
      <c r="E21" s="131" t="s">
        <v>479</v>
      </c>
      <c r="F21" s="996" t="s">
        <v>480</v>
      </c>
      <c r="G21" s="996"/>
      <c r="H21" s="997"/>
      <c r="I21" s="114"/>
    </row>
    <row r="22" spans="1:9" ht="22.5" x14ac:dyDescent="0.25">
      <c r="A22" s="985"/>
      <c r="B22" s="181" t="s">
        <v>481</v>
      </c>
      <c r="C22" s="182" t="s">
        <v>482</v>
      </c>
      <c r="D22" s="183">
        <f>'6.2 Calculo Naturaleza'!F31</f>
        <v>16130658.683840513</v>
      </c>
      <c r="E22" s="134" t="s">
        <v>483</v>
      </c>
      <c r="F22" s="998" t="s">
        <v>424</v>
      </c>
      <c r="G22" s="998"/>
      <c r="H22" s="999"/>
      <c r="I22" s="114"/>
    </row>
    <row r="23" spans="1:9" ht="22.5" x14ac:dyDescent="0.25">
      <c r="A23" s="985"/>
      <c r="B23" s="181" t="s">
        <v>484</v>
      </c>
      <c r="C23" s="182" t="s">
        <v>485</v>
      </c>
      <c r="D23" s="135">
        <f>+D22/D21</f>
        <v>0.12820815127047946</v>
      </c>
      <c r="E23" s="136" t="s">
        <v>433</v>
      </c>
      <c r="F23" s="136" t="s">
        <v>443</v>
      </c>
      <c r="G23" s="1000" t="s">
        <v>417</v>
      </c>
      <c r="H23" s="1001"/>
      <c r="I23" s="114"/>
    </row>
    <row r="24" spans="1:9" ht="22.5" x14ac:dyDescent="0.25">
      <c r="A24" s="985"/>
      <c r="B24" s="181" t="s">
        <v>486</v>
      </c>
      <c r="C24" s="182" t="s">
        <v>487</v>
      </c>
      <c r="D24" s="184">
        <f>+VLOOKUP(E24,C2:D5,2,FALSE)</f>
        <v>0.2</v>
      </c>
      <c r="E24" s="1002" t="s">
        <v>437</v>
      </c>
      <c r="F24" s="1002" t="str">
        <f>+IF(D23&lt;=0.05,"BAJO",IF(AND(D23&gt;0.05,D23&lt;=0.15),"MEDIO - BAJO",IF(AND(D23&gt;0.15,D23&lt;=0.3),"MEDIO - ALTO","ALTO")))</f>
        <v>MEDIO - BAJO</v>
      </c>
      <c r="G24" s="1157" t="str">
        <f>+IF(G4&lt;=10,"ACEPTABLE",IF(OR(G4=15,G4=20),"TOLERABLE",IF(OR(G4=30,G4=40),"MODERADO",IF(G4=60,"IMPORTANTE",IF(G4&gt;=80,"INACEPTABLE","NO EXISTE")))))</f>
        <v>TOLERABLE</v>
      </c>
      <c r="H24" s="1158"/>
      <c r="I24" s="114"/>
    </row>
    <row r="25" spans="1:9" ht="22.5" x14ac:dyDescent="0.25">
      <c r="A25" s="985"/>
      <c r="B25" s="181" t="s">
        <v>488</v>
      </c>
      <c r="C25" s="182" t="s">
        <v>489</v>
      </c>
      <c r="D25" s="183">
        <f>+D22*D24</f>
        <v>3226131.7367681027</v>
      </c>
      <c r="E25" s="1002"/>
      <c r="F25" s="1002"/>
      <c r="G25" s="1157"/>
      <c r="H25" s="1158"/>
      <c r="I25" s="114"/>
    </row>
    <row r="26" spans="1:9" ht="15.75" x14ac:dyDescent="0.25">
      <c r="A26" s="985"/>
      <c r="B26" s="137"/>
      <c r="C26" s="138"/>
      <c r="D26" s="138"/>
      <c r="E26" s="139"/>
      <c r="F26" s="139"/>
      <c r="G26" s="185"/>
      <c r="H26" s="186"/>
      <c r="I26" s="114"/>
    </row>
    <row r="27" spans="1:9" x14ac:dyDescent="0.25">
      <c r="A27" s="985"/>
      <c r="B27" s="1005" t="s">
        <v>490</v>
      </c>
      <c r="C27" s="1006"/>
      <c r="D27" s="1006"/>
      <c r="E27" s="1006"/>
      <c r="F27" s="1006"/>
      <c r="G27" s="1006"/>
      <c r="H27" s="1007"/>
      <c r="I27" s="114"/>
    </row>
    <row r="28" spans="1:9" ht="65.25" customHeight="1" thickBot="1" x14ac:dyDescent="0.3">
      <c r="A28" s="986"/>
      <c r="B28" s="993" t="s">
        <v>538</v>
      </c>
      <c r="C28" s="994"/>
      <c r="D28" s="994"/>
      <c r="E28" s="994"/>
      <c r="F28" s="994"/>
      <c r="G28" s="994"/>
      <c r="H28" s="995"/>
      <c r="I28" s="114"/>
    </row>
    <row r="29" spans="1:9" ht="30.75" customHeight="1" x14ac:dyDescent="0.25">
      <c r="A29" s="971" t="s">
        <v>492</v>
      </c>
      <c r="B29" s="974" t="s">
        <v>493</v>
      </c>
      <c r="C29" s="975"/>
      <c r="D29" s="975"/>
      <c r="E29" s="975"/>
      <c r="F29" s="975"/>
      <c r="G29" s="975"/>
      <c r="H29" s="976"/>
      <c r="I29" s="114"/>
    </row>
    <row r="30" spans="1:9" x14ac:dyDescent="0.25">
      <c r="A30" s="985"/>
      <c r="B30" s="990" t="s">
        <v>539</v>
      </c>
      <c r="C30" s="991"/>
      <c r="D30" s="991"/>
      <c r="E30" s="991"/>
      <c r="F30" s="991"/>
      <c r="G30" s="991"/>
      <c r="H30" s="992"/>
      <c r="I30" s="114"/>
    </row>
    <row r="31" spans="1:9" x14ac:dyDescent="0.25">
      <c r="A31" s="985"/>
      <c r="B31" s="990" t="s">
        <v>540</v>
      </c>
      <c r="C31" s="991"/>
      <c r="D31" s="991"/>
      <c r="E31" s="991"/>
      <c r="F31" s="991"/>
      <c r="G31" s="991"/>
      <c r="H31" s="992"/>
      <c r="I31" s="114"/>
    </row>
    <row r="32" spans="1:9" ht="15.75" thickBot="1" x14ac:dyDescent="0.3">
      <c r="A32" s="986"/>
      <c r="B32" s="993"/>
      <c r="C32" s="994"/>
      <c r="D32" s="994"/>
      <c r="E32" s="994"/>
      <c r="F32" s="994"/>
      <c r="G32" s="994"/>
      <c r="H32" s="995"/>
      <c r="I32" s="114"/>
    </row>
    <row r="33" spans="1:9" ht="31.5" customHeight="1" x14ac:dyDescent="0.25">
      <c r="A33" s="971" t="s">
        <v>497</v>
      </c>
      <c r="B33" s="974" t="s">
        <v>498</v>
      </c>
      <c r="C33" s="975"/>
      <c r="D33" s="975"/>
      <c r="E33" s="975"/>
      <c r="F33" s="975"/>
      <c r="G33" s="975"/>
      <c r="H33" s="976"/>
      <c r="I33" s="114"/>
    </row>
    <row r="34" spans="1:9" ht="18" x14ac:dyDescent="0.25">
      <c r="A34" s="972"/>
      <c r="B34" s="977" t="s">
        <v>499</v>
      </c>
      <c r="C34" s="978"/>
      <c r="D34" s="979"/>
      <c r="E34" s="980" t="s">
        <v>500</v>
      </c>
      <c r="F34" s="980"/>
      <c r="G34" s="980"/>
      <c r="H34" s="981"/>
      <c r="I34" s="114"/>
    </row>
    <row r="35" spans="1:9" ht="34.5" customHeight="1" x14ac:dyDescent="0.25">
      <c r="A35" s="972"/>
      <c r="B35" s="962"/>
      <c r="C35" s="963"/>
      <c r="D35" s="964"/>
      <c r="E35" s="982" t="s">
        <v>541</v>
      </c>
      <c r="F35" s="982"/>
      <c r="G35" s="982"/>
      <c r="H35" s="983"/>
      <c r="I35" s="114"/>
    </row>
    <row r="36" spans="1:9" x14ac:dyDescent="0.25">
      <c r="A36" s="972"/>
      <c r="B36" s="962"/>
      <c r="C36" s="963"/>
      <c r="D36" s="964"/>
      <c r="E36" s="965" t="s">
        <v>542</v>
      </c>
      <c r="F36" s="965"/>
      <c r="G36" s="965"/>
      <c r="H36" s="966"/>
      <c r="I36" s="114"/>
    </row>
    <row r="37" spans="1:9" ht="15.75" thickBot="1" x14ac:dyDescent="0.3">
      <c r="A37" s="973"/>
      <c r="B37" s="967"/>
      <c r="C37" s="968"/>
      <c r="D37" s="969"/>
      <c r="E37" s="967"/>
      <c r="F37" s="968"/>
      <c r="G37" s="968"/>
      <c r="H37" s="970"/>
      <c r="I37" s="114"/>
    </row>
    <row r="38" spans="1:9" ht="30" customHeight="1" thickBot="1" x14ac:dyDescent="0.3">
      <c r="A38" s="952" t="s">
        <v>504</v>
      </c>
      <c r="B38" s="953"/>
      <c r="C38" s="953"/>
      <c r="D38" s="953"/>
      <c r="E38" s="953"/>
      <c r="F38" s="954" t="s">
        <v>516</v>
      </c>
      <c r="G38" s="954"/>
      <c r="H38" s="955"/>
      <c r="I38" s="114"/>
    </row>
    <row r="39" spans="1:9" x14ac:dyDescent="0.25">
      <c r="A39" s="142"/>
      <c r="B39" s="142"/>
      <c r="C39" s="114"/>
      <c r="D39" s="114"/>
      <c r="E39" s="114"/>
      <c r="F39" s="114"/>
      <c r="G39" s="114"/>
      <c r="H39" s="114"/>
      <c r="I39" s="114"/>
    </row>
    <row r="40" spans="1:9" x14ac:dyDescent="0.25">
      <c r="A40" s="142"/>
      <c r="B40" s="87"/>
      <c r="C40" s="114"/>
      <c r="D40" s="114"/>
      <c r="E40" s="88" t="s">
        <v>396</v>
      </c>
      <c r="F40" s="16"/>
      <c r="G40" s="17"/>
      <c r="H40" s="114"/>
      <c r="I40" s="114"/>
    </row>
    <row r="41" spans="1:9" x14ac:dyDescent="0.25">
      <c r="A41" s="142"/>
      <c r="B41" s="227"/>
      <c r="C41" s="111"/>
      <c r="D41" s="114"/>
      <c r="E41" s="956"/>
      <c r="F41" s="957"/>
      <c r="G41" s="958"/>
      <c r="H41" s="114"/>
      <c r="I41" s="114"/>
    </row>
    <row r="42" spans="1:9" x14ac:dyDescent="0.25">
      <c r="A42" s="142"/>
      <c r="B42" s="227"/>
      <c r="C42" s="111"/>
      <c r="D42" s="114"/>
      <c r="E42" s="956"/>
      <c r="F42" s="957"/>
      <c r="G42" s="958"/>
      <c r="H42" s="114"/>
      <c r="I42" s="114"/>
    </row>
    <row r="43" spans="1:9" x14ac:dyDescent="0.25">
      <c r="A43" s="142"/>
      <c r="B43" s="87"/>
      <c r="C43" s="19"/>
      <c r="D43" s="114"/>
      <c r="E43" s="956"/>
      <c r="F43" s="957"/>
      <c r="G43" s="958"/>
      <c r="H43" s="114"/>
      <c r="I43" s="114"/>
    </row>
    <row r="44" spans="1:9" x14ac:dyDescent="0.25">
      <c r="A44" s="142"/>
      <c r="B44" s="87"/>
      <c r="C44" s="228"/>
      <c r="D44" s="114"/>
      <c r="E44" s="956"/>
      <c r="F44" s="957"/>
      <c r="G44" s="958"/>
      <c r="H44" s="114"/>
      <c r="I44" s="114"/>
    </row>
    <row r="45" spans="1:9" x14ac:dyDescent="0.25">
      <c r="A45" s="142"/>
      <c r="B45" s="19"/>
      <c r="C45" s="19"/>
      <c r="D45" s="114"/>
      <c r="E45" s="956"/>
      <c r="F45" s="957"/>
      <c r="G45" s="958"/>
      <c r="H45" s="114"/>
      <c r="I45" s="114"/>
    </row>
    <row r="46" spans="1:9" x14ac:dyDescent="0.25">
      <c r="A46" s="142"/>
      <c r="B46" s="19"/>
      <c r="C46" s="114"/>
      <c r="D46" s="114"/>
      <c r="E46" s="956"/>
      <c r="F46" s="957"/>
      <c r="G46" s="958"/>
      <c r="H46" s="114"/>
      <c r="I46" s="114"/>
    </row>
    <row r="47" spans="1:9" x14ac:dyDescent="0.25">
      <c r="A47" s="142"/>
      <c r="B47" s="111"/>
      <c r="C47" s="111"/>
      <c r="D47" s="114"/>
      <c r="E47" s="956"/>
      <c r="F47" s="957"/>
      <c r="G47" s="958"/>
      <c r="H47" s="114"/>
      <c r="I47" s="114"/>
    </row>
    <row r="48" spans="1:9" x14ac:dyDescent="0.25">
      <c r="A48" s="142"/>
      <c r="B48" s="111"/>
      <c r="C48" s="111"/>
      <c r="D48" s="114"/>
      <c r="E48" s="956"/>
      <c r="F48" s="957"/>
      <c r="G48" s="958"/>
      <c r="H48" s="114"/>
      <c r="I48" s="114"/>
    </row>
    <row r="49" spans="1:9" x14ac:dyDescent="0.25">
      <c r="A49" s="142"/>
      <c r="B49" s="19"/>
      <c r="C49" s="19"/>
      <c r="D49" s="114"/>
      <c r="E49" s="956"/>
      <c r="F49" s="957"/>
      <c r="G49" s="958"/>
      <c r="H49" s="114"/>
      <c r="I49" s="114"/>
    </row>
    <row r="50" spans="1:9" x14ac:dyDescent="0.25">
      <c r="A50" s="142"/>
      <c r="B50" s="19"/>
      <c r="C50" s="228"/>
      <c r="D50" s="114"/>
      <c r="E50" s="956"/>
      <c r="F50" s="957"/>
      <c r="G50" s="958"/>
      <c r="H50" s="114"/>
      <c r="I50" s="114"/>
    </row>
    <row r="51" spans="1:9" x14ac:dyDescent="0.25">
      <c r="A51" s="142"/>
      <c r="B51" s="19"/>
      <c r="C51" s="19"/>
      <c r="D51" s="114"/>
      <c r="E51" s="956"/>
      <c r="F51" s="957"/>
      <c r="G51" s="958"/>
      <c r="H51" s="114"/>
      <c r="I51" s="114"/>
    </row>
    <row r="52" spans="1:9" x14ac:dyDescent="0.25">
      <c r="A52" s="142"/>
      <c r="B52" s="19"/>
      <c r="C52" s="114"/>
      <c r="D52" s="114"/>
      <c r="E52" s="956"/>
      <c r="F52" s="957"/>
      <c r="G52" s="958"/>
      <c r="H52" s="114"/>
      <c r="I52" s="114"/>
    </row>
    <row r="53" spans="1:9" x14ac:dyDescent="0.25">
      <c r="A53" s="142"/>
      <c r="B53" s="111"/>
      <c r="C53" s="111"/>
      <c r="D53" s="114"/>
      <c r="E53" s="956"/>
      <c r="F53" s="957"/>
      <c r="G53" s="958"/>
      <c r="H53" s="114"/>
      <c r="I53" s="114"/>
    </row>
    <row r="54" spans="1:9" x14ac:dyDescent="0.25">
      <c r="A54" s="142"/>
      <c r="B54" s="111"/>
      <c r="C54" s="111"/>
      <c r="D54" s="114"/>
      <c r="E54" s="956"/>
      <c r="F54" s="957"/>
      <c r="G54" s="958"/>
      <c r="H54" s="114"/>
      <c r="I54" s="114"/>
    </row>
    <row r="55" spans="1:9" x14ac:dyDescent="0.25">
      <c r="A55" s="142"/>
      <c r="B55" s="19"/>
      <c r="C55" s="19"/>
      <c r="D55" s="114"/>
      <c r="E55" s="956"/>
      <c r="F55" s="957"/>
      <c r="G55" s="958"/>
      <c r="H55" s="114"/>
      <c r="I55" s="114"/>
    </row>
    <row r="56" spans="1:9" x14ac:dyDescent="0.25">
      <c r="A56" s="142"/>
      <c r="B56" s="19"/>
      <c r="C56" s="228"/>
      <c r="D56" s="114"/>
      <c r="E56" s="959"/>
      <c r="F56" s="960"/>
      <c r="G56" s="961"/>
      <c r="H56" s="114"/>
      <c r="I56" s="114"/>
    </row>
  </sheetData>
  <mergeCells count="34">
    <mergeCell ref="B1:B11"/>
    <mergeCell ref="A14:H14"/>
    <mergeCell ref="A15:H15"/>
    <mergeCell ref="A16:H16"/>
    <mergeCell ref="A18:B18"/>
    <mergeCell ref="C18:H18"/>
    <mergeCell ref="A20:H20"/>
    <mergeCell ref="A21:A28"/>
    <mergeCell ref="F21:H21"/>
    <mergeCell ref="F22:H22"/>
    <mergeCell ref="G23:H23"/>
    <mergeCell ref="E24:E25"/>
    <mergeCell ref="F24:F25"/>
    <mergeCell ref="G24:H25"/>
    <mergeCell ref="B27:H27"/>
    <mergeCell ref="B28:H28"/>
    <mergeCell ref="A29:A32"/>
    <mergeCell ref="B29:H29"/>
    <mergeCell ref="B30:H30"/>
    <mergeCell ref="B31:H31"/>
    <mergeCell ref="B32:H32"/>
    <mergeCell ref="E41:G56"/>
    <mergeCell ref="E35:H35"/>
    <mergeCell ref="B36:D36"/>
    <mergeCell ref="E36:H36"/>
    <mergeCell ref="B37:D37"/>
    <mergeCell ref="E37:H37"/>
    <mergeCell ref="A38:E38"/>
    <mergeCell ref="F38:H38"/>
    <mergeCell ref="A33:A37"/>
    <mergeCell ref="B33:H33"/>
    <mergeCell ref="B34:D34"/>
    <mergeCell ref="E34:H34"/>
    <mergeCell ref="B35:D35"/>
  </mergeCells>
  <conditionalFormatting sqref="F38:H38">
    <cfRule type="cellIs" dxfId="11" priority="4" stopIfTrue="1" operator="equal">
      <formula>"EL CONTRATANTE"</formula>
    </cfRule>
    <cfRule type="cellIs" dxfId="10" priority="5" stopIfTrue="1" operator="equal">
      <formula>"EL CONTRATISTA"</formula>
    </cfRule>
    <cfRule type="cellIs" dxfId="9" priority="6" stopIfTrue="1" operator="equal">
      <formula>"AMBOS"</formula>
    </cfRule>
  </conditionalFormatting>
  <conditionalFormatting sqref="G24:H25">
    <cfRule type="expression" dxfId="8" priority="1" stopIfTrue="1">
      <formula>IF($G$24="INACEPTABLE",TRUE,FALSE)</formula>
    </cfRule>
    <cfRule type="expression" dxfId="7" priority="2" stopIfTrue="1">
      <formula>IF(OR($G$24="MODERADO",$G$24="IMPORTANTE"),TRUE,FALSE)</formula>
    </cfRule>
    <cfRule type="expression" dxfId="6" priority="3" stopIfTrue="1">
      <formula>IF(OR($G$24="ACEPTABLE",$G$24="TOLERABLE"),TRUE,FALSE)</formula>
    </cfRule>
  </conditionalFormatting>
  <dataValidations count="12">
    <dataValidation errorStyle="information" allowBlank="1" showInputMessage="1" showErrorMessage="1" errorTitle="IMPACTO" error="Escoja una de las siguientes opciones:_x000a__x000a_LEVE_x000a_MODERADO_x000a_CATASTROFICO_x000a_" sqref="F24:F25"/>
    <dataValidation type="list" allowBlank="1" showInputMessage="1" showErrorMessage="1" sqref="E22">
      <formula1>"ANTES,DURANTE,DESPUÉS"</formula1>
    </dataValidation>
    <dataValidation allowBlank="1" showInputMessage="1" showErrorMessage="1" promptTitle="NOMBRE CORTO DEL RIESGO" prompt="Los riesgos no son mas que posibles problemas con cosecuencias preocupantes para el contrato o para la Empresa." sqref="E21:F21"/>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ASIGNACIÓN DE RIESGOS" prompt="Para cada medida de tratamiento, determine las actividades del PHVA, en que debe participar EL METRO y EL CONTRATISTA para administrar el riesgo." sqref="B33:H33"/>
    <dataValidation allowBlank="1" showInputMessage="1" showErrorMessage="1" promptTitle="CAUSAS" prompt="Describa las principales causas por las cuales se puede presentar el riesgo que ha sido considerado." sqref="B29:H29"/>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ASIGNACIÓN DE RIESGOS" prompt="Determine quien debe asumir las consecuencias y cual es la participación de las partes en la administración del riesgo" sqref="A38"/>
    <dataValidation type="list" allowBlank="1" showInputMessage="1" showErrorMessage="1" sqref="F38:H38">
      <formula1>"EL CONTRATANTE,EL CONTRATISTA,AMBOS"</formula1>
    </dataValidation>
    <dataValidation allowBlank="1" showInputMessage="1" showErrorMessage="1" promptTitle="SEVERIDAD" prompt="Estime la severidad que tendrían las consecuencias  del riesgo si llegara a ocurrir" sqref="F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RIESGO" prompt="Clasificación del riesgo según la combinación entre Probabilidad y Severidad" sqref="G23"/>
  </dataValidations>
  <pageMargins left="0.7" right="0.7" top="0.75" bottom="0.75" header="0.3" footer="0.3"/>
  <pageSetup scale="7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view="pageBreakPreview" zoomScaleNormal="100" zoomScaleSheetLayoutView="100" workbookViewId="0">
      <selection activeCell="A3" sqref="A3:G3"/>
    </sheetView>
  </sheetViews>
  <sheetFormatPr baseColWidth="10" defaultColWidth="11.42578125" defaultRowHeight="15" x14ac:dyDescent="0.25"/>
  <cols>
    <col min="1" max="1" width="13.85546875" customWidth="1" collapsed="1"/>
    <col min="2" max="3" width="15.140625" customWidth="1" collapsed="1"/>
    <col min="4" max="4" width="11.42578125" collapsed="1"/>
    <col min="5" max="5" width="46" customWidth="1" collapsed="1"/>
    <col min="6" max="16384" width="11.42578125" collapsed="1"/>
  </cols>
  <sheetData>
    <row r="1" spans="1:7" ht="22.5" customHeight="1" x14ac:dyDescent="0.25">
      <c r="A1" s="914" t="s">
        <v>6</v>
      </c>
      <c r="B1" s="915"/>
      <c r="C1" s="915"/>
      <c r="D1" s="915"/>
      <c r="E1" s="915"/>
      <c r="F1" s="915"/>
      <c r="G1" s="915"/>
    </row>
    <row r="2" spans="1:7" ht="21.75" customHeight="1" x14ac:dyDescent="0.25">
      <c r="A2" s="917" t="s">
        <v>827</v>
      </c>
      <c r="B2" s="918"/>
      <c r="C2" s="918"/>
      <c r="D2" s="918"/>
      <c r="E2" s="918"/>
      <c r="F2" s="918"/>
      <c r="G2" s="918"/>
    </row>
    <row r="3" spans="1:7" ht="27" customHeight="1" thickBot="1" x14ac:dyDescent="0.3">
      <c r="A3" s="920" t="s">
        <v>415</v>
      </c>
      <c r="B3" s="921"/>
      <c r="C3" s="921"/>
      <c r="D3" s="921"/>
      <c r="E3" s="921"/>
      <c r="F3" s="921"/>
      <c r="G3" s="921"/>
    </row>
    <row r="4" spans="1:7" ht="6" customHeight="1" thickBot="1" x14ac:dyDescent="0.3">
      <c r="A4" s="89"/>
      <c r="B4" s="90"/>
      <c r="C4" s="90"/>
      <c r="D4" s="90"/>
      <c r="E4" s="90"/>
      <c r="F4" s="90"/>
      <c r="G4" s="90"/>
    </row>
    <row r="5" spans="1:7" ht="27" customHeight="1" thickBot="1" x14ac:dyDescent="0.3">
      <c r="A5" s="187" t="s">
        <v>357</v>
      </c>
      <c r="B5" s="1165" t="str">
        <f>PRESUPUESTO!B5:F5</f>
        <v>MANTENIMIENTO PREVENTIVO Y CORRECTIVO DE LOS TANQUES DE AGUA PARA LA INFRAESTRUCTURA INSTITUCIONAL SEGÚN REQUERIMIENTO DEL MUNICIPIO DE ENVIGADO</v>
      </c>
      <c r="C5" s="1166"/>
      <c r="D5" s="1166"/>
      <c r="E5" s="1166"/>
      <c r="F5" s="1166"/>
      <c r="G5" s="1166"/>
    </row>
    <row r="6" spans="1:7" ht="6" customHeight="1" thickBot="1" x14ac:dyDescent="0.3">
      <c r="A6" s="89"/>
      <c r="B6" s="90"/>
      <c r="C6" s="90"/>
      <c r="D6" s="90"/>
      <c r="E6" s="90"/>
      <c r="F6" s="90"/>
      <c r="G6" s="90"/>
    </row>
    <row r="7" spans="1:7" ht="53.25" customHeight="1" thickBot="1" x14ac:dyDescent="0.3">
      <c r="A7" s="926" t="s">
        <v>543</v>
      </c>
      <c r="B7" s="927"/>
      <c r="C7" s="927"/>
      <c r="D7" s="927"/>
      <c r="E7" s="927"/>
      <c r="F7" s="927"/>
      <c r="G7" s="927"/>
    </row>
    <row r="8" spans="1:7" x14ac:dyDescent="0.25">
      <c r="A8" s="15"/>
      <c r="B8" s="15"/>
      <c r="C8" s="15"/>
      <c r="D8" s="15"/>
      <c r="E8" s="15"/>
      <c r="F8" s="15"/>
      <c r="G8" s="15"/>
    </row>
    <row r="9" spans="1:7" ht="30.75" customHeight="1" x14ac:dyDescent="0.25">
      <c r="A9" s="1160" t="s">
        <v>823</v>
      </c>
      <c r="B9" s="1161"/>
      <c r="C9" s="1162"/>
      <c r="D9" s="267"/>
      <c r="E9" s="563"/>
      <c r="F9" s="563"/>
      <c r="G9" s="267"/>
    </row>
    <row r="10" spans="1:7" ht="60" x14ac:dyDescent="0.25">
      <c r="A10" s="564" t="s">
        <v>530</v>
      </c>
      <c r="B10" s="564" t="s">
        <v>544</v>
      </c>
      <c r="C10" s="564" t="s">
        <v>545</v>
      </c>
      <c r="D10" s="267"/>
      <c r="E10" s="1160" t="s">
        <v>546</v>
      </c>
      <c r="F10" s="1161"/>
      <c r="G10" s="1162"/>
    </row>
    <row r="11" spans="1:7" x14ac:dyDescent="0.25">
      <c r="A11" s="352" t="s">
        <v>547</v>
      </c>
      <c r="B11" s="569">
        <f>180*1.1</f>
        <v>198.00000000000003</v>
      </c>
      <c r="C11" s="569">
        <v>11040</v>
      </c>
      <c r="D11" s="267"/>
      <c r="E11" s="573" t="s">
        <v>548</v>
      </c>
      <c r="F11" s="574">
        <v>365</v>
      </c>
      <c r="G11" s="575">
        <v>1</v>
      </c>
    </row>
    <row r="12" spans="1:7" x14ac:dyDescent="0.25">
      <c r="A12" s="352" t="s">
        <v>549</v>
      </c>
      <c r="B12" s="569">
        <f>1710*1.1</f>
        <v>1881.0000000000002</v>
      </c>
      <c r="C12" s="569">
        <v>19320</v>
      </c>
      <c r="D12" s="267"/>
      <c r="E12" s="573" t="s">
        <v>550</v>
      </c>
      <c r="F12" s="574">
        <v>289</v>
      </c>
      <c r="G12" s="575">
        <f>+F12/F11</f>
        <v>0.79178082191780819</v>
      </c>
    </row>
    <row r="13" spans="1:7" x14ac:dyDescent="0.25">
      <c r="A13" s="352" t="s">
        <v>551</v>
      </c>
      <c r="B13" s="569">
        <f>1200*1.1</f>
        <v>1320</v>
      </c>
      <c r="C13" s="569">
        <v>16740</v>
      </c>
      <c r="D13" s="267"/>
      <c r="E13" s="573" t="s">
        <v>552</v>
      </c>
      <c r="F13" s="576">
        <f>ROUND((B23/F11)/60,2)</f>
        <v>0.95</v>
      </c>
      <c r="G13" s="575">
        <f>+F13/11</f>
        <v>8.6363636363636365E-2</v>
      </c>
    </row>
    <row r="14" spans="1:7" x14ac:dyDescent="0.25">
      <c r="A14" s="352" t="s">
        <v>553</v>
      </c>
      <c r="B14" s="569">
        <f>2400*1.1</f>
        <v>2640</v>
      </c>
      <c r="C14" s="569">
        <v>20700</v>
      </c>
      <c r="D14" s="267"/>
      <c r="E14" s="573" t="s">
        <v>777</v>
      </c>
      <c r="F14" s="576">
        <f>+F13*2</f>
        <v>1.9</v>
      </c>
      <c r="G14" s="575">
        <f>+(F14/60)/11</f>
        <v>2.8787878787878782E-3</v>
      </c>
    </row>
    <row r="15" spans="1:7" x14ac:dyDescent="0.25">
      <c r="A15" s="352" t="s">
        <v>554</v>
      </c>
      <c r="B15" s="569">
        <f>450*1.1</f>
        <v>495.00000000000006</v>
      </c>
      <c r="C15" s="569">
        <v>7110</v>
      </c>
      <c r="D15" s="267"/>
      <c r="E15" s="573" t="s">
        <v>555</v>
      </c>
      <c r="F15" s="576">
        <f>30*'ARU DEFINITIVO'!D11</f>
        <v>30</v>
      </c>
      <c r="G15" s="575" t="s">
        <v>556</v>
      </c>
    </row>
    <row r="16" spans="1:7" x14ac:dyDescent="0.25">
      <c r="A16" s="352" t="s">
        <v>557</v>
      </c>
      <c r="B16" s="569">
        <f>10200*1.1</f>
        <v>11220</v>
      </c>
      <c r="C16" s="569">
        <v>20700</v>
      </c>
      <c r="D16" s="267"/>
      <c r="E16" s="573" t="s">
        <v>558</v>
      </c>
      <c r="F16" s="576">
        <f>+F14*F15</f>
        <v>57</v>
      </c>
      <c r="G16" s="575" t="s">
        <v>559</v>
      </c>
    </row>
    <row r="17" spans="1:7" x14ac:dyDescent="0.25">
      <c r="A17" s="352" t="s">
        <v>560</v>
      </c>
      <c r="B17" s="569">
        <f>590*1.1</f>
        <v>649</v>
      </c>
      <c r="C17" s="569">
        <v>21190</v>
      </c>
      <c r="D17" s="267"/>
      <c r="E17" s="573" t="s">
        <v>561</v>
      </c>
      <c r="F17" s="576">
        <f>+F16/10</f>
        <v>5.7</v>
      </c>
      <c r="G17" s="575" t="s">
        <v>556</v>
      </c>
    </row>
    <row r="18" spans="1:7" x14ac:dyDescent="0.25">
      <c r="A18" s="352" t="s">
        <v>562</v>
      </c>
      <c r="B18" s="569">
        <f>470*1.1</f>
        <v>517</v>
      </c>
      <c r="C18" s="569">
        <v>20615</v>
      </c>
      <c r="D18" s="267"/>
      <c r="E18" s="573" t="s">
        <v>563</v>
      </c>
      <c r="F18" s="576">
        <f>+F17/30</f>
        <v>0.19</v>
      </c>
      <c r="G18" s="575" t="s">
        <v>564</v>
      </c>
    </row>
    <row r="19" spans="1:7" x14ac:dyDescent="0.25">
      <c r="A19" s="352" t="s">
        <v>565</v>
      </c>
      <c r="B19" s="569">
        <f>650*1.15</f>
        <v>747.49999999999989</v>
      </c>
      <c r="C19" s="569">
        <v>19950</v>
      </c>
      <c r="D19" s="267"/>
      <c r="E19" s="267"/>
      <c r="F19" s="267"/>
      <c r="G19" s="267"/>
    </row>
    <row r="20" spans="1:7" x14ac:dyDescent="0.25">
      <c r="A20" s="352" t="s">
        <v>566</v>
      </c>
      <c r="B20" s="569">
        <f>160*1.1</f>
        <v>176</v>
      </c>
      <c r="C20" s="569">
        <v>3940</v>
      </c>
      <c r="D20" s="267"/>
      <c r="E20" s="267"/>
      <c r="F20" s="267"/>
      <c r="G20" s="267"/>
    </row>
    <row r="21" spans="1:7" x14ac:dyDescent="0.25">
      <c r="A21" s="352" t="s">
        <v>567</v>
      </c>
      <c r="B21" s="569">
        <f>385*1.1</f>
        <v>423.50000000000006</v>
      </c>
      <c r="C21" s="569">
        <v>12045</v>
      </c>
      <c r="D21" s="267"/>
      <c r="E21" s="565"/>
      <c r="F21" s="565"/>
      <c r="G21" s="267"/>
    </row>
    <row r="22" spans="1:7" x14ac:dyDescent="0.25">
      <c r="A22" s="352" t="s">
        <v>568</v>
      </c>
      <c r="B22" s="569">
        <f>480*1.1</f>
        <v>528</v>
      </c>
      <c r="C22" s="569">
        <v>20615</v>
      </c>
      <c r="D22" s="267"/>
      <c r="E22" s="565"/>
      <c r="F22" s="565"/>
      <c r="G22" s="267"/>
    </row>
    <row r="23" spans="1:7" ht="30" x14ac:dyDescent="0.25">
      <c r="A23" s="721" t="s">
        <v>569</v>
      </c>
      <c r="B23" s="570">
        <f>SUM(B11:B22)</f>
        <v>20795</v>
      </c>
      <c r="C23" s="570">
        <f>SUM(C11:C22)</f>
        <v>193965</v>
      </c>
      <c r="D23" s="267"/>
      <c r="E23" s="566"/>
      <c r="F23" s="566"/>
      <c r="G23" s="267"/>
    </row>
    <row r="24" spans="1:7" ht="30" x14ac:dyDescent="0.25">
      <c r="A24" s="722" t="s">
        <v>570</v>
      </c>
      <c r="B24" s="571">
        <f>+B23/60</f>
        <v>346.58333333333331</v>
      </c>
      <c r="C24" s="571">
        <f>+C23/60</f>
        <v>3232.75</v>
      </c>
      <c r="D24" s="267"/>
      <c r="E24" s="566"/>
      <c r="F24" s="566"/>
      <c r="G24" s="267"/>
    </row>
    <row r="25" spans="1:7" ht="59.25" x14ac:dyDescent="0.25">
      <c r="A25" s="567" t="s">
        <v>778</v>
      </c>
      <c r="B25" s="568">
        <f>+B24/11</f>
        <v>31.507575757575754</v>
      </c>
      <c r="C25" s="572"/>
      <c r="D25" s="267"/>
      <c r="E25" s="566"/>
      <c r="F25" s="566"/>
      <c r="G25" s="267"/>
    </row>
    <row r="26" spans="1:7" ht="24" customHeight="1" x14ac:dyDescent="0.25">
      <c r="A26" s="1163" t="s">
        <v>571</v>
      </c>
      <c r="B26" s="1163"/>
      <c r="C26" s="1163"/>
      <c r="D26" s="15"/>
      <c r="E26" s="15"/>
      <c r="F26" s="15"/>
      <c r="G26" s="15"/>
    </row>
    <row r="27" spans="1:7" x14ac:dyDescent="0.25">
      <c r="A27" s="15"/>
      <c r="B27" s="15"/>
      <c r="C27" s="15"/>
      <c r="D27" s="15"/>
      <c r="E27" s="15"/>
      <c r="F27" s="15"/>
      <c r="G27" s="15"/>
    </row>
    <row r="28" spans="1:7" x14ac:dyDescent="0.25">
      <c r="A28" s="87"/>
      <c r="B28" s="114"/>
      <c r="C28" s="114"/>
      <c r="D28" s="153" t="s">
        <v>396</v>
      </c>
      <c r="E28" s="188"/>
      <c r="F28" s="188"/>
      <c r="G28" s="16"/>
    </row>
    <row r="29" spans="1:7" x14ac:dyDescent="0.25">
      <c r="A29" s="227"/>
      <c r="B29" s="111"/>
      <c r="C29" s="111"/>
      <c r="D29" s="956"/>
      <c r="E29" s="957"/>
      <c r="F29" s="957"/>
      <c r="G29" s="957"/>
    </row>
    <row r="30" spans="1:7" x14ac:dyDescent="0.25">
      <c r="A30" s="227"/>
      <c r="B30" s="111"/>
      <c r="C30" s="111"/>
      <c r="D30" s="956"/>
      <c r="E30" s="957"/>
      <c r="F30" s="957"/>
      <c r="G30" s="957"/>
    </row>
    <row r="31" spans="1:7" x14ac:dyDescent="0.25">
      <c r="A31" s="87"/>
      <c r="B31" s="19"/>
      <c r="C31" s="19"/>
      <c r="D31" s="956"/>
      <c r="E31" s="957"/>
      <c r="F31" s="957"/>
      <c r="G31" s="957"/>
    </row>
    <row r="32" spans="1:7" x14ac:dyDescent="0.25">
      <c r="A32" s="87"/>
      <c r="B32" s="1164"/>
      <c r="C32" s="1164"/>
      <c r="D32" s="956"/>
      <c r="E32" s="957"/>
      <c r="F32" s="957"/>
      <c r="G32" s="957"/>
    </row>
    <row r="33" spans="1:7" x14ac:dyDescent="0.25">
      <c r="A33" s="19"/>
      <c r="B33" s="19"/>
      <c r="C33" s="19"/>
      <c r="D33" s="956"/>
      <c r="E33" s="957"/>
      <c r="F33" s="957"/>
      <c r="G33" s="957"/>
    </row>
    <row r="34" spans="1:7" x14ac:dyDescent="0.25">
      <c r="A34" s="19"/>
      <c r="B34" s="114"/>
      <c r="C34" s="114"/>
      <c r="D34" s="956"/>
      <c r="E34" s="957"/>
      <c r="F34" s="957"/>
      <c r="G34" s="957"/>
    </row>
  </sheetData>
  <mergeCells count="10">
    <mergeCell ref="A7:G7"/>
    <mergeCell ref="B5:G5"/>
    <mergeCell ref="A3:G3"/>
    <mergeCell ref="A2:G2"/>
    <mergeCell ref="A1:G1"/>
    <mergeCell ref="E10:G10"/>
    <mergeCell ref="A26:C26"/>
    <mergeCell ref="D29:G34"/>
    <mergeCell ref="B32:C32"/>
    <mergeCell ref="A9:C9"/>
  </mergeCells>
  <pageMargins left="0.7" right="0.7" top="0.75" bottom="0.75" header="0.3" footer="0.3"/>
  <pageSetup scale="6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BreakPreview" topLeftCell="A19" zoomScale="106" zoomScaleNormal="100" zoomScaleSheetLayoutView="106" workbookViewId="0">
      <selection activeCell="A3" sqref="A3:G3"/>
    </sheetView>
  </sheetViews>
  <sheetFormatPr baseColWidth="10" defaultColWidth="11.42578125" defaultRowHeight="15" x14ac:dyDescent="0.25"/>
  <cols>
    <col min="1" max="1" width="32.42578125" customWidth="1" collapsed="1"/>
    <col min="2" max="3" width="11.42578125" collapsed="1"/>
    <col min="4" max="4" width="18.42578125" customWidth="1" collapsed="1"/>
    <col min="5" max="5" width="15.42578125" customWidth="1" collapsed="1"/>
    <col min="6" max="6" width="17.28515625" bestFit="1" customWidth="1" collapsed="1"/>
    <col min="7" max="7" width="17.140625" customWidth="1" collapsed="1"/>
    <col min="8" max="16384" width="11.42578125" collapsed="1"/>
  </cols>
  <sheetData>
    <row r="1" spans="1:7" ht="18" x14ac:dyDescent="0.25">
      <c r="A1" s="914" t="s">
        <v>6</v>
      </c>
      <c r="B1" s="915"/>
      <c r="C1" s="915"/>
      <c r="D1" s="915"/>
      <c r="E1" s="915"/>
      <c r="F1" s="915"/>
      <c r="G1" s="916"/>
    </row>
    <row r="2" spans="1:7" ht="18" x14ac:dyDescent="0.25">
      <c r="A2" s="917" t="s">
        <v>827</v>
      </c>
      <c r="B2" s="918"/>
      <c r="C2" s="918"/>
      <c r="D2" s="918"/>
      <c r="E2" s="918"/>
      <c r="F2" s="918"/>
      <c r="G2" s="919"/>
    </row>
    <row r="3" spans="1:7" ht="18.75" thickBot="1" x14ac:dyDescent="0.3">
      <c r="A3" s="920" t="s">
        <v>415</v>
      </c>
      <c r="B3" s="921"/>
      <c r="C3" s="921"/>
      <c r="D3" s="921"/>
      <c r="E3" s="921"/>
      <c r="F3" s="921"/>
      <c r="G3" s="922"/>
    </row>
    <row r="4" spans="1:7" ht="6" customHeight="1" thickBot="1" x14ac:dyDescent="0.3">
      <c r="A4" s="89"/>
      <c r="B4" s="90"/>
      <c r="C4" s="90"/>
      <c r="D4" s="90"/>
      <c r="E4" s="90"/>
      <c r="F4" s="90"/>
      <c r="G4" s="94"/>
    </row>
    <row r="5" spans="1:7" ht="42" customHeight="1" thickBot="1" x14ac:dyDescent="0.3">
      <c r="A5" s="187" t="s">
        <v>357</v>
      </c>
      <c r="B5" s="1159" t="str">
        <f>PRESUPUESTO!B5</f>
        <v>MANTENIMIENTO PREVENTIVO Y CORRECTIVO DE LOS TANQUES DE AGUA PARA LA INFRAESTRUCTURA INSTITUCIONAL SEGÚN REQUERIMIENTO DEL MUNICIPIO DE ENVIGADO</v>
      </c>
      <c r="C5" s="1167"/>
      <c r="D5" s="1167"/>
      <c r="E5" s="1167"/>
      <c r="F5" s="1167"/>
      <c r="G5" s="1168"/>
    </row>
    <row r="6" spans="1:7" ht="6" customHeight="1" thickBot="1" x14ac:dyDescent="0.3">
      <c r="A6" s="89"/>
      <c r="B6" s="90"/>
      <c r="C6" s="90"/>
      <c r="D6" s="90"/>
      <c r="E6" s="90"/>
      <c r="F6" s="90"/>
      <c r="G6" s="94"/>
    </row>
    <row r="7" spans="1:7" ht="51" customHeight="1" thickBot="1" x14ac:dyDescent="0.3">
      <c r="A7" s="926" t="s">
        <v>572</v>
      </c>
      <c r="B7" s="927"/>
      <c r="C7" s="927"/>
      <c r="D7" s="927"/>
      <c r="E7" s="927"/>
      <c r="F7" s="927"/>
      <c r="G7" s="928"/>
    </row>
    <row r="8" spans="1:7" ht="6" customHeight="1" thickBot="1" x14ac:dyDescent="0.3">
      <c r="A8" s="89"/>
      <c r="B8" s="90"/>
      <c r="C8" s="90"/>
      <c r="D8" s="90"/>
      <c r="E8" s="90"/>
      <c r="F8" s="90"/>
      <c r="G8" s="94"/>
    </row>
    <row r="9" spans="1:7" ht="15.75" thickBot="1" x14ac:dyDescent="0.3">
      <c r="A9" s="1169" t="s">
        <v>359</v>
      </c>
      <c r="B9" s="1170"/>
      <c r="C9" s="1171"/>
      <c r="D9" s="577">
        <f>PRESUPUESTO!F14</f>
        <v>125816171</v>
      </c>
      <c r="E9" s="148"/>
      <c r="F9" s="148"/>
      <c r="G9" s="149"/>
    </row>
    <row r="10" spans="1:7" ht="15.75" thickBot="1" x14ac:dyDescent="0.3">
      <c r="A10" s="537"/>
      <c r="B10" s="538"/>
      <c r="C10" s="538"/>
      <c r="D10" s="538"/>
      <c r="E10" s="538"/>
      <c r="F10" s="538"/>
      <c r="G10" s="149"/>
    </row>
    <row r="11" spans="1:7" ht="42.75" customHeight="1" thickBot="1" x14ac:dyDescent="0.3">
      <c r="A11" s="539" t="s">
        <v>361</v>
      </c>
      <c r="B11" s="540" t="s">
        <v>362</v>
      </c>
      <c r="C11" s="540" t="s">
        <v>363</v>
      </c>
      <c r="D11" s="540" t="s">
        <v>8</v>
      </c>
      <c r="E11" s="540" t="s">
        <v>9</v>
      </c>
      <c r="F11" s="540" t="s">
        <v>364</v>
      </c>
      <c r="G11" s="541" t="s">
        <v>365</v>
      </c>
    </row>
    <row r="12" spans="1:7" ht="38.25" customHeight="1" thickBot="1" x14ac:dyDescent="0.3">
      <c r="A12" s="578" t="str">
        <f>+'4.1 Calculos Operacionales'!A12</f>
        <v xml:space="preserve">DIRECTOR DE OBRA </v>
      </c>
      <c r="B12" s="579">
        <f>+'4.1 Calculos Operacionales'!B12</f>
        <v>1</v>
      </c>
      <c r="C12" s="580">
        <f>+'6.1 Calculo Naturaleza'!$F$18</f>
        <v>0.19</v>
      </c>
      <c r="D12" s="581">
        <f>+'4.1 Calculos Operacionales'!D12</f>
        <v>12028025</v>
      </c>
      <c r="E12" s="301">
        <f>+'4.1 Calculos Operacionales'!E12</f>
        <v>0.58284599999999998</v>
      </c>
      <c r="F12" s="582">
        <f>D12*(1+E12)*C12*B12</f>
        <v>3617317.1392384996</v>
      </c>
      <c r="G12" s="725">
        <f>+F12/$D$9</f>
        <v>2.8750812478934042E-2</v>
      </c>
    </row>
    <row r="13" spans="1:7" ht="38.25" customHeight="1" thickBot="1" x14ac:dyDescent="0.3">
      <c r="A13" s="584" t="str">
        <f>+'4.1 Calculos Operacionales'!A13</f>
        <v xml:space="preserve">RESIDENTE DE ESTRUCTURA Y PUENTES </v>
      </c>
      <c r="B13" s="543">
        <f>+'4.1 Calculos Operacionales'!B13</f>
        <v>1</v>
      </c>
      <c r="C13" s="580">
        <f>+'6.1 Calculo Naturaleza'!$F$18</f>
        <v>0.19</v>
      </c>
      <c r="D13" s="585">
        <f>+'4.1 Calculos Operacionales'!D13</f>
        <v>7796595</v>
      </c>
      <c r="E13" s="289">
        <f>+'4.1 Calculos Operacionales'!E13</f>
        <v>0.58284599999999998</v>
      </c>
      <c r="F13" s="545">
        <f t="shared" ref="F13:F19" si="0">D13*(1+E13)*C13*B13</f>
        <v>2344753.7497803001</v>
      </c>
      <c r="G13" s="586">
        <f t="shared" ref="G13:G19" si="1">+F13/$D$9</f>
        <v>1.8636346434198033E-2</v>
      </c>
    </row>
    <row r="14" spans="1:7" ht="53.25" customHeight="1" thickBot="1" x14ac:dyDescent="0.3">
      <c r="A14" s="584" t="str">
        <f>+'4.1 Calculos Operacionales'!A14</f>
        <v>RESIDENTE DE URBANISMO</v>
      </c>
      <c r="B14" s="543">
        <f>+'4.1 Calculos Operacionales'!B14</f>
        <v>1</v>
      </c>
      <c r="C14" s="580">
        <f>+'6.1 Calculo Naturaleza'!$F$18</f>
        <v>0.19</v>
      </c>
      <c r="D14" s="585">
        <f>+'4.1 Calculos Operacionales'!D14</f>
        <v>7796595</v>
      </c>
      <c r="E14" s="289">
        <f>+'4.1 Calculos Operacionales'!E14</f>
        <v>0.58284599999999998</v>
      </c>
      <c r="F14" s="545">
        <f t="shared" si="0"/>
        <v>2344753.7497803001</v>
      </c>
      <c r="G14" s="586">
        <f t="shared" si="1"/>
        <v>1.8636346434198033E-2</v>
      </c>
    </row>
    <row r="15" spans="1:7" ht="51.75" customHeight="1" thickBot="1" x14ac:dyDescent="0.3">
      <c r="A15" s="584" t="str">
        <f>+'4.1 Calculos Operacionales'!A15</f>
        <v>INGENIERO RESIDENTE DE OBRA</v>
      </c>
      <c r="B15" s="543">
        <f>+'4.1 Calculos Operacionales'!B15</f>
        <v>1</v>
      </c>
      <c r="C15" s="580">
        <f>+'6.1 Calculo Naturaleza'!$F$18</f>
        <v>0.19</v>
      </c>
      <c r="D15" s="585">
        <f>+'4.1 Calculos Operacionales'!D15</f>
        <v>6953837</v>
      </c>
      <c r="E15" s="289">
        <f>+'4.1 Calculos Operacionales'!E15</f>
        <v>0.58284599999999998</v>
      </c>
      <c r="F15" s="545">
        <f t="shared" si="0"/>
        <v>2091302.0852193802</v>
      </c>
      <c r="G15" s="586">
        <f t="shared" si="1"/>
        <v>1.6621886269447671E-2</v>
      </c>
    </row>
    <row r="16" spans="1:7" ht="55.5" customHeight="1" thickBot="1" x14ac:dyDescent="0.3">
      <c r="A16" s="584" t="str">
        <f>+'4.1 Calculos Operacionales'!A16</f>
        <v>PROFESIONAL AMBIENTAL</v>
      </c>
      <c r="B16" s="543">
        <f>+'4.1 Calculos Operacionales'!B16</f>
        <v>1</v>
      </c>
      <c r="C16" s="580">
        <f>+'6.1 Calculo Naturaleza'!$F$18</f>
        <v>0.19</v>
      </c>
      <c r="D16" s="585">
        <f>+'4.1 Calculos Operacionales'!D16</f>
        <v>5259509</v>
      </c>
      <c r="E16" s="289">
        <f>+'4.1 Calculos Operacionales'!E16</f>
        <v>0.58284599999999998</v>
      </c>
      <c r="F16" s="545">
        <f t="shared" si="0"/>
        <v>1581748.62869666</v>
      </c>
      <c r="G16" s="586">
        <f t="shared" si="1"/>
        <v>1.2571902452004043E-2</v>
      </c>
    </row>
    <row r="17" spans="1:7" ht="58.5" customHeight="1" thickBot="1" x14ac:dyDescent="0.3">
      <c r="A17" s="584" t="str">
        <f>+'4.1 Calculos Operacionales'!A17</f>
        <v>RESIDENTE FORESTAL</v>
      </c>
      <c r="B17" s="543">
        <f>+'4.1 Calculos Operacionales'!B17</f>
        <v>1</v>
      </c>
      <c r="C17" s="580">
        <f>+'6.1 Calculo Naturaleza'!$F$18</f>
        <v>0.19</v>
      </c>
      <c r="D17" s="585">
        <f>+'4.1 Calculos Operacionales'!D17</f>
        <v>5259509</v>
      </c>
      <c r="E17" s="289">
        <f>+'4.1 Calculos Operacionales'!E17</f>
        <v>0.58284599999999998</v>
      </c>
      <c r="F17" s="545">
        <f t="shared" si="0"/>
        <v>1581748.62869666</v>
      </c>
      <c r="G17" s="586">
        <f t="shared" si="1"/>
        <v>1.2571902452004043E-2</v>
      </c>
    </row>
    <row r="18" spans="1:7" ht="63" customHeight="1" thickBot="1" x14ac:dyDescent="0.3">
      <c r="A18" s="584" t="str">
        <f>+'4.1 Calculos Operacionales'!A18</f>
        <v>RESIDENTE DE SEGURIDAD Y SALUD EN EL TRABAJO --SST</v>
      </c>
      <c r="B18" s="543">
        <f>+'4.1 Calculos Operacionales'!B18</f>
        <v>1</v>
      </c>
      <c r="C18" s="580">
        <f>+'6.1 Calculo Naturaleza'!$F$18</f>
        <v>0.19</v>
      </c>
      <c r="D18" s="585">
        <f>+'4.1 Calculos Operacionales'!D18</f>
        <v>4959460</v>
      </c>
      <c r="E18" s="289">
        <f>+'4.1 Calculos Operacionales'!E18</f>
        <v>0.58284599999999998</v>
      </c>
      <c r="F18" s="545">
        <f t="shared" si="0"/>
        <v>1491511.6704003999</v>
      </c>
      <c r="G18" s="586">
        <f t="shared" si="1"/>
        <v>1.1854689731420931E-2</v>
      </c>
    </row>
    <row r="19" spans="1:7" ht="60.75" customHeight="1" x14ac:dyDescent="0.25">
      <c r="A19" s="584" t="str">
        <f>+'4.1 Calculos Operacionales'!A19</f>
        <v>ALMACENISTA</v>
      </c>
      <c r="B19" s="543">
        <f>+'4.1 Calculos Operacionales'!B19</f>
        <v>1</v>
      </c>
      <c r="C19" s="580">
        <f>+'6.1 Calculo Naturaleza'!$F$18</f>
        <v>0.19</v>
      </c>
      <c r="D19" s="585">
        <f>+'4.1 Calculos Operacionales'!D19</f>
        <v>1804648</v>
      </c>
      <c r="E19" s="289">
        <f>+'4.1 Calculos Operacionales'!E19</f>
        <v>0.58284599999999998</v>
      </c>
      <c r="F19" s="545">
        <f t="shared" si="0"/>
        <v>542731.17495951999</v>
      </c>
      <c r="G19" s="586">
        <f t="shared" si="1"/>
        <v>4.3136837709003241E-3</v>
      </c>
    </row>
    <row r="20" spans="1:7" ht="15.75" thickBot="1" x14ac:dyDescent="0.3">
      <c r="A20" s="1129" t="s">
        <v>369</v>
      </c>
      <c r="B20" s="1130"/>
      <c r="C20" s="1130"/>
      <c r="D20" s="1130"/>
      <c r="E20" s="1131"/>
      <c r="F20" s="546">
        <f>SUM(F12:F19)</f>
        <v>15595866.826771719</v>
      </c>
      <c r="G20" s="724">
        <f>SUM(G12:G19)</f>
        <v>0.12395757002310712</v>
      </c>
    </row>
    <row r="21" spans="1:7" ht="15.75" thickBot="1" x14ac:dyDescent="0.3">
      <c r="A21" s="548"/>
      <c r="B21" s="549"/>
      <c r="C21" s="549"/>
      <c r="D21" s="549"/>
      <c r="E21" s="549"/>
      <c r="F21" s="549"/>
      <c r="G21" s="550"/>
    </row>
    <row r="22" spans="1:7" ht="45.75" thickBot="1" x14ac:dyDescent="0.3">
      <c r="A22" s="539" t="s">
        <v>370</v>
      </c>
      <c r="B22" s="540" t="s">
        <v>365</v>
      </c>
      <c r="C22" s="540" t="s">
        <v>363</v>
      </c>
      <c r="D22" s="540" t="s">
        <v>8</v>
      </c>
      <c r="E22" s="540" t="s">
        <v>9</v>
      </c>
      <c r="F22" s="540" t="s">
        <v>364</v>
      </c>
      <c r="G22" s="541" t="s">
        <v>365</v>
      </c>
    </row>
    <row r="23" spans="1:7" ht="15.75" thickBot="1" x14ac:dyDescent="0.3">
      <c r="A23" s="578" t="str">
        <f>+'4.1 Calculos Operacionales'!A23</f>
        <v>GERENCIA</v>
      </c>
      <c r="B23" s="590">
        <f>+'4.1 Calculos Operacionales'!B23</f>
        <v>0.1</v>
      </c>
      <c r="C23" s="580">
        <f>'6.1 Calculo Naturaleza'!$F$18</f>
        <v>0.19</v>
      </c>
      <c r="D23" s="581">
        <f>+'4.1 Calculos Operacionales'!D23</f>
        <v>10148359</v>
      </c>
      <c r="E23" s="301">
        <f>+'4.1 Calculos Operacionales'!E23</f>
        <v>0.58284599999999998</v>
      </c>
      <c r="F23" s="582">
        <f t="shared" ref="F23:F28" si="2">D23*(1+E23)*C23*B23</f>
        <v>305202.49954456597</v>
      </c>
      <c r="G23" s="583">
        <f t="shared" ref="G23:G28" si="3">+F23/$D$9</f>
        <v>2.4257811783555704E-3</v>
      </c>
    </row>
    <row r="24" spans="1:7" ht="15.75" thickBot="1" x14ac:dyDescent="0.3">
      <c r="A24" s="584" t="str">
        <f>+'4.1 Calculos Operacionales'!A24</f>
        <v>SECRETARIA</v>
      </c>
      <c r="B24" s="303">
        <f>+'4.1 Calculos Operacionales'!B24</f>
        <v>0.1</v>
      </c>
      <c r="C24" s="580">
        <f>'6.1 Calculo Naturaleza'!$F$18</f>
        <v>0.19</v>
      </c>
      <c r="D24" s="585">
        <f>+'4.1 Calculos Operacionales'!D24</f>
        <v>1522257</v>
      </c>
      <c r="E24" s="289">
        <f>+'4.1 Calculos Operacionales'!E24</f>
        <v>0.58284599999999998</v>
      </c>
      <c r="F24" s="545">
        <f t="shared" si="2"/>
        <v>45780.469665017998</v>
      </c>
      <c r="G24" s="591">
        <f t="shared" si="3"/>
        <v>3.6386792970371032E-4</v>
      </c>
    </row>
    <row r="25" spans="1:7" ht="15.75" thickBot="1" x14ac:dyDescent="0.3">
      <c r="A25" s="584" t="str">
        <f>+'4.1 Calculos Operacionales'!A25</f>
        <v xml:space="preserve">CONTADORA </v>
      </c>
      <c r="B25" s="303">
        <f>+'4.1 Calculos Operacionales'!B25</f>
        <v>0.1</v>
      </c>
      <c r="C25" s="580">
        <f>'6.1 Calculo Naturaleza'!$F$18</f>
        <v>0.19</v>
      </c>
      <c r="D25" s="585">
        <f>+'4.1 Calculos Operacionales'!D25</f>
        <v>2540250</v>
      </c>
      <c r="E25" s="289">
        <f>+'4.1 Calculos Operacionales'!E25</f>
        <v>0.58284599999999998</v>
      </c>
      <c r="F25" s="545">
        <f t="shared" si="2"/>
        <v>76395.666478500003</v>
      </c>
      <c r="G25" s="586">
        <f t="shared" si="3"/>
        <v>6.0720069504022656E-4</v>
      </c>
    </row>
    <row r="26" spans="1:7" ht="15.75" thickBot="1" x14ac:dyDescent="0.3">
      <c r="A26" s="584" t="str">
        <f>+'4.1 Calculos Operacionales'!A26</f>
        <v>MENSAJERO</v>
      </c>
      <c r="B26" s="303">
        <f>+'4.1 Calculos Operacionales'!B26</f>
        <v>0.1</v>
      </c>
      <c r="C26" s="580">
        <f>'6.1 Calculo Naturaleza'!$F$18</f>
        <v>0.19</v>
      </c>
      <c r="D26" s="585">
        <f>+'4.1 Calculos Operacionales'!D26</f>
        <v>1360415</v>
      </c>
      <c r="E26" s="289">
        <f>+'4.1 Calculos Operacionales'!E26</f>
        <v>0.58284599999999998</v>
      </c>
      <c r="F26" s="545">
        <f t="shared" si="2"/>
        <v>40913.221380709998</v>
      </c>
      <c r="G26" s="591">
        <f t="shared" si="3"/>
        <v>3.2518253461003829E-4</v>
      </c>
    </row>
    <row r="27" spans="1:7" ht="15.75" thickBot="1" x14ac:dyDescent="0.3">
      <c r="A27" s="584" t="str">
        <f>+'4.1 Calculos Operacionales'!A27</f>
        <v>ALQUILER OFICINA</v>
      </c>
      <c r="B27" s="303">
        <f>+'4.1 Calculos Operacionales'!B27</f>
        <v>0.1</v>
      </c>
      <c r="C27" s="580">
        <f>'6.1 Calculo Naturaleza'!$F$18</f>
        <v>0.19</v>
      </c>
      <c r="D27" s="585">
        <f>+'4.1 Calculos Operacionales'!D27</f>
        <v>3000000</v>
      </c>
      <c r="E27" s="289">
        <f>+'4.1 Calculos Operacionales'!E27</f>
        <v>0</v>
      </c>
      <c r="F27" s="545">
        <f t="shared" si="2"/>
        <v>57000</v>
      </c>
      <c r="G27" s="592">
        <f t="shared" si="3"/>
        <v>4.5304192256812519E-4</v>
      </c>
    </row>
    <row r="28" spans="1:7" ht="15.75" thickBot="1" x14ac:dyDescent="0.3">
      <c r="A28" s="587" t="str">
        <f>+'4.1 Calculos Operacionales'!A28</f>
        <v>SERVICIOS PÚBLICOS</v>
      </c>
      <c r="B28" s="305">
        <f>+'4.1 Calculos Operacionales'!B28</f>
        <v>0.1</v>
      </c>
      <c r="C28" s="580">
        <f>'6.1 Calculo Naturaleza'!$F$18</f>
        <v>0.19</v>
      </c>
      <c r="D28" s="588">
        <f>+'4.1 Calculos Operacionales'!D28</f>
        <v>500000</v>
      </c>
      <c r="E28" s="306">
        <f>+'4.1 Calculos Operacionales'!E28</f>
        <v>0</v>
      </c>
      <c r="F28" s="589">
        <f t="shared" si="2"/>
        <v>9500</v>
      </c>
      <c r="G28" s="593">
        <f t="shared" si="3"/>
        <v>7.5506987094687528E-5</v>
      </c>
    </row>
    <row r="29" spans="1:7" ht="15.75" thickBot="1" x14ac:dyDescent="0.3">
      <c r="A29" s="1129" t="s">
        <v>376</v>
      </c>
      <c r="B29" s="1130"/>
      <c r="C29" s="1130"/>
      <c r="D29" s="1130"/>
      <c r="E29" s="1131"/>
      <c r="F29" s="558">
        <f>SUM(F23:F28)</f>
        <v>534791.85706879396</v>
      </c>
      <c r="G29" s="547">
        <f>SUM(G23:G28)</f>
        <v>4.2505812473723585E-3</v>
      </c>
    </row>
    <row r="30" spans="1:7" ht="15.75" thickBot="1" x14ac:dyDescent="0.3">
      <c r="A30" s="548"/>
      <c r="B30" s="549"/>
      <c r="C30" s="549"/>
      <c r="D30" s="549"/>
      <c r="E30" s="549"/>
      <c r="F30" s="549"/>
      <c r="G30" s="550"/>
    </row>
    <row r="31" spans="1:7" ht="15.75" thickBot="1" x14ac:dyDescent="0.3">
      <c r="A31" s="1132" t="s">
        <v>573</v>
      </c>
      <c r="B31" s="1133"/>
      <c r="C31" s="1133"/>
      <c r="D31" s="1133"/>
      <c r="E31" s="1134"/>
      <c r="F31" s="320">
        <f>F20+F29</f>
        <v>16130658.683840513</v>
      </c>
      <c r="G31" s="555">
        <f>G29+G20</f>
        <v>0.12820815127047946</v>
      </c>
    </row>
    <row r="32" spans="1:7" x14ac:dyDescent="0.25">
      <c r="A32" s="150"/>
      <c r="B32" s="151"/>
      <c r="C32" s="151"/>
      <c r="D32" s="151"/>
      <c r="E32" s="151"/>
      <c r="F32" s="151"/>
      <c r="G32" s="152"/>
    </row>
    <row r="33" spans="1:7" x14ac:dyDescent="0.25">
      <c r="A33" s="87"/>
      <c r="B33" s="114"/>
      <c r="C33" s="114"/>
      <c r="D33" s="114"/>
      <c r="E33" s="153" t="s">
        <v>396</v>
      </c>
      <c r="F33" s="16"/>
      <c r="G33" s="17"/>
    </row>
    <row r="34" spans="1:7" x14ac:dyDescent="0.25">
      <c r="A34" s="227"/>
      <c r="B34" s="111"/>
      <c r="C34" s="111"/>
      <c r="D34" s="114"/>
      <c r="E34" s="189"/>
      <c r="F34" s="190"/>
      <c r="G34" s="191"/>
    </row>
    <row r="35" spans="1:7" x14ac:dyDescent="0.25">
      <c r="A35" s="227"/>
      <c r="B35" s="111"/>
      <c r="C35" s="111"/>
      <c r="D35" s="114"/>
      <c r="E35" s="189"/>
      <c r="F35" s="190"/>
      <c r="G35" s="191"/>
    </row>
    <row r="36" spans="1:7" x14ac:dyDescent="0.25">
      <c r="A36" s="87"/>
      <c r="B36" s="19"/>
      <c r="C36" s="19"/>
      <c r="D36" s="114"/>
      <c r="E36" s="189"/>
      <c r="F36" s="190"/>
      <c r="G36" s="191"/>
    </row>
    <row r="37" spans="1:7" x14ac:dyDescent="0.25">
      <c r="A37" s="87"/>
      <c r="B37" s="1124"/>
      <c r="C37" s="1124"/>
      <c r="D37" s="114"/>
      <c r="E37" s="189"/>
      <c r="F37" s="190"/>
      <c r="G37" s="191"/>
    </row>
    <row r="38" spans="1:7" x14ac:dyDescent="0.25">
      <c r="A38" s="19"/>
      <c r="B38" s="19"/>
      <c r="C38" s="19"/>
      <c r="D38" s="114"/>
      <c r="E38" s="189"/>
      <c r="F38" s="190"/>
      <c r="G38" s="191"/>
    </row>
    <row r="39" spans="1:7" x14ac:dyDescent="0.25">
      <c r="A39" s="19"/>
      <c r="B39" s="114"/>
      <c r="C39" s="114"/>
      <c r="D39" s="114"/>
      <c r="E39" s="189"/>
      <c r="F39" s="190"/>
      <c r="G39" s="191"/>
    </row>
    <row r="40" spans="1:7" x14ac:dyDescent="0.25">
      <c r="A40" s="111"/>
      <c r="B40" s="111"/>
      <c r="C40" s="111"/>
      <c r="D40" s="114"/>
      <c r="E40" s="189"/>
      <c r="F40" s="190"/>
      <c r="G40" s="191"/>
    </row>
    <row r="41" spans="1:7" x14ac:dyDescent="0.25">
      <c r="A41" s="111"/>
      <c r="B41" s="111"/>
      <c r="C41" s="111"/>
      <c r="D41" s="114"/>
      <c r="E41" s="189"/>
      <c r="F41" s="190"/>
      <c r="G41" s="191"/>
    </row>
    <row r="42" spans="1:7" ht="25.5" x14ac:dyDescent="0.25">
      <c r="A42" s="19"/>
      <c r="B42" s="19"/>
      <c r="C42" s="19"/>
      <c r="D42" s="114"/>
      <c r="E42" s="189" t="s">
        <v>574</v>
      </c>
      <c r="F42" s="190"/>
      <c r="G42" s="191"/>
    </row>
    <row r="43" spans="1:7" x14ac:dyDescent="0.25">
      <c r="A43" s="19"/>
      <c r="B43" s="1124"/>
      <c r="C43" s="1124"/>
      <c r="D43" s="114"/>
      <c r="E43" s="192"/>
      <c r="F43" s="193"/>
      <c r="G43" s="194"/>
    </row>
    <row r="44" spans="1:7" x14ac:dyDescent="0.25">
      <c r="A44" s="19"/>
      <c r="B44" s="19"/>
      <c r="C44" s="19"/>
      <c r="D44" s="114"/>
      <c r="E44" s="190"/>
      <c r="F44" s="190"/>
      <c r="G44" s="190"/>
    </row>
    <row r="45" spans="1:7" x14ac:dyDescent="0.25">
      <c r="A45" s="19"/>
      <c r="B45" s="114"/>
      <c r="C45" s="114"/>
      <c r="D45" s="114"/>
      <c r="E45" s="190"/>
      <c r="F45" s="190"/>
      <c r="G45" s="190"/>
    </row>
    <row r="46" spans="1:7" x14ac:dyDescent="0.25">
      <c r="A46" s="111"/>
      <c r="B46" s="111"/>
      <c r="C46" s="111"/>
      <c r="D46" s="114"/>
      <c r="E46" s="190"/>
      <c r="F46" s="190"/>
      <c r="G46" s="190"/>
    </row>
    <row r="47" spans="1:7" x14ac:dyDescent="0.25">
      <c r="A47" s="111"/>
      <c r="B47" s="111"/>
      <c r="C47" s="111"/>
      <c r="D47" s="114"/>
      <c r="E47" s="190"/>
      <c r="F47" s="190"/>
      <c r="G47" s="190"/>
    </row>
    <row r="48" spans="1:7" x14ac:dyDescent="0.25">
      <c r="A48" s="19"/>
      <c r="B48" s="19"/>
      <c r="C48" s="19"/>
      <c r="D48" s="114"/>
      <c r="E48" s="190"/>
      <c r="F48" s="190"/>
      <c r="G48" s="190"/>
    </row>
    <row r="49" spans="1:7" x14ac:dyDescent="0.25">
      <c r="A49" s="19"/>
      <c r="B49" s="1124"/>
      <c r="C49" s="1124"/>
      <c r="D49" s="114"/>
      <c r="E49" s="190"/>
      <c r="F49" s="190"/>
      <c r="G49" s="190"/>
    </row>
    <row r="50" spans="1:7" x14ac:dyDescent="0.25">
      <c r="A50" s="150"/>
      <c r="B50" s="151"/>
      <c r="C50" s="151"/>
      <c r="D50" s="151"/>
      <c r="E50" s="151"/>
      <c r="F50" s="151"/>
      <c r="G50" s="152"/>
    </row>
  </sheetData>
  <mergeCells count="12">
    <mergeCell ref="B49:C49"/>
    <mergeCell ref="A1:G1"/>
    <mergeCell ref="A2:G2"/>
    <mergeCell ref="A3:G3"/>
    <mergeCell ref="B5:G5"/>
    <mergeCell ref="A7:G7"/>
    <mergeCell ref="A9:C9"/>
    <mergeCell ref="A20:E20"/>
    <mergeCell ref="A29:E29"/>
    <mergeCell ref="A31:E31"/>
    <mergeCell ref="B37:C37"/>
    <mergeCell ref="B43:C43"/>
  </mergeCells>
  <pageMargins left="0.7" right="0.7" top="0.75" bottom="0.75" header="0.3" footer="0.3"/>
  <pageSetup scale="68"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view="pageBreakPreview" topLeftCell="A23" zoomScale="106" zoomScaleNormal="100" zoomScaleSheetLayoutView="106" workbookViewId="0">
      <selection activeCell="A16" sqref="A16:H16"/>
    </sheetView>
  </sheetViews>
  <sheetFormatPr baseColWidth="10" defaultColWidth="11.42578125" defaultRowHeight="15" x14ac:dyDescent="0.25"/>
  <cols>
    <col min="1" max="1" width="11.42578125" collapsed="1"/>
    <col min="2" max="2" width="17.28515625" customWidth="1" collapsed="1"/>
    <col min="3" max="3" width="16.7109375" customWidth="1" collapsed="1"/>
    <col min="4" max="4" width="15.85546875" customWidth="1" collapsed="1"/>
    <col min="5" max="5" width="15.28515625" customWidth="1" collapsed="1"/>
    <col min="6" max="7" width="11.42578125" collapsed="1"/>
    <col min="8" max="8" width="17.140625" customWidth="1" collapsed="1"/>
    <col min="9" max="9" width="1.85546875" customWidth="1" collapsed="1"/>
    <col min="10" max="16384" width="11.42578125" collapsed="1"/>
  </cols>
  <sheetData>
    <row r="1" spans="1:9" ht="15.75" hidden="1" thickBot="1" x14ac:dyDescent="0.3">
      <c r="A1" s="15"/>
      <c r="B1" s="1008" t="s">
        <v>470</v>
      </c>
      <c r="C1" s="114"/>
      <c r="D1" s="114"/>
      <c r="E1" s="115" t="s">
        <v>433</v>
      </c>
      <c r="F1" s="116" t="s">
        <v>443</v>
      </c>
      <c r="G1" s="116"/>
      <c r="H1" s="116"/>
      <c r="I1" s="117"/>
    </row>
    <row r="2" spans="1:9" ht="15.75" hidden="1" thickBot="1" x14ac:dyDescent="0.3">
      <c r="A2" s="15"/>
      <c r="B2" s="1009"/>
      <c r="C2" s="118" t="s">
        <v>441</v>
      </c>
      <c r="D2" s="119">
        <v>1</v>
      </c>
      <c r="E2" s="120">
        <v>4</v>
      </c>
      <c r="F2" s="120">
        <v>30</v>
      </c>
      <c r="G2" s="120">
        <f>+VLOOKUP(E24,$C$2:$F$5,3,FALSE)</f>
        <v>2</v>
      </c>
      <c r="H2" s="120"/>
      <c r="I2" s="121">
        <v>20</v>
      </c>
    </row>
    <row r="3" spans="1:9" ht="15.75" hidden="1" thickBot="1" x14ac:dyDescent="0.3">
      <c r="A3" s="15" t="s">
        <v>415</v>
      </c>
      <c r="B3" s="1009"/>
      <c r="C3" s="118" t="s">
        <v>439</v>
      </c>
      <c r="D3" s="119">
        <v>0.5</v>
      </c>
      <c r="E3" s="120">
        <v>3</v>
      </c>
      <c r="F3" s="120">
        <v>20</v>
      </c>
      <c r="G3" s="120">
        <f>+VLOOKUP(F24,$C$2:$F$5,4,FALSE)</f>
        <v>5</v>
      </c>
      <c r="H3" s="120"/>
      <c r="I3" s="121">
        <v>10</v>
      </c>
    </row>
    <row r="4" spans="1:9" ht="15.75" hidden="1" thickBot="1" x14ac:dyDescent="0.3">
      <c r="A4" s="15"/>
      <c r="B4" s="1009"/>
      <c r="C4" s="118" t="s">
        <v>437</v>
      </c>
      <c r="D4" s="119">
        <v>0.2</v>
      </c>
      <c r="E4" s="120">
        <v>2</v>
      </c>
      <c r="F4" s="120">
        <v>10</v>
      </c>
      <c r="G4" s="120">
        <f>+G2*G3</f>
        <v>10</v>
      </c>
      <c r="H4" s="120"/>
      <c r="I4" s="121">
        <v>10</v>
      </c>
    </row>
    <row r="5" spans="1:9" ht="15.75" hidden="1" thickBot="1" x14ac:dyDescent="0.3">
      <c r="A5" s="15"/>
      <c r="B5" s="1009"/>
      <c r="C5" s="118" t="s">
        <v>435</v>
      </c>
      <c r="D5" s="119">
        <v>0.1</v>
      </c>
      <c r="E5" s="120">
        <v>1</v>
      </c>
      <c r="F5" s="120">
        <v>5</v>
      </c>
      <c r="G5" s="120"/>
      <c r="H5" s="120"/>
      <c r="I5" s="121">
        <v>5</v>
      </c>
    </row>
    <row r="6" spans="1:9" ht="23.25" hidden="1" thickBot="1" x14ac:dyDescent="0.3">
      <c r="A6" s="15"/>
      <c r="B6" s="1009"/>
      <c r="C6" s="15"/>
      <c r="D6" s="15"/>
      <c r="E6" s="118" t="s">
        <v>435</v>
      </c>
      <c r="F6" s="118" t="s">
        <v>437</v>
      </c>
      <c r="G6" s="118" t="s">
        <v>439</v>
      </c>
      <c r="H6" s="118" t="s">
        <v>453</v>
      </c>
      <c r="I6" s="122"/>
    </row>
    <row r="7" spans="1:9" ht="15.75" hidden="1" thickBot="1" x14ac:dyDescent="0.3">
      <c r="A7" s="15"/>
      <c r="B7" s="1009"/>
      <c r="C7" s="15"/>
      <c r="D7" s="15"/>
      <c r="E7" s="114"/>
      <c r="F7" s="15"/>
      <c r="G7" s="15"/>
      <c r="H7" s="15"/>
      <c r="I7" s="122"/>
    </row>
    <row r="8" spans="1:9" ht="15.75" hidden="1" thickBot="1" x14ac:dyDescent="0.3">
      <c r="A8" s="15"/>
      <c r="B8" s="1009"/>
      <c r="C8" s="118" t="s">
        <v>441</v>
      </c>
      <c r="D8" s="118"/>
      <c r="E8" s="123" t="s">
        <v>471</v>
      </c>
      <c r="F8" s="123" t="s">
        <v>472</v>
      </c>
      <c r="G8" s="124" t="s">
        <v>473</v>
      </c>
      <c r="H8" s="124" t="s">
        <v>473</v>
      </c>
      <c r="I8" s="121">
        <v>20</v>
      </c>
    </row>
    <row r="9" spans="1:9" ht="15.75" hidden="1" thickBot="1" x14ac:dyDescent="0.3">
      <c r="A9" s="15"/>
      <c r="B9" s="1009"/>
      <c r="C9" s="118" t="s">
        <v>439</v>
      </c>
      <c r="D9" s="118"/>
      <c r="E9" s="125" t="s">
        <v>474</v>
      </c>
      <c r="F9" s="123" t="s">
        <v>471</v>
      </c>
      <c r="G9" s="123" t="s">
        <v>472</v>
      </c>
      <c r="H9" s="124" t="s">
        <v>473</v>
      </c>
      <c r="I9" s="121">
        <v>10</v>
      </c>
    </row>
    <row r="10" spans="1:9" ht="15.75" hidden="1" thickBot="1" x14ac:dyDescent="0.3">
      <c r="A10" s="15"/>
      <c r="B10" s="1009"/>
      <c r="C10" s="118" t="s">
        <v>437</v>
      </c>
      <c r="D10" s="118"/>
      <c r="E10" s="125" t="s">
        <v>475</v>
      </c>
      <c r="F10" s="125" t="s">
        <v>474</v>
      </c>
      <c r="G10" s="123" t="s">
        <v>471</v>
      </c>
      <c r="H10" s="123" t="s">
        <v>471</v>
      </c>
      <c r="I10" s="121">
        <v>10</v>
      </c>
    </row>
    <row r="11" spans="1:9" ht="15.75" hidden="1" thickBot="1" x14ac:dyDescent="0.3">
      <c r="A11" s="15"/>
      <c r="B11" s="1009"/>
      <c r="C11" s="118" t="s">
        <v>435</v>
      </c>
      <c r="D11" s="118"/>
      <c r="E11" s="125" t="s">
        <v>475</v>
      </c>
      <c r="F11" s="125" t="s">
        <v>475</v>
      </c>
      <c r="G11" s="125" t="s">
        <v>474</v>
      </c>
      <c r="H11" s="125" t="s">
        <v>474</v>
      </c>
      <c r="I11" s="121">
        <v>5</v>
      </c>
    </row>
    <row r="12" spans="1:9" ht="23.25" hidden="1" thickBot="1" x14ac:dyDescent="0.3">
      <c r="A12" s="15"/>
      <c r="B12" s="15"/>
      <c r="C12" s="126"/>
      <c r="D12" s="126"/>
      <c r="E12" s="118" t="s">
        <v>435</v>
      </c>
      <c r="F12" s="118" t="s">
        <v>437</v>
      </c>
      <c r="G12" s="118" t="s">
        <v>439</v>
      </c>
      <c r="H12" s="118" t="s">
        <v>453</v>
      </c>
      <c r="I12" s="127"/>
    </row>
    <row r="13" spans="1:9" ht="15.75" hidden="1" thickBot="1" x14ac:dyDescent="0.3">
      <c r="A13" s="15"/>
      <c r="B13" s="15"/>
      <c r="C13" s="15"/>
      <c r="D13" s="15"/>
      <c r="E13" s="128"/>
      <c r="F13" s="128"/>
      <c r="G13" s="128"/>
      <c r="H13" s="128"/>
      <c r="I13" s="92"/>
    </row>
    <row r="14" spans="1:9" ht="18" x14ac:dyDescent="0.25">
      <c r="A14" s="914" t="s">
        <v>6</v>
      </c>
      <c r="B14" s="915"/>
      <c r="C14" s="915"/>
      <c r="D14" s="915"/>
      <c r="E14" s="915"/>
      <c r="F14" s="915"/>
      <c r="G14" s="915"/>
      <c r="H14" s="916"/>
      <c r="I14" s="89"/>
    </row>
    <row r="15" spans="1:9" ht="18" x14ac:dyDescent="0.25">
      <c r="A15" s="917" t="s">
        <v>827</v>
      </c>
      <c r="B15" s="918"/>
      <c r="C15" s="918"/>
      <c r="D15" s="918"/>
      <c r="E15" s="918"/>
      <c r="F15" s="918"/>
      <c r="G15" s="918"/>
      <c r="H15" s="919"/>
      <c r="I15" s="89"/>
    </row>
    <row r="16" spans="1:9" ht="18.75" thickBot="1" x14ac:dyDescent="0.3">
      <c r="A16" s="920" t="s">
        <v>415</v>
      </c>
      <c r="B16" s="921"/>
      <c r="C16" s="921"/>
      <c r="D16" s="921"/>
      <c r="E16" s="921"/>
      <c r="F16" s="921"/>
      <c r="G16" s="921"/>
      <c r="H16" s="922"/>
      <c r="I16" s="89"/>
    </row>
    <row r="17" spans="1:9" ht="6" customHeight="1" thickBot="1" x14ac:dyDescent="0.3">
      <c r="A17" s="89"/>
      <c r="B17" s="90"/>
      <c r="C17" s="90"/>
      <c r="D17" s="90"/>
      <c r="E17" s="90"/>
      <c r="F17" s="90"/>
      <c r="G17" s="90"/>
      <c r="H17" s="94"/>
      <c r="I17" s="89"/>
    </row>
    <row r="18" spans="1:9" ht="42.75" customHeight="1" thickBot="1" x14ac:dyDescent="0.3">
      <c r="A18" s="941" t="s">
        <v>357</v>
      </c>
      <c r="B18" s="943"/>
      <c r="C18" s="1159" t="str">
        <f>PRESUPUESTO!B5</f>
        <v>MANTENIMIENTO PREVENTIVO Y CORRECTIVO DE LOS TANQUES DE AGUA PARA LA INFRAESTRUCTURA INSTITUCIONAL SEGÚN REQUERIMIENTO DEL MUNICIPIO DE ENVIGADO</v>
      </c>
      <c r="D18" s="1010"/>
      <c r="E18" s="1010"/>
      <c r="F18" s="1010"/>
      <c r="G18" s="1010"/>
      <c r="H18" s="1011"/>
      <c r="I18" s="89"/>
    </row>
    <row r="19" spans="1:9" ht="6" customHeight="1" thickBot="1" x14ac:dyDescent="0.3">
      <c r="A19" s="89"/>
      <c r="B19" s="90"/>
      <c r="C19" s="90"/>
      <c r="D19" s="90"/>
      <c r="E19" s="90"/>
      <c r="F19" s="90"/>
      <c r="G19" s="90"/>
      <c r="H19" s="94"/>
      <c r="I19" s="89"/>
    </row>
    <row r="20" spans="1:9" ht="38.25" customHeight="1" thickBot="1" x14ac:dyDescent="0.3">
      <c r="A20" s="926" t="s">
        <v>575</v>
      </c>
      <c r="B20" s="927"/>
      <c r="C20" s="927"/>
      <c r="D20" s="927"/>
      <c r="E20" s="927"/>
      <c r="F20" s="927"/>
      <c r="G20" s="927"/>
      <c r="H20" s="928"/>
      <c r="I20" s="93"/>
    </row>
    <row r="21" spans="1:9" ht="22.5" x14ac:dyDescent="0.25">
      <c r="A21" s="971" t="s">
        <v>417</v>
      </c>
      <c r="B21" s="178" t="s">
        <v>477</v>
      </c>
      <c r="C21" s="179" t="s">
        <v>478</v>
      </c>
      <c r="D21" s="195">
        <f>+'ARU DEFINITIVO'!D9</f>
        <v>125816171</v>
      </c>
      <c r="E21" s="131" t="s">
        <v>479</v>
      </c>
      <c r="F21" s="996" t="s">
        <v>480</v>
      </c>
      <c r="G21" s="996"/>
      <c r="H21" s="997"/>
      <c r="I21" s="114"/>
    </row>
    <row r="22" spans="1:9" ht="22.5" x14ac:dyDescent="0.25">
      <c r="A22" s="985"/>
      <c r="B22" s="181" t="s">
        <v>481</v>
      </c>
      <c r="C22" s="182" t="s">
        <v>482</v>
      </c>
      <c r="D22" s="196">
        <f>+'7.1 GESTION SOCIAMBIENTAL'!I74</f>
        <v>0</v>
      </c>
      <c r="E22" s="134" t="s">
        <v>483</v>
      </c>
      <c r="F22" s="998" t="s">
        <v>425</v>
      </c>
      <c r="G22" s="998"/>
      <c r="H22" s="999"/>
      <c r="I22" s="114"/>
    </row>
    <row r="23" spans="1:9" ht="22.5" x14ac:dyDescent="0.25">
      <c r="A23" s="985"/>
      <c r="B23" s="181" t="s">
        <v>484</v>
      </c>
      <c r="C23" s="182" t="s">
        <v>485</v>
      </c>
      <c r="D23" s="135">
        <f>+D22/D21</f>
        <v>0</v>
      </c>
      <c r="E23" s="136" t="s">
        <v>433</v>
      </c>
      <c r="F23" s="136" t="s">
        <v>443</v>
      </c>
      <c r="G23" s="1000" t="s">
        <v>417</v>
      </c>
      <c r="H23" s="1001"/>
      <c r="I23" s="114"/>
    </row>
    <row r="24" spans="1:9" ht="22.5" x14ac:dyDescent="0.25">
      <c r="A24" s="985"/>
      <c r="B24" s="181" t="s">
        <v>486</v>
      </c>
      <c r="C24" s="182" t="s">
        <v>487</v>
      </c>
      <c r="D24" s="197">
        <f>+VLOOKUP(E24,C2:D5,2,FALSE)</f>
        <v>0.2</v>
      </c>
      <c r="E24" s="1002" t="s">
        <v>437</v>
      </c>
      <c r="F24" s="1002" t="str">
        <f>+IF(D23&lt;=0.05,"BAJO",IF(AND(D23&gt;0.05,D23&lt;=0.15),"MEDIO - BAJO",IF(AND(D23&gt;0.15,D23&lt;=0.3),"MEDIO - ALTO","ALTO")))</f>
        <v>BAJO</v>
      </c>
      <c r="G24" s="1172" t="str">
        <f>+IF(G4&lt;=10,"ACEPTABLE",IF(OR(G4=15,G4=20),"TOLERABLE",IF(OR(G4=30,G4=40),"MODERADO",IF(G4=60,"IMPORTANTE",IF(G4&gt;=80,"INACEPTABLE","NO EXISTE")))))</f>
        <v>ACEPTABLE</v>
      </c>
      <c r="H24" s="1173"/>
      <c r="I24" s="114"/>
    </row>
    <row r="25" spans="1:9" x14ac:dyDescent="0.25">
      <c r="A25" s="985"/>
      <c r="B25" s="181" t="s">
        <v>488</v>
      </c>
      <c r="C25" s="182" t="s">
        <v>489</v>
      </c>
      <c r="D25" s="196">
        <f>+D22*D24</f>
        <v>0</v>
      </c>
      <c r="E25" s="1002"/>
      <c r="F25" s="1002"/>
      <c r="G25" s="1172"/>
      <c r="H25" s="1173"/>
      <c r="I25" s="114"/>
    </row>
    <row r="26" spans="1:9" ht="15.75" x14ac:dyDescent="0.25">
      <c r="A26" s="985"/>
      <c r="B26" s="137"/>
      <c r="C26" s="138"/>
      <c r="D26" s="138"/>
      <c r="E26" s="139"/>
      <c r="F26" s="139"/>
      <c r="G26" s="198"/>
      <c r="H26" s="199"/>
      <c r="I26" s="114"/>
    </row>
    <row r="27" spans="1:9" x14ac:dyDescent="0.25">
      <c r="A27" s="985"/>
      <c r="B27" s="1005" t="s">
        <v>490</v>
      </c>
      <c r="C27" s="1006"/>
      <c r="D27" s="1006"/>
      <c r="E27" s="1006"/>
      <c r="F27" s="1006"/>
      <c r="G27" s="1006"/>
      <c r="H27" s="1007"/>
      <c r="I27" s="114"/>
    </row>
    <row r="28" spans="1:9" ht="73.5" customHeight="1" thickBot="1" x14ac:dyDescent="0.3">
      <c r="A28" s="986"/>
      <c r="B28" s="993" t="s">
        <v>576</v>
      </c>
      <c r="C28" s="994"/>
      <c r="D28" s="994"/>
      <c r="E28" s="994"/>
      <c r="F28" s="994"/>
      <c r="G28" s="994"/>
      <c r="H28" s="995"/>
      <c r="I28" s="114"/>
    </row>
    <row r="29" spans="1:9" x14ac:dyDescent="0.25">
      <c r="A29" s="971" t="s">
        <v>492</v>
      </c>
      <c r="B29" s="987" t="s">
        <v>493</v>
      </c>
      <c r="C29" s="988"/>
      <c r="D29" s="988"/>
      <c r="E29" s="988"/>
      <c r="F29" s="988"/>
      <c r="G29" s="988"/>
      <c r="H29" s="989"/>
      <c r="I29" s="114"/>
    </row>
    <row r="30" spans="1:9" ht="31.5" customHeight="1" x14ac:dyDescent="0.25">
      <c r="A30" s="985"/>
      <c r="B30" s="990" t="s">
        <v>577</v>
      </c>
      <c r="C30" s="991"/>
      <c r="D30" s="991"/>
      <c r="E30" s="991"/>
      <c r="F30" s="991"/>
      <c r="G30" s="991"/>
      <c r="H30" s="992"/>
      <c r="I30" s="114"/>
    </row>
    <row r="31" spans="1:9" x14ac:dyDescent="0.25">
      <c r="A31" s="985"/>
      <c r="B31" s="990" t="s">
        <v>779</v>
      </c>
      <c r="C31" s="991"/>
      <c r="D31" s="991"/>
      <c r="E31" s="991"/>
      <c r="F31" s="991"/>
      <c r="G31" s="991"/>
      <c r="H31" s="992"/>
      <c r="I31" s="114"/>
    </row>
    <row r="32" spans="1:9" ht="15.75" thickBot="1" x14ac:dyDescent="0.3">
      <c r="A32" s="986"/>
      <c r="B32" s="993"/>
      <c r="C32" s="994"/>
      <c r="D32" s="994"/>
      <c r="E32" s="994"/>
      <c r="F32" s="994"/>
      <c r="G32" s="994"/>
      <c r="H32" s="995"/>
      <c r="I32" s="114"/>
    </row>
    <row r="33" spans="1:9" ht="33.75" customHeight="1" x14ac:dyDescent="0.25">
      <c r="A33" s="971" t="s">
        <v>497</v>
      </c>
      <c r="B33" s="974" t="s">
        <v>498</v>
      </c>
      <c r="C33" s="975"/>
      <c r="D33" s="975"/>
      <c r="E33" s="975"/>
      <c r="F33" s="975"/>
      <c r="G33" s="975"/>
      <c r="H33" s="976"/>
      <c r="I33" s="114"/>
    </row>
    <row r="34" spans="1:9" ht="18" x14ac:dyDescent="0.25">
      <c r="A34" s="972"/>
      <c r="B34" s="977" t="s">
        <v>499</v>
      </c>
      <c r="C34" s="978"/>
      <c r="D34" s="979"/>
      <c r="E34" s="980" t="s">
        <v>500</v>
      </c>
      <c r="F34" s="980"/>
      <c r="G34" s="980"/>
      <c r="H34" s="981"/>
      <c r="I34" s="114"/>
    </row>
    <row r="35" spans="1:9" ht="48" customHeight="1" x14ac:dyDescent="0.25">
      <c r="A35" s="972"/>
      <c r="B35" s="962" t="s">
        <v>578</v>
      </c>
      <c r="C35" s="963"/>
      <c r="D35" s="964"/>
      <c r="E35" s="982" t="s">
        <v>579</v>
      </c>
      <c r="F35" s="982"/>
      <c r="G35" s="982"/>
      <c r="H35" s="983"/>
      <c r="I35" s="114"/>
    </row>
    <row r="36" spans="1:9" ht="38.25" customHeight="1" x14ac:dyDescent="0.25">
      <c r="A36" s="972"/>
      <c r="B36" s="962"/>
      <c r="C36" s="963"/>
      <c r="D36" s="964"/>
      <c r="E36" s="965" t="s">
        <v>580</v>
      </c>
      <c r="F36" s="965"/>
      <c r="G36" s="965"/>
      <c r="H36" s="966"/>
      <c r="I36" s="114"/>
    </row>
    <row r="37" spans="1:9" ht="15.75" thickBot="1" x14ac:dyDescent="0.3">
      <c r="A37" s="973"/>
      <c r="B37" s="967"/>
      <c r="C37" s="968"/>
      <c r="D37" s="969"/>
      <c r="E37" s="967"/>
      <c r="F37" s="968"/>
      <c r="G37" s="968"/>
      <c r="H37" s="970"/>
      <c r="I37" s="114"/>
    </row>
    <row r="38" spans="1:9" ht="36" customHeight="1" thickBot="1" x14ac:dyDescent="0.3">
      <c r="A38" s="952" t="s">
        <v>504</v>
      </c>
      <c r="B38" s="953"/>
      <c r="C38" s="953"/>
      <c r="D38" s="953"/>
      <c r="E38" s="953"/>
      <c r="F38" s="954" t="s">
        <v>516</v>
      </c>
      <c r="G38" s="954"/>
      <c r="H38" s="955"/>
      <c r="I38" s="114"/>
    </row>
    <row r="39" spans="1:9" x14ac:dyDescent="0.25">
      <c r="A39" s="142"/>
      <c r="B39" s="142"/>
      <c r="C39" s="114"/>
      <c r="D39" s="114"/>
      <c r="E39" s="114"/>
      <c r="F39" s="114"/>
      <c r="G39" s="114"/>
      <c r="H39" s="114"/>
      <c r="I39" s="114"/>
    </row>
  </sheetData>
  <mergeCells count="33">
    <mergeCell ref="E35:H35"/>
    <mergeCell ref="B1:B11"/>
    <mergeCell ref="A14:H14"/>
    <mergeCell ref="A15:H15"/>
    <mergeCell ref="A16:H16"/>
    <mergeCell ref="A18:B18"/>
    <mergeCell ref="C18:H18"/>
    <mergeCell ref="A20:H20"/>
    <mergeCell ref="A21:A28"/>
    <mergeCell ref="F21:H21"/>
    <mergeCell ref="F22:H22"/>
    <mergeCell ref="G23:H23"/>
    <mergeCell ref="E24:E25"/>
    <mergeCell ref="G24:H25"/>
    <mergeCell ref="B27:H27"/>
    <mergeCell ref="F24:F25"/>
    <mergeCell ref="B28:H28"/>
    <mergeCell ref="A38:E38"/>
    <mergeCell ref="F38:H38"/>
    <mergeCell ref="A29:A32"/>
    <mergeCell ref="B29:H29"/>
    <mergeCell ref="B30:H30"/>
    <mergeCell ref="B31:H31"/>
    <mergeCell ref="B32:H32"/>
    <mergeCell ref="A33:A37"/>
    <mergeCell ref="B33:H33"/>
    <mergeCell ref="B34:D34"/>
    <mergeCell ref="E34:H34"/>
    <mergeCell ref="B35:D35"/>
    <mergeCell ref="B37:D37"/>
    <mergeCell ref="B36:D36"/>
    <mergeCell ref="E36:H36"/>
    <mergeCell ref="E37:H37"/>
  </mergeCells>
  <conditionalFormatting sqref="F38:H38">
    <cfRule type="cellIs" dxfId="5" priority="4" stopIfTrue="1" operator="equal">
      <formula>"EL CONTRATANTE"</formula>
    </cfRule>
    <cfRule type="cellIs" dxfId="4" priority="5" stopIfTrue="1" operator="equal">
      <formula>"EL CONTRATISTA"</formula>
    </cfRule>
    <cfRule type="cellIs" dxfId="3" priority="6" stopIfTrue="1" operator="equal">
      <formula>"AMBOS"</formula>
    </cfRule>
  </conditionalFormatting>
  <conditionalFormatting sqref="G24:H25">
    <cfRule type="expression" dxfId="2" priority="1" stopIfTrue="1">
      <formula>IF($G$24="INACEPTABLE",TRUE,FALSE)</formula>
    </cfRule>
    <cfRule type="expression" dxfId="1" priority="2" stopIfTrue="1">
      <formula>IF(OR($G$24="MODERADO",$G$24="IMPORTANTE"),TRUE,FALSE)</formula>
    </cfRule>
    <cfRule type="expression" dxfId="0" priority="3" stopIfTrue="1">
      <formula>IF(OR($G$24="ACEPTABLE",$G$24="TOLERABLE"),TRUE,FALSE)</formula>
    </cfRule>
  </conditionalFormatting>
  <dataValidations count="12">
    <dataValidation allowBlank="1" showInputMessage="1" showErrorMessage="1" promptTitle="RIESGO" prompt="Clasificación del riesgo según la combinación entre Probabilidad y Severidad" sqref="G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SEVERIDAD" prompt="Estime la severidad que tendrían las consecuencias  del riesgo si llegara a ocurrir" sqref="F23"/>
    <dataValidation type="list" allowBlank="1" showInputMessage="1" showErrorMessage="1" sqref="F38:H38">
      <formula1>"EL CONTRATANTE,EL CONTRATISTA,AMBOS"</formula1>
    </dataValidation>
    <dataValidation allowBlank="1" showInputMessage="1" showErrorMessage="1" promptTitle="ASIGNACIÓN DE RIESGOS" prompt="Determine quien debe asumir las consecuencias y cual es la participación de las partes en la administración del riesgo" sqref="A38"/>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CAUSAS" prompt="Describa las principales causas por las cuales se puede presentar el riesgo que ha sido considerado." sqref="B29:H29"/>
    <dataValidation allowBlank="1" showInputMessage="1" showErrorMessage="1" promptTitle="ASIGNACIÓN DE RIESGOS" prompt="Para cada medida de tratamiento, determine las actividades del PHVA, en que debe participar EL METRO y EL CONTRATISTA para administrar el riesgo." sqref="B33:H33"/>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NOMBRE CORTO DEL RIESGO" prompt="Los riesgos no son mas que posibles problemas con cosecuencias preocupantes para el contrato o para la Empresa." sqref="E21:F21"/>
    <dataValidation type="list" allowBlank="1" showInputMessage="1" showErrorMessage="1" sqref="E22">
      <formula1>"ANTES,DURANTE,DESPUÉS"</formula1>
    </dataValidation>
    <dataValidation errorStyle="information" allowBlank="1" showInputMessage="1" showErrorMessage="1" errorTitle="IMPACTO" error="Escoja una de las siguientes opciones:_x000a__x000a_LEVE_x000a_MODERADO_x000a_CATASTROFICO_x000a_" sqref="F24:F25"/>
  </dataValidations>
  <pageMargins left="0.7" right="0.7" top="0.75" bottom="0.75" header="0.3" footer="0.3"/>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5"/>
  <sheetViews>
    <sheetView view="pageBreakPreview" topLeftCell="A37" zoomScale="112" zoomScaleSheetLayoutView="112" workbookViewId="0">
      <selection activeCell="D16" sqref="D16"/>
    </sheetView>
  </sheetViews>
  <sheetFormatPr baseColWidth="10" defaultColWidth="10.85546875" defaultRowHeight="15" x14ac:dyDescent="0.25"/>
  <cols>
    <col min="1" max="1" width="10.85546875" style="79" collapsed="1"/>
    <col min="2" max="2" width="16" style="79" customWidth="1" collapsed="1"/>
    <col min="3" max="3" width="20" style="79" customWidth="1" collapsed="1"/>
    <col min="4" max="4" width="41.85546875" style="79" customWidth="1" collapsed="1"/>
    <col min="5" max="5" width="10.85546875" style="79" collapsed="1"/>
    <col min="6" max="6" width="13.28515625" style="79" customWidth="1" collapsed="1"/>
    <col min="7" max="7" width="16" style="79" bestFit="1" customWidth="1" collapsed="1"/>
    <col min="8" max="8" width="14.85546875" style="79" customWidth="1" collapsed="1"/>
    <col min="9" max="9" width="19.7109375" style="79" customWidth="1" collapsed="1"/>
    <col min="10" max="16384" width="10.85546875" style="79" collapsed="1"/>
  </cols>
  <sheetData>
    <row r="1" spans="1:9" ht="15" customHeight="1" x14ac:dyDescent="0.25">
      <c r="A1" s="236"/>
      <c r="B1" s="1141" t="s">
        <v>6</v>
      </c>
      <c r="C1" s="1141"/>
      <c r="D1" s="1141"/>
      <c r="E1" s="1141"/>
      <c r="F1" s="1141"/>
      <c r="G1" s="1141"/>
      <c r="H1" s="1141"/>
      <c r="I1" s="1142"/>
    </row>
    <row r="2" spans="1:9" ht="18" customHeight="1" x14ac:dyDescent="0.25">
      <c r="A2" s="237"/>
      <c r="B2" s="1144" t="s">
        <v>827</v>
      </c>
      <c r="C2" s="1144"/>
      <c r="D2" s="1144"/>
      <c r="E2" s="1144"/>
      <c r="F2" s="1144"/>
      <c r="G2" s="1144"/>
      <c r="H2" s="1144"/>
      <c r="I2" s="1145"/>
    </row>
    <row r="3" spans="1:9" ht="18.75" customHeight="1" thickBot="1" x14ac:dyDescent="0.3">
      <c r="A3" s="238"/>
      <c r="B3" s="1147" t="s">
        <v>415</v>
      </c>
      <c r="C3" s="1147"/>
      <c r="D3" s="1147"/>
      <c r="E3" s="1147"/>
      <c r="F3" s="1147"/>
      <c r="G3" s="1147"/>
      <c r="H3" s="1147"/>
      <c r="I3" s="1148"/>
    </row>
    <row r="4" spans="1:9" ht="6" customHeight="1" thickBot="1" x14ac:dyDescent="0.3">
      <c r="B4" s="1174"/>
      <c r="C4" s="1174"/>
      <c r="D4" s="1174"/>
      <c r="E4" s="1174"/>
      <c r="F4" s="1174"/>
      <c r="G4" s="1174"/>
      <c r="H4" s="1174"/>
      <c r="I4" s="1174"/>
    </row>
    <row r="5" spans="1:9" ht="46.5" customHeight="1" thickBot="1" x14ac:dyDescent="0.3">
      <c r="A5" s="1149" t="s">
        <v>357</v>
      </c>
      <c r="B5" s="1183"/>
      <c r="C5" s="1150"/>
      <c r="D5" s="1151" t="str">
        <f>PRESUPUESTO!B5</f>
        <v>MANTENIMIENTO PREVENTIVO Y CORRECTIVO DE LOS TANQUES DE AGUA PARA LA INFRAESTRUCTURA INSTITUCIONAL SEGÚN REQUERIMIENTO DEL MUNICIPIO DE ENVIGADO</v>
      </c>
      <c r="E5" s="1180"/>
      <c r="F5" s="1180"/>
      <c r="G5" s="1180"/>
      <c r="H5" s="1180"/>
      <c r="I5" s="1181"/>
    </row>
    <row r="6" spans="1:9" ht="6" customHeight="1" thickBot="1" x14ac:dyDescent="0.3">
      <c r="B6" s="1174"/>
      <c r="C6" s="1174"/>
      <c r="D6" s="1174"/>
      <c r="E6" s="1174"/>
      <c r="F6" s="1174"/>
      <c r="G6" s="1174"/>
      <c r="H6" s="1174"/>
      <c r="I6" s="1174"/>
    </row>
    <row r="7" spans="1:9" ht="55.5" customHeight="1" thickBot="1" x14ac:dyDescent="0.3">
      <c r="A7" s="1154" t="s">
        <v>715</v>
      </c>
      <c r="B7" s="1155"/>
      <c r="C7" s="1155"/>
      <c r="D7" s="1155"/>
      <c r="E7" s="1155"/>
      <c r="F7" s="1155"/>
      <c r="G7" s="1155"/>
      <c r="H7" s="1155"/>
      <c r="I7" s="1156"/>
    </row>
    <row r="8" spans="1:9" ht="6" customHeight="1" thickBot="1" x14ac:dyDescent="0.3">
      <c r="B8" s="1174"/>
      <c r="C8" s="1174"/>
      <c r="D8" s="1174"/>
      <c r="E8" s="1174"/>
      <c r="F8" s="1174"/>
      <c r="G8" s="1174"/>
      <c r="H8" s="1174"/>
      <c r="I8" s="1174"/>
    </row>
    <row r="9" spans="1:9" ht="45" customHeight="1" x14ac:dyDescent="0.25">
      <c r="A9" s="1184" t="s">
        <v>762</v>
      </c>
      <c r="B9" s="248" t="s">
        <v>718</v>
      </c>
      <c r="C9" s="248" t="s">
        <v>717</v>
      </c>
      <c r="D9" s="249" t="s">
        <v>581</v>
      </c>
      <c r="E9" s="248" t="s">
        <v>582</v>
      </c>
      <c r="F9" s="248" t="s">
        <v>65</v>
      </c>
      <c r="G9" s="248" t="s">
        <v>583</v>
      </c>
      <c r="H9" s="248" t="s">
        <v>584</v>
      </c>
      <c r="I9" s="250" t="s">
        <v>66</v>
      </c>
    </row>
    <row r="10" spans="1:9" ht="38.25" x14ac:dyDescent="0.25">
      <c r="A10" s="1185"/>
      <c r="B10" s="235" t="s">
        <v>719</v>
      </c>
      <c r="C10" s="235" t="s">
        <v>720</v>
      </c>
      <c r="D10" s="244" t="s">
        <v>803</v>
      </c>
      <c r="E10" s="201">
        <f>'ARU DEFINITIVO'!D11</f>
        <v>1</v>
      </c>
      <c r="F10" s="201">
        <v>0</v>
      </c>
      <c r="G10" s="594">
        <v>200000</v>
      </c>
      <c r="H10" s="222">
        <v>0</v>
      </c>
      <c r="I10" s="224">
        <f>(E10*F10*G10*(1+H10))</f>
        <v>0</v>
      </c>
    </row>
    <row r="11" spans="1:9" ht="33.75" customHeight="1" x14ac:dyDescent="0.25">
      <c r="A11" s="1185"/>
      <c r="B11" s="1176" t="s">
        <v>721</v>
      </c>
      <c r="C11" s="1177" t="s">
        <v>720</v>
      </c>
      <c r="D11" s="245" t="s">
        <v>804</v>
      </c>
      <c r="E11" s="201">
        <f>E10</f>
        <v>1</v>
      </c>
      <c r="F11" s="201">
        <v>0</v>
      </c>
      <c r="G11" s="594">
        <v>3200</v>
      </c>
      <c r="H11" s="222">
        <v>0</v>
      </c>
      <c r="I11" s="224">
        <f t="shared" ref="I11:I12" si="0">(E11*F11*G11*(1+H11))</f>
        <v>0</v>
      </c>
    </row>
    <row r="12" spans="1:9" ht="38.25" x14ac:dyDescent="0.25">
      <c r="A12" s="1185"/>
      <c r="B12" s="1176"/>
      <c r="C12" s="1177"/>
      <c r="D12" s="244" t="s">
        <v>828</v>
      </c>
      <c r="E12" s="201">
        <f t="shared" ref="E12:E18" si="1">E11</f>
        <v>1</v>
      </c>
      <c r="F12" s="201">
        <v>0</v>
      </c>
      <c r="G12" s="594">
        <v>2500000</v>
      </c>
      <c r="H12" s="222">
        <v>0</v>
      </c>
      <c r="I12" s="224">
        <f t="shared" si="0"/>
        <v>0</v>
      </c>
    </row>
    <row r="13" spans="1:9" x14ac:dyDescent="0.25">
      <c r="A13" s="1185"/>
      <c r="B13" s="1176"/>
      <c r="C13" s="1177"/>
      <c r="D13" s="244" t="s">
        <v>585</v>
      </c>
      <c r="E13" s="201">
        <f t="shared" si="1"/>
        <v>1</v>
      </c>
      <c r="F13" s="201">
        <v>0</v>
      </c>
      <c r="G13" s="594">
        <v>110000</v>
      </c>
      <c r="H13" s="222">
        <v>0</v>
      </c>
      <c r="I13" s="224">
        <f t="shared" ref="I13" si="2">(E13*F13*G13*(1+H13))</f>
        <v>0</v>
      </c>
    </row>
    <row r="14" spans="1:9" ht="25.5" x14ac:dyDescent="0.25">
      <c r="A14" s="1185"/>
      <c r="B14" s="1176"/>
      <c r="C14" s="1177"/>
      <c r="D14" s="244" t="s">
        <v>587</v>
      </c>
      <c r="E14" s="201" t="s">
        <v>805</v>
      </c>
      <c r="F14" s="201">
        <v>0</v>
      </c>
      <c r="G14" s="594">
        <v>181900</v>
      </c>
      <c r="H14" s="222">
        <v>0</v>
      </c>
      <c r="I14" s="224">
        <f>F14*G14</f>
        <v>0</v>
      </c>
    </row>
    <row r="15" spans="1:9" x14ac:dyDescent="0.25">
      <c r="A15" s="1185"/>
      <c r="B15" s="1176"/>
      <c r="C15" s="1177"/>
      <c r="D15" s="244" t="s">
        <v>722</v>
      </c>
      <c r="E15" s="201" t="str">
        <f t="shared" si="1"/>
        <v>N/A</v>
      </c>
      <c r="F15" s="201">
        <v>0</v>
      </c>
      <c r="G15" s="595">
        <v>50000</v>
      </c>
      <c r="H15" s="222">
        <v>0</v>
      </c>
      <c r="I15" s="224">
        <f t="shared" ref="I15:I16" si="3">F15*G15</f>
        <v>0</v>
      </c>
    </row>
    <row r="16" spans="1:9" ht="51" x14ac:dyDescent="0.25">
      <c r="A16" s="1185"/>
      <c r="B16" s="1176"/>
      <c r="C16" s="1177"/>
      <c r="D16" s="244" t="s">
        <v>829</v>
      </c>
      <c r="E16" s="201" t="str">
        <f t="shared" si="1"/>
        <v>N/A</v>
      </c>
      <c r="F16" s="201">
        <v>0</v>
      </c>
      <c r="G16" s="595">
        <v>5635000</v>
      </c>
      <c r="H16" s="222">
        <v>0</v>
      </c>
      <c r="I16" s="224">
        <f t="shared" si="3"/>
        <v>0</v>
      </c>
    </row>
    <row r="17" spans="1:9" ht="39" customHeight="1" x14ac:dyDescent="0.25">
      <c r="A17" s="1185"/>
      <c r="B17" s="1178" t="s">
        <v>723</v>
      </c>
      <c r="C17" s="1204" t="s">
        <v>720</v>
      </c>
      <c r="D17" s="244" t="s">
        <v>586</v>
      </c>
      <c r="E17" s="201" t="str">
        <f t="shared" si="1"/>
        <v>N/A</v>
      </c>
      <c r="F17" s="201">
        <v>0</v>
      </c>
      <c r="G17" s="594">
        <v>2000000</v>
      </c>
      <c r="H17" s="222">
        <v>0</v>
      </c>
      <c r="I17" s="224">
        <f>G17*F17</f>
        <v>0</v>
      </c>
    </row>
    <row r="18" spans="1:9" x14ac:dyDescent="0.25">
      <c r="A18" s="1185"/>
      <c r="B18" s="1179"/>
      <c r="C18" s="1205"/>
      <c r="D18" s="244" t="s">
        <v>806</v>
      </c>
      <c r="E18" s="201" t="str">
        <f t="shared" si="1"/>
        <v>N/A</v>
      </c>
      <c r="F18" s="201">
        <v>0</v>
      </c>
      <c r="G18" s="594">
        <v>916300</v>
      </c>
      <c r="H18" s="222">
        <v>0</v>
      </c>
      <c r="I18" s="224">
        <f t="shared" ref="I18:I19" si="4">G18*F18</f>
        <v>0</v>
      </c>
    </row>
    <row r="19" spans="1:9" ht="76.5" x14ac:dyDescent="0.25">
      <c r="A19" s="1185"/>
      <c r="B19" s="234" t="s">
        <v>735</v>
      </c>
      <c r="C19" s="235" t="s">
        <v>736</v>
      </c>
      <c r="D19" s="244" t="s">
        <v>760</v>
      </c>
      <c r="E19" s="201" t="str">
        <f>E17</f>
        <v>N/A</v>
      </c>
      <c r="F19" s="201">
        <v>0</v>
      </c>
      <c r="G19" s="594">
        <v>6000000</v>
      </c>
      <c r="H19" s="222">
        <v>0</v>
      </c>
      <c r="I19" s="224">
        <f t="shared" si="4"/>
        <v>0</v>
      </c>
    </row>
    <row r="20" spans="1:9" ht="15.75" customHeight="1" thickBot="1" x14ac:dyDescent="0.3">
      <c r="A20" s="1186"/>
      <c r="B20" s="1206" t="s">
        <v>588</v>
      </c>
      <c r="C20" s="1206"/>
      <c r="D20" s="1206"/>
      <c r="E20" s="1206"/>
      <c r="F20" s="1206"/>
      <c r="G20" s="1206"/>
      <c r="H20" s="1206"/>
      <c r="I20" s="251">
        <f>SUM(I10:I19)</f>
        <v>0</v>
      </c>
    </row>
    <row r="21" spans="1:9" ht="45" customHeight="1" x14ac:dyDescent="0.25">
      <c r="A21" s="1187" t="s">
        <v>763</v>
      </c>
      <c r="B21" s="252" t="s">
        <v>718</v>
      </c>
      <c r="C21" s="252" t="s">
        <v>717</v>
      </c>
      <c r="D21" s="253" t="s">
        <v>581</v>
      </c>
      <c r="E21" s="252" t="s">
        <v>582</v>
      </c>
      <c r="F21" s="252" t="s">
        <v>65</v>
      </c>
      <c r="G21" s="252" t="s">
        <v>583</v>
      </c>
      <c r="H21" s="252" t="s">
        <v>584</v>
      </c>
      <c r="I21" s="254" t="s">
        <v>66</v>
      </c>
    </row>
    <row r="22" spans="1:9" x14ac:dyDescent="0.25">
      <c r="A22" s="1188"/>
      <c r="B22" s="1176" t="s">
        <v>724</v>
      </c>
      <c r="C22" s="1177" t="s">
        <v>725</v>
      </c>
      <c r="D22" s="711" t="s">
        <v>589</v>
      </c>
      <c r="E22" s="167" t="s">
        <v>805</v>
      </c>
      <c r="F22" s="167">
        <v>0</v>
      </c>
      <c r="G22" s="218">
        <v>151130</v>
      </c>
      <c r="H22" s="239">
        <v>0</v>
      </c>
      <c r="I22" s="219">
        <f>F22*G22</f>
        <v>0</v>
      </c>
    </row>
    <row r="23" spans="1:9" x14ac:dyDescent="0.25">
      <c r="A23" s="1188"/>
      <c r="B23" s="1176"/>
      <c r="C23" s="1177"/>
      <c r="D23" s="711" t="s">
        <v>807</v>
      </c>
      <c r="E23" s="167" t="s">
        <v>805</v>
      </c>
      <c r="F23" s="167">
        <v>0</v>
      </c>
      <c r="G23" s="218">
        <v>119273</v>
      </c>
      <c r="H23" s="239">
        <v>0</v>
      </c>
      <c r="I23" s="219">
        <f t="shared" ref="I23:I24" si="5">F23*G23</f>
        <v>0</v>
      </c>
    </row>
    <row r="24" spans="1:9" x14ac:dyDescent="0.25">
      <c r="A24" s="1188"/>
      <c r="B24" s="1203"/>
      <c r="C24" s="1177"/>
      <c r="D24" s="712" t="s">
        <v>590</v>
      </c>
      <c r="E24" s="167" t="s">
        <v>805</v>
      </c>
      <c r="F24" s="201">
        <v>0</v>
      </c>
      <c r="G24" s="221">
        <v>35287</v>
      </c>
      <c r="H24" s="239">
        <v>0</v>
      </c>
      <c r="I24" s="219">
        <f t="shared" si="5"/>
        <v>0</v>
      </c>
    </row>
    <row r="25" spans="1:9" x14ac:dyDescent="0.25">
      <c r="A25" s="1188"/>
      <c r="B25" s="1203"/>
      <c r="C25" s="1177"/>
      <c r="D25" s="712" t="s">
        <v>591</v>
      </c>
      <c r="E25" s="167" t="s">
        <v>805</v>
      </c>
      <c r="F25" s="201">
        <v>0</v>
      </c>
      <c r="G25" s="221">
        <v>3808</v>
      </c>
      <c r="H25" s="239">
        <v>0</v>
      </c>
      <c r="I25" s="219">
        <f t="shared" ref="I25:I39" si="6">(1*F25*G25*(1+H25))</f>
        <v>0</v>
      </c>
    </row>
    <row r="26" spans="1:9" x14ac:dyDescent="0.25">
      <c r="A26" s="1188"/>
      <c r="B26" s="1203"/>
      <c r="C26" s="1177"/>
      <c r="D26" s="712" t="s">
        <v>592</v>
      </c>
      <c r="E26" s="713" t="s">
        <v>805</v>
      </c>
      <c r="F26" s="714">
        <v>0</v>
      </c>
      <c r="G26" s="715">
        <v>14800</v>
      </c>
      <c r="H26" s="716">
        <v>0</v>
      </c>
      <c r="I26" s="219">
        <f t="shared" si="6"/>
        <v>0</v>
      </c>
    </row>
    <row r="27" spans="1:9" x14ac:dyDescent="0.25">
      <c r="A27" s="1188"/>
      <c r="B27" s="1203"/>
      <c r="C27" s="1177"/>
      <c r="D27" s="712" t="s">
        <v>593</v>
      </c>
      <c r="E27" s="167" t="s">
        <v>805</v>
      </c>
      <c r="F27" s="201">
        <v>0</v>
      </c>
      <c r="G27" s="221">
        <v>2280</v>
      </c>
      <c r="H27" s="716">
        <v>0</v>
      </c>
      <c r="I27" s="219">
        <f t="shared" si="6"/>
        <v>0</v>
      </c>
    </row>
    <row r="28" spans="1:9" x14ac:dyDescent="0.25">
      <c r="A28" s="1188"/>
      <c r="B28" s="1203"/>
      <c r="C28" s="1177"/>
      <c r="D28" s="712" t="s">
        <v>594</v>
      </c>
      <c r="E28" s="167" t="s">
        <v>805</v>
      </c>
      <c r="F28" s="201">
        <v>0</v>
      </c>
      <c r="G28" s="221">
        <v>11000</v>
      </c>
      <c r="H28" s="716">
        <v>0</v>
      </c>
      <c r="I28" s="219">
        <f t="shared" si="6"/>
        <v>0</v>
      </c>
    </row>
    <row r="29" spans="1:9" x14ac:dyDescent="0.25">
      <c r="A29" s="1188"/>
      <c r="B29" s="1203"/>
      <c r="C29" s="1177"/>
      <c r="D29" s="245" t="s">
        <v>597</v>
      </c>
      <c r="E29" s="167" t="s">
        <v>805</v>
      </c>
      <c r="F29" s="167">
        <v>0</v>
      </c>
      <c r="G29" s="218">
        <v>265000</v>
      </c>
      <c r="H29" s="239">
        <v>0</v>
      </c>
      <c r="I29" s="219">
        <f t="shared" si="6"/>
        <v>0</v>
      </c>
    </row>
    <row r="30" spans="1:9" x14ac:dyDescent="0.25">
      <c r="A30" s="1188"/>
      <c r="B30" s="1203"/>
      <c r="C30" s="1177"/>
      <c r="D30" s="245" t="s">
        <v>598</v>
      </c>
      <c r="E30" s="167" t="s">
        <v>805</v>
      </c>
      <c r="F30" s="167">
        <v>0</v>
      </c>
      <c r="G30" s="218">
        <v>205800</v>
      </c>
      <c r="H30" s="239">
        <v>0</v>
      </c>
      <c r="I30" s="219">
        <f t="shared" si="6"/>
        <v>0</v>
      </c>
    </row>
    <row r="31" spans="1:9" x14ac:dyDescent="0.25">
      <c r="A31" s="1188"/>
      <c r="B31" s="1203"/>
      <c r="C31" s="1177"/>
      <c r="D31" s="711" t="s">
        <v>727</v>
      </c>
      <c r="E31" s="167" t="s">
        <v>805</v>
      </c>
      <c r="F31" s="167">
        <v>0</v>
      </c>
      <c r="G31" s="218">
        <v>105910</v>
      </c>
      <c r="H31" s="239">
        <v>0</v>
      </c>
      <c r="I31" s="219">
        <f t="shared" si="6"/>
        <v>0</v>
      </c>
    </row>
    <row r="32" spans="1:9" x14ac:dyDescent="0.25">
      <c r="A32" s="1188"/>
      <c r="B32" s="1203"/>
      <c r="C32" s="1177"/>
      <c r="D32" s="245" t="s">
        <v>601</v>
      </c>
      <c r="E32" s="167" t="s">
        <v>805</v>
      </c>
      <c r="F32" s="201">
        <v>0</v>
      </c>
      <c r="G32" s="240">
        <v>7300</v>
      </c>
      <c r="H32" s="239">
        <v>0.58279999999999998</v>
      </c>
      <c r="I32" s="219">
        <f t="shared" si="6"/>
        <v>0</v>
      </c>
    </row>
    <row r="33" spans="1:9" x14ac:dyDescent="0.25">
      <c r="A33" s="1188"/>
      <c r="B33" s="1203"/>
      <c r="C33" s="1177"/>
      <c r="D33" s="245" t="s">
        <v>599</v>
      </c>
      <c r="E33" s="167" t="s">
        <v>805</v>
      </c>
      <c r="F33" s="167">
        <v>0</v>
      </c>
      <c r="G33" s="717">
        <v>36000</v>
      </c>
      <c r="H33" s="239">
        <v>0</v>
      </c>
      <c r="I33" s="219">
        <f t="shared" si="6"/>
        <v>0</v>
      </c>
    </row>
    <row r="34" spans="1:9" ht="15" customHeight="1" x14ac:dyDescent="0.25">
      <c r="A34" s="1188"/>
      <c r="B34" s="1203"/>
      <c r="C34" s="1176" t="s">
        <v>726</v>
      </c>
      <c r="D34" s="244" t="s">
        <v>808</v>
      </c>
      <c r="E34" s="167" t="s">
        <v>805</v>
      </c>
      <c r="F34" s="201">
        <v>0</v>
      </c>
      <c r="G34" s="241">
        <v>357800</v>
      </c>
      <c r="H34" s="222">
        <v>0</v>
      </c>
      <c r="I34" s="219">
        <f t="shared" si="6"/>
        <v>0</v>
      </c>
    </row>
    <row r="35" spans="1:9" x14ac:dyDescent="0.25">
      <c r="A35" s="1188"/>
      <c r="B35" s="1203"/>
      <c r="C35" s="1176"/>
      <c r="D35" s="244" t="s">
        <v>809</v>
      </c>
      <c r="E35" s="167" t="s">
        <v>805</v>
      </c>
      <c r="F35" s="201">
        <v>0</v>
      </c>
      <c r="G35" s="241">
        <v>100000</v>
      </c>
      <c r="H35" s="222">
        <v>0</v>
      </c>
      <c r="I35" s="219">
        <f t="shared" si="6"/>
        <v>0</v>
      </c>
    </row>
    <row r="36" spans="1:9" x14ac:dyDescent="0.25">
      <c r="A36" s="1188"/>
      <c r="B36" s="1203"/>
      <c r="C36" s="1176"/>
      <c r="D36" s="245" t="s">
        <v>595</v>
      </c>
      <c r="E36" s="167" t="s">
        <v>805</v>
      </c>
      <c r="F36" s="167">
        <v>0</v>
      </c>
      <c r="G36" s="240">
        <v>1500000</v>
      </c>
      <c r="H36" s="239">
        <v>0</v>
      </c>
      <c r="I36" s="219">
        <f t="shared" si="6"/>
        <v>0</v>
      </c>
    </row>
    <row r="37" spans="1:9" x14ac:dyDescent="0.25">
      <c r="A37" s="1188"/>
      <c r="B37" s="1203"/>
      <c r="C37" s="1176"/>
      <c r="D37" s="245" t="s">
        <v>596</v>
      </c>
      <c r="E37" s="167">
        <f>E10</f>
        <v>1</v>
      </c>
      <c r="F37" s="167">
        <v>0</v>
      </c>
      <c r="G37" s="240">
        <v>100000</v>
      </c>
      <c r="H37" s="239">
        <v>0</v>
      </c>
      <c r="I37" s="219">
        <f t="shared" si="6"/>
        <v>0</v>
      </c>
    </row>
    <row r="38" spans="1:9" x14ac:dyDescent="0.25">
      <c r="A38" s="1188"/>
      <c r="B38" s="1203"/>
      <c r="C38" s="1176"/>
      <c r="D38" s="245" t="s">
        <v>600</v>
      </c>
      <c r="E38" s="167" t="s">
        <v>805</v>
      </c>
      <c r="F38" s="167">
        <v>0</v>
      </c>
      <c r="G38" s="240">
        <v>514080</v>
      </c>
      <c r="H38" s="239">
        <v>0</v>
      </c>
      <c r="I38" s="219">
        <f t="shared" si="6"/>
        <v>0</v>
      </c>
    </row>
    <row r="39" spans="1:9" x14ac:dyDescent="0.25">
      <c r="A39" s="1188"/>
      <c r="B39" s="1203"/>
      <c r="C39" s="1176"/>
      <c r="D39" s="245" t="s">
        <v>602</v>
      </c>
      <c r="E39" s="167" t="s">
        <v>805</v>
      </c>
      <c r="F39" s="201">
        <v>0</v>
      </c>
      <c r="G39" s="240">
        <v>225000</v>
      </c>
      <c r="H39" s="239">
        <f>+H33</f>
        <v>0</v>
      </c>
      <c r="I39" s="219">
        <f t="shared" si="6"/>
        <v>0</v>
      </c>
    </row>
    <row r="40" spans="1:9" ht="15.75" thickBot="1" x14ac:dyDescent="0.3">
      <c r="A40" s="1189"/>
      <c r="B40" s="1175" t="s">
        <v>603</v>
      </c>
      <c r="C40" s="1175"/>
      <c r="D40" s="1175"/>
      <c r="E40" s="1175"/>
      <c r="F40" s="1175"/>
      <c r="G40" s="1175"/>
      <c r="H40" s="1175"/>
      <c r="I40" s="255">
        <f>SUM(I22:I39)</f>
        <v>0</v>
      </c>
    </row>
    <row r="41" spans="1:9" ht="45" customHeight="1" x14ac:dyDescent="0.25">
      <c r="A41" s="1190" t="s">
        <v>764</v>
      </c>
      <c r="B41" s="256" t="s">
        <v>718</v>
      </c>
      <c r="C41" s="256" t="s">
        <v>717</v>
      </c>
      <c r="D41" s="257" t="s">
        <v>581</v>
      </c>
      <c r="E41" s="256" t="s">
        <v>582</v>
      </c>
      <c r="F41" s="256" t="s">
        <v>65</v>
      </c>
      <c r="G41" s="256" t="s">
        <v>583</v>
      </c>
      <c r="H41" s="256" t="s">
        <v>584</v>
      </c>
      <c r="I41" s="258" t="s">
        <v>66</v>
      </c>
    </row>
    <row r="42" spans="1:9" x14ac:dyDescent="0.25">
      <c r="A42" s="1191"/>
      <c r="B42" s="1176" t="s">
        <v>732</v>
      </c>
      <c r="C42" s="1176" t="s">
        <v>728</v>
      </c>
      <c r="D42" s="245" t="s">
        <v>604</v>
      </c>
      <c r="E42" s="201">
        <v>0</v>
      </c>
      <c r="F42" s="201">
        <v>0</v>
      </c>
      <c r="G42" s="226">
        <v>7850</v>
      </c>
      <c r="H42" s="222">
        <f>+H39</f>
        <v>0</v>
      </c>
      <c r="I42" s="224">
        <f>(E42*F42*G42*(1+H42))</f>
        <v>0</v>
      </c>
    </row>
    <row r="43" spans="1:9" x14ac:dyDescent="0.25">
      <c r="A43" s="1191"/>
      <c r="B43" s="1176"/>
      <c r="C43" s="1176"/>
      <c r="D43" s="246" t="s">
        <v>729</v>
      </c>
      <c r="E43" s="220">
        <v>0</v>
      </c>
      <c r="F43" s="220">
        <v>0</v>
      </c>
      <c r="G43" s="242">
        <v>320000</v>
      </c>
      <c r="H43" s="222">
        <f>+H40</f>
        <v>0</v>
      </c>
      <c r="I43" s="224">
        <f t="shared" ref="I43:I45" si="7">(E43*F43*G43*(1+H43))</f>
        <v>0</v>
      </c>
    </row>
    <row r="44" spans="1:9" ht="30" x14ac:dyDescent="0.25">
      <c r="A44" s="1191"/>
      <c r="B44" s="1176"/>
      <c r="C44" s="1176"/>
      <c r="D44" s="247" t="s">
        <v>730</v>
      </c>
      <c r="E44" s="223">
        <v>0</v>
      </c>
      <c r="F44" s="223">
        <v>0</v>
      </c>
      <c r="G44" s="243">
        <v>415800</v>
      </c>
      <c r="H44" s="222">
        <v>0</v>
      </c>
      <c r="I44" s="224">
        <f t="shared" si="7"/>
        <v>0</v>
      </c>
    </row>
    <row r="45" spans="1:9" ht="38.25" x14ac:dyDescent="0.25">
      <c r="A45" s="1191"/>
      <c r="B45" s="1176"/>
      <c r="C45" s="1176"/>
      <c r="D45" s="244" t="s">
        <v>731</v>
      </c>
      <c r="E45" s="167">
        <v>0</v>
      </c>
      <c r="F45" s="201">
        <v>0</v>
      </c>
      <c r="G45" s="240">
        <f>60000*1.8</f>
        <v>108000</v>
      </c>
      <c r="H45" s="222">
        <v>0</v>
      </c>
      <c r="I45" s="224">
        <f t="shared" si="7"/>
        <v>0</v>
      </c>
    </row>
    <row r="46" spans="1:9" x14ac:dyDescent="0.25">
      <c r="A46" s="1191"/>
      <c r="B46" s="1176"/>
      <c r="C46" s="1176"/>
      <c r="D46" s="244" t="s">
        <v>612</v>
      </c>
      <c r="E46" s="167">
        <v>0</v>
      </c>
      <c r="F46" s="201">
        <v>0</v>
      </c>
      <c r="G46" s="240">
        <f>1250000*1.8</f>
        <v>2250000</v>
      </c>
      <c r="H46" s="239">
        <v>0</v>
      </c>
      <c r="I46" s="262">
        <f t="shared" ref="I46:I68" si="8">(E46*F46*G46*(1+H46))</f>
        <v>0</v>
      </c>
    </row>
    <row r="47" spans="1:9" x14ac:dyDescent="0.25">
      <c r="A47" s="1191"/>
      <c r="B47" s="1176"/>
      <c r="C47" s="1176"/>
      <c r="D47" s="244" t="s">
        <v>613</v>
      </c>
      <c r="E47" s="167">
        <v>0</v>
      </c>
      <c r="F47" s="201">
        <v>0</v>
      </c>
      <c r="G47" s="240">
        <f>375000*1.8</f>
        <v>675000</v>
      </c>
      <c r="H47" s="239">
        <v>0</v>
      </c>
      <c r="I47" s="262">
        <f t="shared" si="8"/>
        <v>0</v>
      </c>
    </row>
    <row r="48" spans="1:9" x14ac:dyDescent="0.25">
      <c r="A48" s="1191"/>
      <c r="B48" s="1176"/>
      <c r="C48" s="1176"/>
      <c r="D48" s="244" t="s">
        <v>614</v>
      </c>
      <c r="E48" s="167">
        <v>0</v>
      </c>
      <c r="F48" s="201">
        <v>0</v>
      </c>
      <c r="G48" s="240">
        <f>350000*1.8</f>
        <v>630000</v>
      </c>
      <c r="H48" s="239">
        <v>0</v>
      </c>
      <c r="I48" s="262">
        <f t="shared" si="8"/>
        <v>0</v>
      </c>
    </row>
    <row r="49" spans="1:9" ht="26.25" customHeight="1" x14ac:dyDescent="0.25">
      <c r="A49" s="1191"/>
      <c r="B49" s="1176" t="s">
        <v>733</v>
      </c>
      <c r="C49" s="1176" t="s">
        <v>734</v>
      </c>
      <c r="D49" s="244" t="s">
        <v>605</v>
      </c>
      <c r="E49" s="167">
        <v>0</v>
      </c>
      <c r="F49" s="201">
        <v>0</v>
      </c>
      <c r="G49" s="240">
        <f>18464*1.8</f>
        <v>33235.200000000004</v>
      </c>
      <c r="H49" s="239">
        <v>0</v>
      </c>
      <c r="I49" s="219">
        <f t="shared" si="8"/>
        <v>0</v>
      </c>
    </row>
    <row r="50" spans="1:9" ht="26.25" customHeight="1" x14ac:dyDescent="0.25">
      <c r="A50" s="1191"/>
      <c r="B50" s="1176"/>
      <c r="C50" s="1176"/>
      <c r="D50" s="244" t="s">
        <v>810</v>
      </c>
      <c r="E50" s="167" t="s">
        <v>805</v>
      </c>
      <c r="F50" s="201">
        <v>0</v>
      </c>
      <c r="G50" s="240">
        <v>699900</v>
      </c>
      <c r="H50" s="239">
        <v>0</v>
      </c>
      <c r="I50" s="219">
        <f>F50*G50</f>
        <v>0</v>
      </c>
    </row>
    <row r="51" spans="1:9" ht="25.5" x14ac:dyDescent="0.25">
      <c r="A51" s="1191"/>
      <c r="B51" s="1176"/>
      <c r="C51" s="1176"/>
      <c r="D51" s="244" t="s">
        <v>606</v>
      </c>
      <c r="E51" s="167" t="s">
        <v>805</v>
      </c>
      <c r="F51" s="201">
        <v>0</v>
      </c>
      <c r="G51" s="240">
        <v>158900</v>
      </c>
      <c r="H51" s="239">
        <v>0</v>
      </c>
      <c r="I51" s="219">
        <f t="shared" ref="I51:I52" si="9">F51*G51</f>
        <v>0</v>
      </c>
    </row>
    <row r="52" spans="1:9" ht="38.25" x14ac:dyDescent="0.25">
      <c r="A52" s="1191"/>
      <c r="B52" s="1176"/>
      <c r="C52" s="1176"/>
      <c r="D52" s="244" t="s">
        <v>607</v>
      </c>
      <c r="E52" s="167" t="s">
        <v>805</v>
      </c>
      <c r="F52" s="201">
        <v>0</v>
      </c>
      <c r="G52" s="240">
        <v>9800</v>
      </c>
      <c r="H52" s="239">
        <v>0</v>
      </c>
      <c r="I52" s="219">
        <f t="shared" si="9"/>
        <v>0</v>
      </c>
    </row>
    <row r="53" spans="1:9" ht="25.5" x14ac:dyDescent="0.25">
      <c r="A53" s="1191"/>
      <c r="B53" s="1176"/>
      <c r="C53" s="1176"/>
      <c r="D53" s="244" t="s">
        <v>812</v>
      </c>
      <c r="E53" s="167">
        <v>0</v>
      </c>
      <c r="F53" s="201">
        <v>0</v>
      </c>
      <c r="G53" s="240">
        <v>19900</v>
      </c>
      <c r="H53" s="239">
        <v>0</v>
      </c>
      <c r="I53" s="219">
        <f t="shared" si="8"/>
        <v>0</v>
      </c>
    </row>
    <row r="54" spans="1:9" x14ac:dyDescent="0.25">
      <c r="A54" s="1191"/>
      <c r="B54" s="1176"/>
      <c r="C54" s="1176"/>
      <c r="D54" s="244" t="s">
        <v>811</v>
      </c>
      <c r="E54" s="167">
        <v>0</v>
      </c>
      <c r="F54" s="201">
        <v>0</v>
      </c>
      <c r="G54" s="240">
        <v>850</v>
      </c>
      <c r="H54" s="239">
        <v>1</v>
      </c>
      <c r="I54" s="219">
        <f t="shared" ref="I54" si="10">(E54*F54*G54*(1+H54))</f>
        <v>0</v>
      </c>
    </row>
    <row r="55" spans="1:9" x14ac:dyDescent="0.25">
      <c r="A55" s="1191"/>
      <c r="B55" s="1176"/>
      <c r="C55" s="1176"/>
      <c r="D55" s="244" t="s">
        <v>615</v>
      </c>
      <c r="E55" s="167" t="s">
        <v>805</v>
      </c>
      <c r="F55" s="201">
        <v>0</v>
      </c>
      <c r="G55" s="240">
        <v>405000</v>
      </c>
      <c r="H55" s="239">
        <v>0</v>
      </c>
      <c r="I55" s="219">
        <f>F55*G55</f>
        <v>0</v>
      </c>
    </row>
    <row r="56" spans="1:9" ht="25.5" x14ac:dyDescent="0.25">
      <c r="A56" s="1191"/>
      <c r="B56" s="1176"/>
      <c r="C56" s="1176"/>
      <c r="D56" s="244" t="s">
        <v>616</v>
      </c>
      <c r="E56" s="167" t="s">
        <v>805</v>
      </c>
      <c r="F56" s="201">
        <v>0</v>
      </c>
      <c r="G56" s="240">
        <v>4500</v>
      </c>
      <c r="H56" s="239">
        <v>0</v>
      </c>
      <c r="I56" s="219">
        <f>F56*G56</f>
        <v>0</v>
      </c>
    </row>
    <row r="57" spans="1:9" x14ac:dyDescent="0.25">
      <c r="A57" s="1191"/>
      <c r="B57" s="1176"/>
      <c r="C57" s="1176"/>
      <c r="D57" s="245" t="s">
        <v>608</v>
      </c>
      <c r="E57" s="167" t="s">
        <v>805</v>
      </c>
      <c r="F57" s="201">
        <v>0</v>
      </c>
      <c r="G57" s="240">
        <v>278900</v>
      </c>
      <c r="H57" s="239">
        <v>0</v>
      </c>
      <c r="I57" s="219">
        <f>F57*G57</f>
        <v>0</v>
      </c>
    </row>
    <row r="58" spans="1:9" ht="31.5" customHeight="1" x14ac:dyDescent="0.25">
      <c r="A58" s="1191"/>
      <c r="B58" s="1176"/>
      <c r="C58" s="1201" t="s">
        <v>737</v>
      </c>
      <c r="D58" s="244" t="s">
        <v>609</v>
      </c>
      <c r="E58" s="167">
        <v>0</v>
      </c>
      <c r="F58" s="201">
        <v>0</v>
      </c>
      <c r="G58" s="240">
        <v>22800</v>
      </c>
      <c r="H58" s="239">
        <v>0</v>
      </c>
      <c r="I58" s="219">
        <f t="shared" si="8"/>
        <v>0</v>
      </c>
    </row>
    <row r="59" spans="1:9" ht="25.5" x14ac:dyDescent="0.25">
      <c r="A59" s="1191"/>
      <c r="B59" s="1176"/>
      <c r="C59" s="1201"/>
      <c r="D59" s="712" t="s">
        <v>610</v>
      </c>
      <c r="E59" s="167" t="s">
        <v>805</v>
      </c>
      <c r="F59" s="167">
        <v>0</v>
      </c>
      <c r="G59" s="240">
        <v>472550</v>
      </c>
      <c r="H59" s="239">
        <v>0</v>
      </c>
      <c r="I59" s="219">
        <f>F59*G59</f>
        <v>0</v>
      </c>
    </row>
    <row r="60" spans="1:9" ht="38.25" x14ac:dyDescent="0.25">
      <c r="A60" s="1191"/>
      <c r="B60" s="1176"/>
      <c r="C60" s="1201"/>
      <c r="D60" s="712" t="s">
        <v>813</v>
      </c>
      <c r="E60" s="167">
        <f>E10</f>
        <v>1</v>
      </c>
      <c r="F60" s="167">
        <v>0</v>
      </c>
      <c r="G60" s="240">
        <v>35900</v>
      </c>
      <c r="H60" s="239">
        <v>0</v>
      </c>
      <c r="I60" s="219">
        <f t="shared" si="8"/>
        <v>0</v>
      </c>
    </row>
    <row r="61" spans="1:9" ht="25.5" x14ac:dyDescent="0.25">
      <c r="A61" s="1191"/>
      <c r="B61" s="1176"/>
      <c r="C61" s="1201"/>
      <c r="D61" s="712" t="s">
        <v>611</v>
      </c>
      <c r="E61" s="167">
        <f>E60</f>
        <v>1</v>
      </c>
      <c r="F61" s="201">
        <v>0</v>
      </c>
      <c r="G61" s="240">
        <v>35759</v>
      </c>
      <c r="H61" s="239">
        <v>0</v>
      </c>
      <c r="I61" s="219">
        <f t="shared" si="8"/>
        <v>0</v>
      </c>
    </row>
    <row r="62" spans="1:9" ht="26.25" customHeight="1" x14ac:dyDescent="0.25">
      <c r="A62" s="1191"/>
      <c r="B62" s="1176" t="s">
        <v>738</v>
      </c>
      <c r="C62" s="1197"/>
      <c r="D62" s="244" t="s">
        <v>739</v>
      </c>
      <c r="E62" s="167">
        <v>0</v>
      </c>
      <c r="F62" s="201">
        <v>0</v>
      </c>
      <c r="G62" s="240">
        <v>5000000</v>
      </c>
      <c r="H62" s="239">
        <v>0</v>
      </c>
      <c r="I62" s="219">
        <f t="shared" si="8"/>
        <v>0</v>
      </c>
    </row>
    <row r="63" spans="1:9" ht="32.25" customHeight="1" x14ac:dyDescent="0.25">
      <c r="A63" s="1191"/>
      <c r="B63" s="1176"/>
      <c r="C63" s="1197"/>
      <c r="D63" s="247" t="s">
        <v>740</v>
      </c>
      <c r="E63" s="223">
        <v>0</v>
      </c>
      <c r="F63" s="223">
        <v>0</v>
      </c>
      <c r="G63" s="243">
        <v>5400000</v>
      </c>
      <c r="H63" s="239">
        <v>0</v>
      </c>
      <c r="I63" s="225">
        <f t="shared" si="8"/>
        <v>0</v>
      </c>
    </row>
    <row r="64" spans="1:9" x14ac:dyDescent="0.25">
      <c r="A64" s="1191"/>
      <c r="B64" s="1176"/>
      <c r="C64" s="1197"/>
      <c r="D64" s="246" t="s">
        <v>741</v>
      </c>
      <c r="E64" s="223">
        <v>0</v>
      </c>
      <c r="F64" s="223">
        <v>0</v>
      </c>
      <c r="G64" s="243">
        <v>6400000</v>
      </c>
      <c r="H64" s="239">
        <v>0</v>
      </c>
      <c r="I64" s="225">
        <f t="shared" si="8"/>
        <v>0</v>
      </c>
    </row>
    <row r="65" spans="1:9" ht="25.5" x14ac:dyDescent="0.25">
      <c r="A65" s="1191"/>
      <c r="B65" s="1176"/>
      <c r="C65" s="1197"/>
      <c r="D65" s="244" t="s">
        <v>617</v>
      </c>
      <c r="E65" s="201">
        <v>0</v>
      </c>
      <c r="F65" s="201">
        <v>0</v>
      </c>
      <c r="G65" s="226">
        <v>1300000</v>
      </c>
      <c r="H65" s="222">
        <v>0.58279999999999998</v>
      </c>
      <c r="I65" s="224">
        <f t="shared" si="8"/>
        <v>0</v>
      </c>
    </row>
    <row r="66" spans="1:9" ht="69.75" customHeight="1" x14ac:dyDescent="0.25">
      <c r="A66" s="1191"/>
      <c r="B66" s="1176" t="s">
        <v>754</v>
      </c>
      <c r="C66" s="235" t="s">
        <v>757</v>
      </c>
      <c r="D66" s="244" t="s">
        <v>755</v>
      </c>
      <c r="E66" s="201">
        <v>0</v>
      </c>
      <c r="F66" s="201">
        <v>0</v>
      </c>
      <c r="G66" s="226">
        <v>7800000</v>
      </c>
      <c r="H66" s="222">
        <v>0</v>
      </c>
      <c r="I66" s="225">
        <f t="shared" si="8"/>
        <v>0</v>
      </c>
    </row>
    <row r="67" spans="1:9" ht="25.5" x14ac:dyDescent="0.25">
      <c r="A67" s="1191"/>
      <c r="B67" s="1176"/>
      <c r="C67" s="235" t="s">
        <v>757</v>
      </c>
      <c r="D67" s="244" t="s">
        <v>756</v>
      </c>
      <c r="E67" s="201">
        <v>0</v>
      </c>
      <c r="F67" s="201">
        <v>0</v>
      </c>
      <c r="G67" s="226">
        <v>4800000</v>
      </c>
      <c r="H67" s="239">
        <v>0</v>
      </c>
      <c r="I67" s="224">
        <f t="shared" si="8"/>
        <v>0</v>
      </c>
    </row>
    <row r="68" spans="1:9" ht="38.25" x14ac:dyDescent="0.25">
      <c r="A68" s="1191"/>
      <c r="B68" s="1176"/>
      <c r="C68" s="235" t="s">
        <v>758</v>
      </c>
      <c r="D68" s="244" t="s">
        <v>759</v>
      </c>
      <c r="E68" s="201">
        <v>0</v>
      </c>
      <c r="F68" s="201">
        <v>0</v>
      </c>
      <c r="G68" s="226">
        <v>8950000</v>
      </c>
      <c r="H68" s="239">
        <v>0</v>
      </c>
      <c r="I68" s="224">
        <f t="shared" si="8"/>
        <v>0</v>
      </c>
    </row>
    <row r="69" spans="1:9" ht="15.75" thickBot="1" x14ac:dyDescent="0.3">
      <c r="A69" s="1192"/>
      <c r="B69" s="1196" t="s">
        <v>618</v>
      </c>
      <c r="C69" s="1196"/>
      <c r="D69" s="1196"/>
      <c r="E69" s="1196"/>
      <c r="F69" s="1196"/>
      <c r="G69" s="1196"/>
      <c r="H69" s="1196"/>
      <c r="I69" s="259">
        <f>SUM(I42:I68)</f>
        <v>0</v>
      </c>
    </row>
    <row r="70" spans="1:9" ht="26.25" customHeight="1" x14ac:dyDescent="0.25">
      <c r="A70" s="1193" t="s">
        <v>766</v>
      </c>
      <c r="B70" s="1198" t="s">
        <v>765</v>
      </c>
      <c r="C70" s="1198"/>
      <c r="D70" s="1198"/>
      <c r="E70" s="1198"/>
      <c r="F70" s="1198"/>
      <c r="G70" s="1198"/>
      <c r="H70" s="1198"/>
      <c r="I70" s="1199"/>
    </row>
    <row r="71" spans="1:9" ht="26.25" customHeight="1" x14ac:dyDescent="0.25">
      <c r="A71" s="1194"/>
      <c r="B71" s="1200" t="s">
        <v>619</v>
      </c>
      <c r="C71" s="1200"/>
      <c r="D71" s="1200"/>
      <c r="E71" s="201">
        <v>1</v>
      </c>
      <c r="F71" s="201">
        <v>1</v>
      </c>
      <c r="G71" s="241">
        <f>+'7.2 PLAN DE MANEJO DE TRANSITO'!F77</f>
        <v>0</v>
      </c>
      <c r="H71" s="222">
        <v>0</v>
      </c>
      <c r="I71" s="261">
        <f>(E71*F71*G71*(1+H71))</f>
        <v>0</v>
      </c>
    </row>
    <row r="72" spans="1:9" ht="26.25" customHeight="1" thickBot="1" x14ac:dyDescent="0.3">
      <c r="A72" s="1195"/>
      <c r="B72" s="1202" t="s">
        <v>620</v>
      </c>
      <c r="C72" s="1202"/>
      <c r="D72" s="1202"/>
      <c r="E72" s="1202"/>
      <c r="F72" s="1202"/>
      <c r="G72" s="1202"/>
      <c r="H72" s="1202"/>
      <c r="I72" s="596">
        <f>+I71</f>
        <v>0</v>
      </c>
    </row>
    <row r="73" spans="1:9" ht="6" customHeight="1" x14ac:dyDescent="0.25">
      <c r="D73" s="161"/>
      <c r="E73" s="161"/>
      <c r="F73" s="161"/>
      <c r="G73" s="161"/>
      <c r="H73" s="161"/>
      <c r="I73" s="161"/>
    </row>
    <row r="74" spans="1:9" ht="15.75" x14ac:dyDescent="0.25">
      <c r="A74" s="1182" t="s">
        <v>802</v>
      </c>
      <c r="B74" s="1182"/>
      <c r="C74" s="1182"/>
      <c r="D74" s="1182"/>
      <c r="E74" s="1182"/>
      <c r="F74" s="1182"/>
      <c r="G74" s="1182"/>
      <c r="H74" s="1182"/>
      <c r="I74" s="597">
        <f>+I69+I40+I20+I72</f>
        <v>0</v>
      </c>
    </row>
    <row r="75" spans="1:9" x14ac:dyDescent="0.25">
      <c r="D75" s="161"/>
      <c r="E75" s="161"/>
      <c r="F75" s="161"/>
      <c r="G75" s="161"/>
      <c r="H75" s="161"/>
      <c r="I75" s="161"/>
    </row>
  </sheetData>
  <mergeCells count="35">
    <mergeCell ref="B72:H72"/>
    <mergeCell ref="B22:B39"/>
    <mergeCell ref="C22:C33"/>
    <mergeCell ref="C17:C18"/>
    <mergeCell ref="B20:H20"/>
    <mergeCell ref="C34:C39"/>
    <mergeCell ref="A74:H74"/>
    <mergeCell ref="A5:C5"/>
    <mergeCell ref="A7:I7"/>
    <mergeCell ref="A9:A20"/>
    <mergeCell ref="A21:A40"/>
    <mergeCell ref="A41:A69"/>
    <mergeCell ref="A70:A72"/>
    <mergeCell ref="B66:B68"/>
    <mergeCell ref="B69:H69"/>
    <mergeCell ref="B62:B65"/>
    <mergeCell ref="C62:C65"/>
    <mergeCell ref="B70:I70"/>
    <mergeCell ref="B71:D71"/>
    <mergeCell ref="C49:C57"/>
    <mergeCell ref="B49:B61"/>
    <mergeCell ref="C58:C61"/>
    <mergeCell ref="B1:I1"/>
    <mergeCell ref="B2:I2"/>
    <mergeCell ref="B3:I3"/>
    <mergeCell ref="B4:I4"/>
    <mergeCell ref="D5:I5"/>
    <mergeCell ref="B6:I6"/>
    <mergeCell ref="B8:I8"/>
    <mergeCell ref="B40:H40"/>
    <mergeCell ref="C42:C48"/>
    <mergeCell ref="B42:B48"/>
    <mergeCell ref="B11:B16"/>
    <mergeCell ref="C11:C16"/>
    <mergeCell ref="B17:B18"/>
  </mergeCells>
  <pageMargins left="0.7" right="0.7" top="0.75" bottom="0.75" header="0.3" footer="0.3"/>
  <pageSetup scale="55" orientation="portrait" r:id="rId1"/>
  <rowBreaks count="1" manualBreakCount="1">
    <brk id="4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8"/>
  <sheetViews>
    <sheetView view="pageBreakPreview" topLeftCell="A28" zoomScale="112" zoomScaleSheetLayoutView="112" workbookViewId="0">
      <selection activeCell="A3" sqref="A3:H3"/>
    </sheetView>
  </sheetViews>
  <sheetFormatPr baseColWidth="10" defaultColWidth="10.85546875" defaultRowHeight="15" x14ac:dyDescent="0.25"/>
  <cols>
    <col min="1" max="1" width="11" style="79" bestFit="1" customWidth="1" collapsed="1"/>
    <col min="2" max="2" width="38.7109375" style="79" customWidth="1" collapsed="1"/>
    <col min="3" max="3" width="10.85546875" style="79" collapsed="1"/>
    <col min="4" max="4" width="11.7109375" style="79" customWidth="1" collapsed="1"/>
    <col min="5" max="5" width="13.28515625" style="79" bestFit="1" customWidth="1" collapsed="1"/>
    <col min="6" max="6" width="17" style="79" customWidth="1" collapsed="1"/>
    <col min="7" max="16384" width="10.85546875" style="79" collapsed="1"/>
  </cols>
  <sheetData>
    <row r="1" spans="1:8" ht="18" x14ac:dyDescent="0.25">
      <c r="A1" s="1140" t="s">
        <v>6</v>
      </c>
      <c r="B1" s="1141"/>
      <c r="C1" s="1141"/>
      <c r="D1" s="1141"/>
      <c r="E1" s="1141"/>
      <c r="F1" s="1141"/>
      <c r="G1" s="1141"/>
      <c r="H1" s="1142"/>
    </row>
    <row r="2" spans="1:8" ht="18" x14ac:dyDescent="0.25">
      <c r="A2" s="1143" t="s">
        <v>827</v>
      </c>
      <c r="B2" s="1144"/>
      <c r="C2" s="1144"/>
      <c r="D2" s="1144"/>
      <c r="E2" s="1144"/>
      <c r="F2" s="1144"/>
      <c r="G2" s="1144"/>
      <c r="H2" s="1145"/>
    </row>
    <row r="3" spans="1:8" ht="18.75" thickBot="1" x14ac:dyDescent="0.3">
      <c r="A3" s="1146" t="s">
        <v>415</v>
      </c>
      <c r="B3" s="1147"/>
      <c r="C3" s="1147"/>
      <c r="D3" s="1147"/>
      <c r="E3" s="1147"/>
      <c r="F3" s="1147"/>
      <c r="G3" s="1147"/>
      <c r="H3" s="1148"/>
    </row>
    <row r="4" spans="1:8" ht="6" customHeight="1" thickBot="1" x14ac:dyDescent="0.3">
      <c r="A4" s="159"/>
      <c r="B4" s="160"/>
      <c r="C4" s="160"/>
      <c r="D4" s="160"/>
      <c r="E4" s="160"/>
      <c r="F4" s="160"/>
      <c r="G4" s="207"/>
      <c r="H4" s="159"/>
    </row>
    <row r="5" spans="1:8" ht="31.5" customHeight="1" thickBot="1" x14ac:dyDescent="0.3">
      <c r="A5" s="200" t="s">
        <v>357</v>
      </c>
      <c r="B5" s="1151" t="str">
        <f>PRESUPUESTO!B5:F5</f>
        <v>MANTENIMIENTO PREVENTIVO Y CORRECTIVO DE LOS TANQUES DE AGUA PARA LA INFRAESTRUCTURA INSTITUCIONAL SEGÚN REQUERIMIENTO DEL MUNICIPIO DE ENVIGADO</v>
      </c>
      <c r="C5" s="1152"/>
      <c r="D5" s="1152"/>
      <c r="E5" s="1152"/>
      <c r="F5" s="1152"/>
      <c r="G5" s="1152"/>
      <c r="H5" s="1153"/>
    </row>
    <row r="6" spans="1:8" ht="6" customHeight="1" thickBot="1" x14ac:dyDescent="0.3">
      <c r="A6" s="159"/>
      <c r="B6" s="160"/>
      <c r="C6" s="160"/>
      <c r="D6" s="160"/>
      <c r="E6" s="160"/>
      <c r="F6" s="160"/>
      <c r="G6" s="207"/>
      <c r="H6" s="159"/>
    </row>
    <row r="7" spans="1:8" ht="47.25" customHeight="1" thickBot="1" x14ac:dyDescent="0.3">
      <c r="A7" s="1154" t="s">
        <v>716</v>
      </c>
      <c r="B7" s="1155"/>
      <c r="C7" s="1155"/>
      <c r="D7" s="1155"/>
      <c r="E7" s="1155"/>
      <c r="F7" s="1155"/>
      <c r="G7" s="1155"/>
      <c r="H7" s="1156"/>
    </row>
    <row r="8" spans="1:8" ht="6" customHeight="1" thickBot="1" x14ac:dyDescent="0.3">
      <c r="A8" s="159"/>
      <c r="B8" s="160"/>
      <c r="C8" s="160"/>
      <c r="D8" s="160"/>
      <c r="E8" s="160"/>
      <c r="F8" s="160"/>
      <c r="G8" s="207"/>
      <c r="H8" s="159"/>
    </row>
    <row r="9" spans="1:8" ht="15.75" thickBot="1" x14ac:dyDescent="0.3">
      <c r="A9" s="1208" t="s">
        <v>621</v>
      </c>
      <c r="B9" s="1209"/>
      <c r="C9" s="1209"/>
      <c r="D9" s="1209"/>
      <c r="E9" s="1209"/>
      <c r="F9" s="1209"/>
      <c r="G9" s="1209"/>
      <c r="H9" s="1210"/>
    </row>
    <row r="10" spans="1:8" ht="30" x14ac:dyDescent="0.25">
      <c r="A10" s="598" t="s">
        <v>622</v>
      </c>
      <c r="B10" s="598" t="s">
        <v>623</v>
      </c>
      <c r="C10" s="598" t="s">
        <v>67</v>
      </c>
      <c r="D10" s="598" t="s">
        <v>65</v>
      </c>
      <c r="E10" s="598" t="s">
        <v>68</v>
      </c>
      <c r="F10" s="598" t="s">
        <v>624</v>
      </c>
      <c r="G10" s="1211" t="s">
        <v>625</v>
      </c>
      <c r="H10" s="1212"/>
    </row>
    <row r="11" spans="1:8" ht="30" x14ac:dyDescent="0.25">
      <c r="A11" s="599">
        <v>1</v>
      </c>
      <c r="B11" s="600" t="s">
        <v>626</v>
      </c>
      <c r="C11" s="601"/>
      <c r="D11" s="601"/>
      <c r="E11" s="601"/>
      <c r="F11" s="601"/>
      <c r="G11" s="602"/>
      <c r="H11" s="603"/>
    </row>
    <row r="12" spans="1:8" ht="43.5" x14ac:dyDescent="0.25">
      <c r="A12" s="604" t="s">
        <v>5</v>
      </c>
      <c r="B12" s="605" t="s">
        <v>814</v>
      </c>
      <c r="C12" s="604" t="s">
        <v>349</v>
      </c>
      <c r="D12" s="604">
        <v>0</v>
      </c>
      <c r="E12" s="606">
        <v>298000</v>
      </c>
      <c r="F12" s="606">
        <f t="shared" ref="F12:F17" si="0">D12*E12</f>
        <v>0</v>
      </c>
      <c r="G12" s="607"/>
      <c r="H12" s="608"/>
    </row>
    <row r="13" spans="1:8" ht="42.75" x14ac:dyDescent="0.25">
      <c r="A13" s="604" t="s">
        <v>627</v>
      </c>
      <c r="B13" s="718" t="s">
        <v>628</v>
      </c>
      <c r="C13" s="604" t="s">
        <v>349</v>
      </c>
      <c r="D13" s="604">
        <v>0</v>
      </c>
      <c r="E13" s="606">
        <v>298000</v>
      </c>
      <c r="F13" s="606">
        <f t="shared" si="0"/>
        <v>0</v>
      </c>
      <c r="G13" s="609"/>
      <c r="H13" s="610"/>
    </row>
    <row r="14" spans="1:8" ht="42.75" x14ac:dyDescent="0.25">
      <c r="A14" s="604" t="s">
        <v>629</v>
      </c>
      <c r="B14" s="718" t="s">
        <v>630</v>
      </c>
      <c r="C14" s="604" t="s">
        <v>349</v>
      </c>
      <c r="D14" s="604">
        <v>0</v>
      </c>
      <c r="E14" s="606">
        <v>298000</v>
      </c>
      <c r="F14" s="606">
        <f t="shared" si="0"/>
        <v>0</v>
      </c>
      <c r="G14" s="609"/>
      <c r="H14" s="610"/>
    </row>
    <row r="15" spans="1:8" ht="42.75" x14ac:dyDescent="0.25">
      <c r="A15" s="604" t="s">
        <v>631</v>
      </c>
      <c r="B15" s="718" t="s">
        <v>632</v>
      </c>
      <c r="C15" s="604" t="s">
        <v>349</v>
      </c>
      <c r="D15" s="604">
        <v>0</v>
      </c>
      <c r="E15" s="606">
        <v>298000</v>
      </c>
      <c r="F15" s="606">
        <f t="shared" si="0"/>
        <v>0</v>
      </c>
      <c r="G15" s="609"/>
      <c r="H15" s="610"/>
    </row>
    <row r="16" spans="1:8" ht="42.75" x14ac:dyDescent="0.25">
      <c r="A16" s="604" t="s">
        <v>633</v>
      </c>
      <c r="B16" s="718" t="s">
        <v>634</v>
      </c>
      <c r="C16" s="604" t="s">
        <v>349</v>
      </c>
      <c r="D16" s="604">
        <v>0</v>
      </c>
      <c r="E16" s="606">
        <v>298000</v>
      </c>
      <c r="F16" s="606">
        <f t="shared" si="0"/>
        <v>0</v>
      </c>
      <c r="G16" s="609"/>
      <c r="H16" s="610"/>
    </row>
    <row r="17" spans="1:8" ht="49.5" customHeight="1" x14ac:dyDescent="0.25">
      <c r="A17" s="604" t="s">
        <v>635</v>
      </c>
      <c r="B17" s="718" t="s">
        <v>636</v>
      </c>
      <c r="C17" s="604" t="s">
        <v>349</v>
      </c>
      <c r="D17" s="604">
        <v>0</v>
      </c>
      <c r="E17" s="606">
        <v>298000</v>
      </c>
      <c r="F17" s="606">
        <f t="shared" si="0"/>
        <v>0</v>
      </c>
      <c r="G17" s="609"/>
      <c r="H17" s="610"/>
    </row>
    <row r="18" spans="1:8" ht="33.75" customHeight="1" x14ac:dyDescent="0.25">
      <c r="A18" s="604" t="s">
        <v>637</v>
      </c>
      <c r="B18" s="605" t="s">
        <v>638</v>
      </c>
      <c r="C18" s="604" t="s">
        <v>349</v>
      </c>
      <c r="D18" s="604">
        <v>0</v>
      </c>
      <c r="E18" s="606">
        <v>298000</v>
      </c>
      <c r="F18" s="606">
        <f>D18*E18</f>
        <v>0</v>
      </c>
      <c r="G18" s="607"/>
      <c r="H18" s="608"/>
    </row>
    <row r="19" spans="1:8" ht="29.25" x14ac:dyDescent="0.25">
      <c r="A19" s="604" t="s">
        <v>639</v>
      </c>
      <c r="B19" s="605" t="s">
        <v>640</v>
      </c>
      <c r="C19" s="604" t="s">
        <v>349</v>
      </c>
      <c r="D19" s="604">
        <v>0</v>
      </c>
      <c r="E19" s="606">
        <v>298000</v>
      </c>
      <c r="F19" s="606">
        <f>D19*E19</f>
        <v>0</v>
      </c>
      <c r="G19" s="609"/>
      <c r="H19" s="610"/>
    </row>
    <row r="20" spans="1:8" ht="43.5" x14ac:dyDescent="0.25">
      <c r="A20" s="604" t="s">
        <v>641</v>
      </c>
      <c r="B20" s="605" t="s">
        <v>642</v>
      </c>
      <c r="C20" s="604" t="s">
        <v>349</v>
      </c>
      <c r="D20" s="604">
        <v>0</v>
      </c>
      <c r="E20" s="606">
        <v>298000</v>
      </c>
      <c r="F20" s="606">
        <f>D20*E20</f>
        <v>0</v>
      </c>
      <c r="G20" s="609"/>
      <c r="H20" s="610"/>
    </row>
    <row r="21" spans="1:8" ht="60.75" customHeight="1" x14ac:dyDescent="0.25">
      <c r="A21" s="604" t="s">
        <v>643</v>
      </c>
      <c r="B21" s="605" t="s">
        <v>644</v>
      </c>
      <c r="C21" s="604" t="s">
        <v>349</v>
      </c>
      <c r="D21" s="604">
        <v>0</v>
      </c>
      <c r="E21" s="606">
        <v>298000</v>
      </c>
      <c r="F21" s="606">
        <f>D21*E21</f>
        <v>0</v>
      </c>
      <c r="G21" s="609"/>
      <c r="H21" s="610"/>
    </row>
    <row r="22" spans="1:8" ht="60.75" customHeight="1" x14ac:dyDescent="0.25">
      <c r="A22" s="604" t="s">
        <v>645</v>
      </c>
      <c r="B22" s="718" t="s">
        <v>815</v>
      </c>
      <c r="C22" s="604" t="s">
        <v>349</v>
      </c>
      <c r="D22" s="604">
        <v>0</v>
      </c>
      <c r="E22" s="606">
        <v>298000</v>
      </c>
      <c r="F22" s="606">
        <f>D22*E22</f>
        <v>0</v>
      </c>
      <c r="G22" s="609"/>
      <c r="H22" s="610"/>
    </row>
    <row r="23" spans="1:8" ht="30" x14ac:dyDescent="0.25">
      <c r="A23" s="598" t="s">
        <v>622</v>
      </c>
      <c r="B23" s="598" t="s">
        <v>623</v>
      </c>
      <c r="C23" s="598" t="s">
        <v>67</v>
      </c>
      <c r="D23" s="598" t="s">
        <v>65</v>
      </c>
      <c r="E23" s="598" t="s">
        <v>68</v>
      </c>
      <c r="F23" s="598" t="s">
        <v>624</v>
      </c>
      <c r="G23" s="1211" t="s">
        <v>625</v>
      </c>
      <c r="H23" s="1212"/>
    </row>
    <row r="24" spans="1:8" ht="33" customHeight="1" x14ac:dyDescent="0.25">
      <c r="A24" s="604" t="s">
        <v>645</v>
      </c>
      <c r="B24" s="605" t="s">
        <v>646</v>
      </c>
      <c r="C24" s="604" t="s">
        <v>349</v>
      </c>
      <c r="D24" s="604">
        <v>0</v>
      </c>
      <c r="E24" s="606">
        <v>234084</v>
      </c>
      <c r="F24" s="606">
        <f t="shared" ref="F24:F53" si="1">D24*E24</f>
        <v>0</v>
      </c>
      <c r="G24" s="607"/>
      <c r="H24" s="608"/>
    </row>
    <row r="25" spans="1:8" ht="29.25" x14ac:dyDescent="0.25">
      <c r="A25" s="604" t="s">
        <v>647</v>
      </c>
      <c r="B25" s="605" t="s">
        <v>648</v>
      </c>
      <c r="C25" s="604" t="s">
        <v>349</v>
      </c>
      <c r="D25" s="604">
        <v>0</v>
      </c>
      <c r="E25" s="606">
        <v>234084</v>
      </c>
      <c r="F25" s="606">
        <f t="shared" si="1"/>
        <v>0</v>
      </c>
      <c r="G25" s="609"/>
      <c r="H25" s="610"/>
    </row>
    <row r="26" spans="1:8" ht="29.25" x14ac:dyDescent="0.25">
      <c r="A26" s="604" t="s">
        <v>649</v>
      </c>
      <c r="B26" s="605" t="s">
        <v>650</v>
      </c>
      <c r="C26" s="604" t="s">
        <v>349</v>
      </c>
      <c r="D26" s="604">
        <v>0</v>
      </c>
      <c r="E26" s="606">
        <v>234084</v>
      </c>
      <c r="F26" s="606">
        <f t="shared" si="1"/>
        <v>0</v>
      </c>
      <c r="G26" s="609"/>
      <c r="H26" s="610"/>
    </row>
    <row r="27" spans="1:8" ht="29.25" x14ac:dyDescent="0.25">
      <c r="A27" s="604" t="s">
        <v>651</v>
      </c>
      <c r="B27" s="605" t="s">
        <v>652</v>
      </c>
      <c r="C27" s="604" t="s">
        <v>349</v>
      </c>
      <c r="D27" s="604">
        <v>0</v>
      </c>
      <c r="E27" s="606">
        <v>234084</v>
      </c>
      <c r="F27" s="606">
        <f t="shared" si="1"/>
        <v>0</v>
      </c>
      <c r="G27" s="609"/>
      <c r="H27" s="610"/>
    </row>
    <row r="28" spans="1:8" ht="43.5" x14ac:dyDescent="0.25">
      <c r="A28" s="604" t="s">
        <v>653</v>
      </c>
      <c r="B28" s="605" t="s">
        <v>654</v>
      </c>
      <c r="C28" s="604" t="s">
        <v>349</v>
      </c>
      <c r="D28" s="604">
        <v>0</v>
      </c>
      <c r="E28" s="606">
        <v>234084</v>
      </c>
      <c r="F28" s="606">
        <f t="shared" si="1"/>
        <v>0</v>
      </c>
      <c r="G28" s="609"/>
      <c r="H28" s="610"/>
    </row>
    <row r="29" spans="1:8" ht="43.5" x14ac:dyDescent="0.25">
      <c r="A29" s="604" t="s">
        <v>655</v>
      </c>
      <c r="B29" s="605" t="s">
        <v>656</v>
      </c>
      <c r="C29" s="604" t="s">
        <v>349</v>
      </c>
      <c r="D29" s="604">
        <v>0</v>
      </c>
      <c r="E29" s="606">
        <v>234084</v>
      </c>
      <c r="F29" s="606">
        <f t="shared" si="1"/>
        <v>0</v>
      </c>
      <c r="G29" s="609"/>
      <c r="H29" s="610"/>
    </row>
    <row r="30" spans="1:8" ht="28.5" x14ac:dyDescent="0.25">
      <c r="A30" s="604" t="s">
        <v>657</v>
      </c>
      <c r="B30" s="611" t="s">
        <v>658</v>
      </c>
      <c r="C30" s="604" t="s">
        <v>349</v>
      </c>
      <c r="D30" s="604">
        <v>0</v>
      </c>
      <c r="E30" s="606">
        <v>68025</v>
      </c>
      <c r="F30" s="606">
        <f t="shared" si="1"/>
        <v>0</v>
      </c>
      <c r="G30" s="612"/>
      <c r="H30" s="608"/>
    </row>
    <row r="31" spans="1:8" ht="28.5" x14ac:dyDescent="0.25">
      <c r="A31" s="604" t="s">
        <v>659</v>
      </c>
      <c r="B31" s="611" t="s">
        <v>660</v>
      </c>
      <c r="C31" s="604" t="s">
        <v>349</v>
      </c>
      <c r="D31" s="604">
        <v>0</v>
      </c>
      <c r="E31" s="606">
        <v>450000</v>
      </c>
      <c r="F31" s="606">
        <f t="shared" si="1"/>
        <v>0</v>
      </c>
      <c r="G31" s="613"/>
      <c r="H31" s="610"/>
    </row>
    <row r="32" spans="1:8" ht="28.5" x14ac:dyDescent="0.25">
      <c r="A32" s="604" t="s">
        <v>661</v>
      </c>
      <c r="B32" s="611" t="s">
        <v>662</v>
      </c>
      <c r="C32" s="604" t="s">
        <v>349</v>
      </c>
      <c r="D32" s="604">
        <v>0</v>
      </c>
      <c r="E32" s="606">
        <v>450000</v>
      </c>
      <c r="F32" s="606">
        <f t="shared" si="1"/>
        <v>0</v>
      </c>
      <c r="G32" s="613"/>
      <c r="H32" s="610"/>
    </row>
    <row r="33" spans="1:8" ht="29.25" x14ac:dyDescent="0.25">
      <c r="A33" s="604" t="s">
        <v>663</v>
      </c>
      <c r="B33" s="605" t="s">
        <v>664</v>
      </c>
      <c r="C33" s="604" t="s">
        <v>349</v>
      </c>
      <c r="D33" s="604">
        <v>0</v>
      </c>
      <c r="E33" s="606">
        <v>298000</v>
      </c>
      <c r="F33" s="606">
        <f t="shared" si="1"/>
        <v>0</v>
      </c>
      <c r="G33" s="613"/>
      <c r="H33" s="610"/>
    </row>
    <row r="34" spans="1:8" ht="43.5" x14ac:dyDescent="0.25">
      <c r="A34" s="604" t="s">
        <v>665</v>
      </c>
      <c r="B34" s="605" t="s">
        <v>666</v>
      </c>
      <c r="C34" s="604" t="s">
        <v>349</v>
      </c>
      <c r="D34" s="604">
        <v>0</v>
      </c>
      <c r="E34" s="606">
        <v>298000</v>
      </c>
      <c r="F34" s="606">
        <f t="shared" si="1"/>
        <v>0</v>
      </c>
      <c r="G34" s="613"/>
      <c r="H34" s="610"/>
    </row>
    <row r="35" spans="1:8" ht="30" x14ac:dyDescent="0.25">
      <c r="A35" s="598" t="s">
        <v>622</v>
      </c>
      <c r="B35" s="598" t="s">
        <v>623</v>
      </c>
      <c r="C35" s="598" t="s">
        <v>67</v>
      </c>
      <c r="D35" s="598" t="s">
        <v>65</v>
      </c>
      <c r="E35" s="598" t="s">
        <v>68</v>
      </c>
      <c r="F35" s="598" t="s">
        <v>624</v>
      </c>
      <c r="G35" s="1211" t="s">
        <v>625</v>
      </c>
      <c r="H35" s="1212"/>
    </row>
    <row r="36" spans="1:8" ht="45.75" customHeight="1" x14ac:dyDescent="0.25">
      <c r="A36" s="604" t="s">
        <v>667</v>
      </c>
      <c r="B36" s="605" t="s">
        <v>668</v>
      </c>
      <c r="C36" s="604" t="s">
        <v>349</v>
      </c>
      <c r="D36" s="604">
        <v>0</v>
      </c>
      <c r="E36" s="606">
        <v>298000</v>
      </c>
      <c r="F36" s="606">
        <f t="shared" si="1"/>
        <v>0</v>
      </c>
      <c r="G36" s="613"/>
      <c r="H36" s="610"/>
    </row>
    <row r="37" spans="1:8" ht="35.25" customHeight="1" x14ac:dyDescent="0.25">
      <c r="A37" s="604" t="s">
        <v>669</v>
      </c>
      <c r="B37" s="605" t="s">
        <v>670</v>
      </c>
      <c r="C37" s="604" t="s">
        <v>349</v>
      </c>
      <c r="D37" s="604">
        <v>0</v>
      </c>
      <c r="E37" s="606">
        <v>405000</v>
      </c>
      <c r="F37" s="606">
        <f t="shared" si="1"/>
        <v>0</v>
      </c>
      <c r="G37" s="613"/>
      <c r="H37" s="610"/>
    </row>
    <row r="38" spans="1:8" ht="27.75" customHeight="1" x14ac:dyDescent="0.25">
      <c r="A38" s="604" t="s">
        <v>671</v>
      </c>
      <c r="B38" s="611" t="s">
        <v>672</v>
      </c>
      <c r="C38" s="604" t="s">
        <v>349</v>
      </c>
      <c r="D38" s="604">
        <v>0</v>
      </c>
      <c r="E38" s="606">
        <v>52500</v>
      </c>
      <c r="F38" s="606">
        <f>D38*E38</f>
        <v>0</v>
      </c>
      <c r="G38" s="613"/>
      <c r="H38" s="610"/>
    </row>
    <row r="39" spans="1:8" ht="30" x14ac:dyDescent="0.25">
      <c r="A39" s="598" t="s">
        <v>622</v>
      </c>
      <c r="B39" s="598" t="s">
        <v>623</v>
      </c>
      <c r="C39" s="598" t="s">
        <v>67</v>
      </c>
      <c r="D39" s="598" t="s">
        <v>65</v>
      </c>
      <c r="E39" s="598" t="s">
        <v>68</v>
      </c>
      <c r="F39" s="598" t="s">
        <v>624</v>
      </c>
      <c r="G39" s="1211" t="s">
        <v>625</v>
      </c>
      <c r="H39" s="1212"/>
    </row>
    <row r="40" spans="1:8" x14ac:dyDescent="0.25">
      <c r="A40" s="604" t="s">
        <v>676</v>
      </c>
      <c r="B40" s="611" t="s">
        <v>673</v>
      </c>
      <c r="C40" s="604" t="s">
        <v>349</v>
      </c>
      <c r="D40" s="604">
        <v>0</v>
      </c>
      <c r="E40" s="606">
        <v>59800</v>
      </c>
      <c r="F40" s="606">
        <f>D40*E40</f>
        <v>0</v>
      </c>
      <c r="G40" s="612"/>
      <c r="H40" s="608"/>
    </row>
    <row r="41" spans="1:8" x14ac:dyDescent="0.25">
      <c r="A41" s="1207" t="s">
        <v>22</v>
      </c>
      <c r="B41" s="1207"/>
      <c r="C41" s="1207"/>
      <c r="D41" s="601"/>
      <c r="E41" s="614"/>
      <c r="F41" s="615">
        <f>SUM(F11:F40)</f>
        <v>0</v>
      </c>
      <c r="G41" s="613"/>
      <c r="H41" s="610"/>
    </row>
    <row r="42" spans="1:8" x14ac:dyDescent="0.25">
      <c r="A42" s="1207" t="s">
        <v>674</v>
      </c>
      <c r="B42" s="1207"/>
      <c r="C42" s="1207"/>
      <c r="D42" s="616"/>
      <c r="E42" s="617"/>
      <c r="F42" s="618">
        <f>ROUND(F41*0.19,0)</f>
        <v>0</v>
      </c>
      <c r="G42" s="613"/>
      <c r="H42" s="610"/>
    </row>
    <row r="43" spans="1:8" x14ac:dyDescent="0.25">
      <c r="A43" s="1207" t="s">
        <v>624</v>
      </c>
      <c r="B43" s="1207"/>
      <c r="C43" s="1207"/>
      <c r="D43" s="616"/>
      <c r="E43" s="617"/>
      <c r="F43" s="618">
        <f>F41+F42</f>
        <v>0</v>
      </c>
      <c r="G43" s="619"/>
      <c r="H43" s="620"/>
    </row>
    <row r="44" spans="1:8" ht="15.75" thickBot="1" x14ac:dyDescent="0.3">
      <c r="A44" s="621"/>
      <c r="B44" s="622"/>
      <c r="C44" s="623"/>
      <c r="D44" s="623"/>
      <c r="E44" s="624"/>
      <c r="F44" s="624"/>
      <c r="G44" s="609"/>
      <c r="H44" s="609"/>
    </row>
    <row r="45" spans="1:8" ht="15.75" thickBot="1" x14ac:dyDescent="0.3">
      <c r="A45" s="1208" t="s">
        <v>675</v>
      </c>
      <c r="B45" s="1209"/>
      <c r="C45" s="1209"/>
      <c r="D45" s="1209"/>
      <c r="E45" s="1209"/>
      <c r="F45" s="1209"/>
      <c r="G45" s="1209"/>
      <c r="H45" s="1210"/>
    </row>
    <row r="46" spans="1:8" ht="30" x14ac:dyDescent="0.25">
      <c r="A46" s="598" t="s">
        <v>622</v>
      </c>
      <c r="B46" s="598" t="s">
        <v>623</v>
      </c>
      <c r="C46" s="598" t="s">
        <v>67</v>
      </c>
      <c r="D46" s="598" t="s">
        <v>65</v>
      </c>
      <c r="E46" s="598" t="s">
        <v>68</v>
      </c>
      <c r="F46" s="598" t="s">
        <v>624</v>
      </c>
      <c r="G46" s="1211" t="s">
        <v>625</v>
      </c>
      <c r="H46" s="1212"/>
    </row>
    <row r="47" spans="1:8" ht="30" x14ac:dyDescent="0.25">
      <c r="A47" s="599">
        <v>1</v>
      </c>
      <c r="B47" s="600" t="s">
        <v>626</v>
      </c>
      <c r="C47" s="601"/>
      <c r="D47" s="601"/>
      <c r="E47" s="601"/>
      <c r="F47" s="601"/>
      <c r="G47" s="602"/>
      <c r="H47" s="603"/>
    </row>
    <row r="48" spans="1:8" ht="20.25" customHeight="1" x14ac:dyDescent="0.25">
      <c r="A48" s="604" t="s">
        <v>676</v>
      </c>
      <c r="B48" s="710" t="s">
        <v>677</v>
      </c>
      <c r="C48" s="604" t="s">
        <v>349</v>
      </c>
      <c r="D48" s="604">
        <v>0</v>
      </c>
      <c r="E48" s="606">
        <v>210000</v>
      </c>
      <c r="F48" s="606">
        <f t="shared" si="1"/>
        <v>0</v>
      </c>
      <c r="G48" s="613"/>
      <c r="H48" s="610"/>
    </row>
    <row r="49" spans="1:8" ht="18.75" customHeight="1" x14ac:dyDescent="0.25">
      <c r="A49" s="604" t="s">
        <v>678</v>
      </c>
      <c r="B49" s="710" t="s">
        <v>679</v>
      </c>
      <c r="C49" s="604" t="s">
        <v>680</v>
      </c>
      <c r="D49" s="604">
        <v>0</v>
      </c>
      <c r="E49" s="606">
        <v>110000</v>
      </c>
      <c r="F49" s="606">
        <f t="shared" si="1"/>
        <v>0</v>
      </c>
      <c r="G49" s="613"/>
      <c r="H49" s="610"/>
    </row>
    <row r="50" spans="1:8" x14ac:dyDescent="0.25">
      <c r="A50" s="604" t="s">
        <v>681</v>
      </c>
      <c r="B50" s="710" t="s">
        <v>682</v>
      </c>
      <c r="C50" s="604" t="s">
        <v>680</v>
      </c>
      <c r="D50" s="604">
        <v>0</v>
      </c>
      <c r="E50" s="606">
        <v>205000</v>
      </c>
      <c r="F50" s="606">
        <f t="shared" si="1"/>
        <v>0</v>
      </c>
      <c r="G50" s="613"/>
      <c r="H50" s="610"/>
    </row>
    <row r="51" spans="1:8" x14ac:dyDescent="0.25">
      <c r="A51" s="604" t="s">
        <v>683</v>
      </c>
      <c r="B51" s="611" t="s">
        <v>684</v>
      </c>
      <c r="C51" s="604" t="s">
        <v>680</v>
      </c>
      <c r="D51" s="604">
        <v>0</v>
      </c>
      <c r="E51" s="606">
        <v>25900</v>
      </c>
      <c r="F51" s="606">
        <f t="shared" si="1"/>
        <v>0</v>
      </c>
      <c r="G51" s="613"/>
      <c r="H51" s="610"/>
    </row>
    <row r="52" spans="1:8" x14ac:dyDescent="0.25">
      <c r="A52" s="604" t="s">
        <v>685</v>
      </c>
      <c r="B52" s="611" t="s">
        <v>816</v>
      </c>
      <c r="C52" s="604" t="s">
        <v>349</v>
      </c>
      <c r="D52" s="604">
        <v>0</v>
      </c>
      <c r="E52" s="606">
        <v>29100</v>
      </c>
      <c r="F52" s="606">
        <f t="shared" si="1"/>
        <v>0</v>
      </c>
      <c r="G52" s="613"/>
      <c r="H52" s="610"/>
    </row>
    <row r="53" spans="1:8" ht="28.5" x14ac:dyDescent="0.25">
      <c r="A53" s="604" t="s">
        <v>686</v>
      </c>
      <c r="B53" s="611" t="s">
        <v>687</v>
      </c>
      <c r="C53" s="604" t="s">
        <v>349</v>
      </c>
      <c r="D53" s="604">
        <v>0</v>
      </c>
      <c r="E53" s="606">
        <v>53550</v>
      </c>
      <c r="F53" s="606">
        <f t="shared" si="1"/>
        <v>0</v>
      </c>
      <c r="G53" s="619"/>
      <c r="H53" s="620"/>
    </row>
    <row r="54" spans="1:8" x14ac:dyDescent="0.25">
      <c r="A54" s="604" t="s">
        <v>817</v>
      </c>
      <c r="B54" s="611" t="s">
        <v>818</v>
      </c>
      <c r="C54" s="604" t="s">
        <v>349</v>
      </c>
      <c r="D54" s="604">
        <v>0</v>
      </c>
      <c r="E54" s="606">
        <v>10800</v>
      </c>
      <c r="F54" s="606">
        <f t="shared" ref="F54" si="2">D54*E54</f>
        <v>0</v>
      </c>
      <c r="G54" s="609"/>
      <c r="H54" s="609"/>
    </row>
    <row r="55" spans="1:8" x14ac:dyDescent="0.25">
      <c r="A55" s="1207" t="s">
        <v>22</v>
      </c>
      <c r="B55" s="1207"/>
      <c r="C55" s="1207"/>
      <c r="D55" s="616"/>
      <c r="E55" s="617"/>
      <c r="F55" s="618">
        <f>SUM(F48:F54)</f>
        <v>0</v>
      </c>
      <c r="G55" s="609"/>
      <c r="H55" s="609"/>
    </row>
    <row r="56" spans="1:8" x14ac:dyDescent="0.25">
      <c r="A56" s="1207" t="s">
        <v>674</v>
      </c>
      <c r="B56" s="1207"/>
      <c r="C56" s="1207"/>
      <c r="D56" s="616"/>
      <c r="E56" s="617"/>
      <c r="F56" s="618">
        <f>ROUND(F55*0.19,0)</f>
        <v>0</v>
      </c>
      <c r="G56" s="609"/>
      <c r="H56" s="609"/>
    </row>
    <row r="57" spans="1:8" ht="15.75" thickBot="1" x14ac:dyDescent="0.3">
      <c r="A57" s="1220" t="s">
        <v>624</v>
      </c>
      <c r="B57" s="1220"/>
      <c r="C57" s="1220"/>
      <c r="D57" s="625"/>
      <c r="E57" s="626"/>
      <c r="F57" s="627">
        <f>F55+F56</f>
        <v>0</v>
      </c>
      <c r="G57" s="609"/>
      <c r="H57" s="609"/>
    </row>
    <row r="58" spans="1:8" ht="15.75" thickBot="1" x14ac:dyDescent="0.3">
      <c r="A58" s="1213" t="s">
        <v>688</v>
      </c>
      <c r="B58" s="1214"/>
      <c r="C58" s="1214"/>
      <c r="D58" s="1214"/>
      <c r="E58" s="1215"/>
      <c r="F58" s="628">
        <f>+F57+F43</f>
        <v>0</v>
      </c>
      <c r="G58" s="609"/>
      <c r="H58" s="609"/>
    </row>
    <row r="59" spans="1:8" ht="15.75" thickBot="1" x14ac:dyDescent="0.3">
      <c r="A59" s="621"/>
      <c r="B59" s="622"/>
      <c r="C59" s="623"/>
      <c r="D59" s="623"/>
      <c r="E59" s="624"/>
      <c r="F59" s="624"/>
      <c r="G59" s="609"/>
      <c r="H59" s="609"/>
    </row>
    <row r="60" spans="1:8" ht="16.5" customHeight="1" thickBot="1" x14ac:dyDescent="0.3">
      <c r="A60" s="1208" t="s">
        <v>742</v>
      </c>
      <c r="B60" s="1209"/>
      <c r="C60" s="1209"/>
      <c r="D60" s="1209"/>
      <c r="E60" s="1209"/>
      <c r="F60" s="1209"/>
      <c r="G60" s="1209"/>
      <c r="H60" s="1210"/>
    </row>
    <row r="61" spans="1:8" ht="15.75" customHeight="1" thickBot="1" x14ac:dyDescent="0.3">
      <c r="A61" s="1221" t="s">
        <v>743</v>
      </c>
      <c r="B61" s="1222"/>
      <c r="C61" s="1222"/>
      <c r="D61" s="1222"/>
      <c r="E61" s="1222"/>
      <c r="F61" s="1222"/>
      <c r="G61" s="1209"/>
      <c r="H61" s="1210"/>
    </row>
    <row r="62" spans="1:8" ht="30" x14ac:dyDescent="0.25">
      <c r="A62" s="598" t="s">
        <v>622</v>
      </c>
      <c r="B62" s="598" t="s">
        <v>623</v>
      </c>
      <c r="C62" s="598" t="s">
        <v>67</v>
      </c>
      <c r="D62" s="598" t="s">
        <v>65</v>
      </c>
      <c r="E62" s="598" t="s">
        <v>68</v>
      </c>
      <c r="F62" s="598" t="s">
        <v>624</v>
      </c>
      <c r="G62" s="1216" t="s">
        <v>748</v>
      </c>
      <c r="H62" s="1216"/>
    </row>
    <row r="63" spans="1:8" x14ac:dyDescent="0.25">
      <c r="A63" s="604">
        <v>1.31</v>
      </c>
      <c r="B63" s="611" t="s">
        <v>744</v>
      </c>
      <c r="C63" s="604" t="s">
        <v>349</v>
      </c>
      <c r="D63" s="604">
        <v>0</v>
      </c>
      <c r="E63" s="629">
        <v>2240000</v>
      </c>
      <c r="F63" s="629">
        <f>+D63*E63</f>
        <v>0</v>
      </c>
      <c r="G63" s="1216"/>
      <c r="H63" s="1216"/>
    </row>
    <row r="64" spans="1:8" x14ac:dyDescent="0.25">
      <c r="A64" s="604">
        <v>1.32</v>
      </c>
      <c r="B64" s="611" t="s">
        <v>749</v>
      </c>
      <c r="C64" s="604" t="s">
        <v>750</v>
      </c>
      <c r="D64" s="604">
        <v>0</v>
      </c>
      <c r="E64" s="629">
        <v>2500000</v>
      </c>
      <c r="F64" s="629">
        <f>+D64*E64</f>
        <v>0</v>
      </c>
      <c r="G64" s="1216"/>
      <c r="H64" s="1216"/>
    </row>
    <row r="65" spans="1:8" ht="42.75" x14ac:dyDescent="0.25">
      <c r="A65" s="604">
        <v>1.33</v>
      </c>
      <c r="B65" s="611" t="s">
        <v>751</v>
      </c>
      <c r="C65" s="604" t="s">
        <v>349</v>
      </c>
      <c r="D65" s="604">
        <v>0</v>
      </c>
      <c r="E65" s="629">
        <v>359000</v>
      </c>
      <c r="F65" s="629">
        <f>+D65*E65</f>
        <v>0</v>
      </c>
      <c r="G65" s="1216"/>
      <c r="H65" s="1216"/>
    </row>
    <row r="66" spans="1:8" ht="42.75" x14ac:dyDescent="0.25">
      <c r="A66" s="604">
        <v>1.34</v>
      </c>
      <c r="B66" s="611" t="s">
        <v>752</v>
      </c>
      <c r="C66" s="604" t="s">
        <v>349</v>
      </c>
      <c r="D66" s="604">
        <v>0</v>
      </c>
      <c r="E66" s="629">
        <v>2850000</v>
      </c>
      <c r="F66" s="629">
        <f>+D66*E66</f>
        <v>0</v>
      </c>
      <c r="G66" s="1216"/>
      <c r="H66" s="1216"/>
    </row>
    <row r="67" spans="1:8" x14ac:dyDescent="0.25">
      <c r="A67" s="1207" t="s">
        <v>22</v>
      </c>
      <c r="B67" s="1207"/>
      <c r="C67" s="1207"/>
      <c r="D67" s="616"/>
      <c r="E67" s="617"/>
      <c r="F67" s="630">
        <f>SUM(F63:F66)</f>
        <v>0</v>
      </c>
      <c r="G67" s="1216"/>
      <c r="H67" s="1216"/>
    </row>
    <row r="68" spans="1:8" ht="15.75" thickBot="1" x14ac:dyDescent="0.3">
      <c r="A68" s="1220" t="s">
        <v>624</v>
      </c>
      <c r="B68" s="1220"/>
      <c r="C68" s="1220"/>
      <c r="D68" s="625"/>
      <c r="E68" s="626"/>
      <c r="F68" s="631">
        <f>+F67</f>
        <v>0</v>
      </c>
      <c r="G68" s="1216"/>
      <c r="H68" s="1216"/>
    </row>
    <row r="69" spans="1:8" ht="15.75" thickBot="1" x14ac:dyDescent="0.3">
      <c r="A69" s="1213" t="s">
        <v>745</v>
      </c>
      <c r="B69" s="1214"/>
      <c r="C69" s="1214"/>
      <c r="D69" s="1214"/>
      <c r="E69" s="1215"/>
      <c r="F69" s="632">
        <f>F68</f>
        <v>0</v>
      </c>
      <c r="G69" s="1217"/>
      <c r="H69" s="1217"/>
    </row>
    <row r="70" spans="1:8" ht="15.75" customHeight="1" thickBot="1" x14ac:dyDescent="0.3">
      <c r="A70" s="1208" t="s">
        <v>746</v>
      </c>
      <c r="B70" s="1209"/>
      <c r="C70" s="1209"/>
      <c r="D70" s="1209"/>
      <c r="E70" s="1209"/>
      <c r="F70" s="1209"/>
      <c r="G70" s="1209"/>
      <c r="H70" s="1210"/>
    </row>
    <row r="71" spans="1:8" ht="26.25" customHeight="1" x14ac:dyDescent="0.25">
      <c r="A71" s="598" t="s">
        <v>622</v>
      </c>
      <c r="B71" s="598" t="s">
        <v>623</v>
      </c>
      <c r="C71" s="598" t="s">
        <v>67</v>
      </c>
      <c r="D71" s="598" t="s">
        <v>65</v>
      </c>
      <c r="E71" s="598" t="s">
        <v>68</v>
      </c>
      <c r="F71" s="598" t="s">
        <v>624</v>
      </c>
      <c r="G71" s="1216" t="s">
        <v>748</v>
      </c>
      <c r="H71" s="1216"/>
    </row>
    <row r="72" spans="1:8" ht="42.75" x14ac:dyDescent="0.25">
      <c r="A72" s="604">
        <v>1.35</v>
      </c>
      <c r="B72" s="719" t="s">
        <v>819</v>
      </c>
      <c r="C72" s="604" t="s">
        <v>349</v>
      </c>
      <c r="D72" s="604">
        <v>0</v>
      </c>
      <c r="E72" s="629">
        <v>3000000</v>
      </c>
      <c r="F72" s="629">
        <f>D72*E72</f>
        <v>0</v>
      </c>
      <c r="G72" s="1216"/>
      <c r="H72" s="1216"/>
    </row>
    <row r="73" spans="1:8" ht="42.75" x14ac:dyDescent="0.25">
      <c r="A73" s="604">
        <v>1.36</v>
      </c>
      <c r="B73" s="611" t="s">
        <v>820</v>
      </c>
      <c r="C73" s="604" t="s">
        <v>349</v>
      </c>
      <c r="D73" s="604">
        <v>0</v>
      </c>
      <c r="E73" s="629">
        <v>2552800</v>
      </c>
      <c r="F73" s="629">
        <f>D73*E73</f>
        <v>0</v>
      </c>
      <c r="G73" s="1216"/>
      <c r="H73" s="1216"/>
    </row>
    <row r="74" spans="1:8" ht="15.75" customHeight="1" thickBot="1" x14ac:dyDescent="0.3">
      <c r="A74" s="1220" t="s">
        <v>624</v>
      </c>
      <c r="B74" s="1220"/>
      <c r="C74" s="1220"/>
      <c r="D74" s="625"/>
      <c r="E74" s="626"/>
      <c r="F74" s="631">
        <f>F72+F73</f>
        <v>0</v>
      </c>
      <c r="G74" s="1216"/>
      <c r="H74" s="1216"/>
    </row>
    <row r="75" spans="1:8" ht="15.75" customHeight="1" thickBot="1" x14ac:dyDescent="0.3">
      <c r="A75" s="1213" t="s">
        <v>747</v>
      </c>
      <c r="B75" s="1214"/>
      <c r="C75" s="1214"/>
      <c r="D75" s="1214"/>
      <c r="E75" s="1215"/>
      <c r="F75" s="632">
        <f>F74</f>
        <v>0</v>
      </c>
      <c r="G75" s="1217"/>
      <c r="H75" s="1217"/>
    </row>
    <row r="76" spans="1:8" ht="15.75" thickBot="1" x14ac:dyDescent="0.3">
      <c r="A76" s="621"/>
      <c r="B76" s="622"/>
      <c r="C76" s="623"/>
      <c r="D76" s="623"/>
      <c r="E76" s="624"/>
      <c r="F76" s="624"/>
      <c r="G76" s="609"/>
      <c r="H76" s="609"/>
    </row>
    <row r="77" spans="1:8" ht="15.75" thickBot="1" x14ac:dyDescent="0.3">
      <c r="A77" s="1218" t="s">
        <v>753</v>
      </c>
      <c r="B77" s="1219"/>
      <c r="C77" s="1219"/>
      <c r="D77" s="1219"/>
      <c r="E77" s="1219"/>
      <c r="F77" s="260">
        <f>F75+F69+F58</f>
        <v>0</v>
      </c>
      <c r="G77" s="609"/>
      <c r="H77" s="609"/>
    </row>
    <row r="78" spans="1:8" x14ac:dyDescent="0.25">
      <c r="A78" s="202"/>
      <c r="B78" s="203"/>
      <c r="C78" s="204"/>
      <c r="D78" s="204"/>
      <c r="E78" s="205"/>
      <c r="F78" s="205"/>
      <c r="G78" s="161"/>
      <c r="H78" s="161"/>
    </row>
  </sheetData>
  <mergeCells count="30">
    <mergeCell ref="A75:E75"/>
    <mergeCell ref="G62:H69"/>
    <mergeCell ref="G71:H75"/>
    <mergeCell ref="A77:E77"/>
    <mergeCell ref="A43:C43"/>
    <mergeCell ref="A57:C57"/>
    <mergeCell ref="A58:E58"/>
    <mergeCell ref="A60:H60"/>
    <mergeCell ref="A61:H61"/>
    <mergeCell ref="A67:C67"/>
    <mergeCell ref="A68:C68"/>
    <mergeCell ref="A69:E69"/>
    <mergeCell ref="A70:H70"/>
    <mergeCell ref="A74:C74"/>
    <mergeCell ref="A1:H1"/>
    <mergeCell ref="A2:H2"/>
    <mergeCell ref="A3:H3"/>
    <mergeCell ref="B5:H5"/>
    <mergeCell ref="A7:H7"/>
    <mergeCell ref="A9:H9"/>
    <mergeCell ref="G10:H10"/>
    <mergeCell ref="G23:H23"/>
    <mergeCell ref="G39:H39"/>
    <mergeCell ref="A41:C41"/>
    <mergeCell ref="G35:H35"/>
    <mergeCell ref="A42:C42"/>
    <mergeCell ref="A45:H45"/>
    <mergeCell ref="G46:H46"/>
    <mergeCell ref="A55:C55"/>
    <mergeCell ref="A56:C56"/>
  </mergeCells>
  <pageMargins left="0.7" right="0.7" top="0.75" bottom="0.75" header="0.3" footer="0.3"/>
  <pageSetup scale="72" fitToHeight="0" orientation="portrait" r:id="rId1"/>
  <rowBreaks count="1" manualBreakCount="1">
    <brk id="34" max="7"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P37"/>
  <sheetViews>
    <sheetView topLeftCell="B1" workbookViewId="0">
      <selection activeCell="G20" sqref="G20"/>
    </sheetView>
  </sheetViews>
  <sheetFormatPr baseColWidth="10" defaultRowHeight="15" x14ac:dyDescent="0.25"/>
  <cols>
    <col min="4" max="4" width="28.7109375" customWidth="1" collapsed="1"/>
    <col min="5" max="5" width="16.28515625" bestFit="1" customWidth="1" collapsed="1"/>
    <col min="7" max="7" width="15.5703125" bestFit="1" customWidth="1" collapsed="1"/>
    <col min="9" max="9" width="12.7109375" bestFit="1" customWidth="1" collapsed="1"/>
    <col min="10" max="10" width="15.5703125" bestFit="1" customWidth="1" collapsed="1"/>
    <col min="11" max="11" width="19" bestFit="1" customWidth="1" collapsed="1"/>
    <col min="13" max="13" width="20.5703125" bestFit="1" customWidth="1" collapsed="1"/>
    <col min="15" max="15" width="28" customWidth="1" collapsed="1"/>
    <col min="16" max="16" width="12.5703125" bestFit="1" customWidth="1" collapsed="1"/>
  </cols>
  <sheetData>
    <row r="2" spans="3:16" x14ac:dyDescent="0.25">
      <c r="D2" s="1041" t="s">
        <v>91</v>
      </c>
      <c r="E2" s="1041"/>
      <c r="F2" s="1041"/>
      <c r="G2" s="1041"/>
    </row>
    <row r="3" spans="3:16" ht="15.75" thickBot="1" x14ac:dyDescent="0.3">
      <c r="C3" t="s">
        <v>84</v>
      </c>
      <c r="D3" t="s">
        <v>79</v>
      </c>
      <c r="E3" t="s">
        <v>80</v>
      </c>
      <c r="F3" t="s">
        <v>81</v>
      </c>
      <c r="G3" t="s">
        <v>82</v>
      </c>
      <c r="H3" t="s">
        <v>88</v>
      </c>
      <c r="I3" t="s">
        <v>92</v>
      </c>
      <c r="J3" t="s">
        <v>105</v>
      </c>
      <c r="K3" t="s">
        <v>106</v>
      </c>
      <c r="L3" t="s">
        <v>108</v>
      </c>
      <c r="M3" t="s">
        <v>109</v>
      </c>
    </row>
    <row r="4" spans="3:16" x14ac:dyDescent="0.25">
      <c r="C4" s="56" t="s">
        <v>85</v>
      </c>
      <c r="D4" s="57" t="s">
        <v>83</v>
      </c>
      <c r="E4" s="57">
        <v>2.2999999999999998</v>
      </c>
      <c r="F4" s="57">
        <v>0.3</v>
      </c>
      <c r="G4" s="57">
        <v>1</v>
      </c>
      <c r="H4" s="58">
        <f>+E4*F4*G4</f>
        <v>0.69</v>
      </c>
      <c r="I4" s="1041">
        <f>+(2.81*851.18)/6</f>
        <v>398.63596666666666</v>
      </c>
      <c r="J4" s="1041">
        <f>+G5</f>
        <v>1</v>
      </c>
      <c r="K4" s="1041">
        <f>+G4</f>
        <v>1</v>
      </c>
      <c r="L4" s="1041">
        <f>+E4*0.05*G4</f>
        <v>0.11499999999999999</v>
      </c>
      <c r="M4" s="1041">
        <f>6.784*G4</f>
        <v>6.7839999999999998</v>
      </c>
      <c r="O4" s="55" t="s">
        <v>110</v>
      </c>
      <c r="P4" s="62">
        <v>542000</v>
      </c>
    </row>
    <row r="5" spans="3:16" ht="15.75" thickBot="1" x14ac:dyDescent="0.3">
      <c r="C5" s="59" t="s">
        <v>86</v>
      </c>
      <c r="D5" s="60" t="s">
        <v>83</v>
      </c>
      <c r="E5" s="60">
        <v>1.69</v>
      </c>
      <c r="F5" s="60">
        <v>0.3</v>
      </c>
      <c r="G5" s="60">
        <v>1</v>
      </c>
      <c r="H5" s="61">
        <f t="shared" ref="H5:H13" si="0">+E5*F5*G5</f>
        <v>0.50700000000000001</v>
      </c>
      <c r="I5" s="1041"/>
      <c r="J5" s="1041"/>
      <c r="K5" s="1041"/>
      <c r="L5" s="1041"/>
      <c r="M5" s="1041"/>
      <c r="O5" t="s">
        <v>111</v>
      </c>
      <c r="P5">
        <v>9500</v>
      </c>
    </row>
    <row r="6" spans="3:16" x14ac:dyDescent="0.25">
      <c r="C6" s="56" t="s">
        <v>85</v>
      </c>
      <c r="D6" s="57" t="s">
        <v>76</v>
      </c>
      <c r="E6" s="57">
        <v>2.2999999999999998</v>
      </c>
      <c r="F6" s="57">
        <v>0.3</v>
      </c>
      <c r="G6" s="57">
        <v>1</v>
      </c>
      <c r="H6" s="58">
        <f t="shared" si="0"/>
        <v>0.69</v>
      </c>
      <c r="I6" s="1041">
        <f>+(1.7*3527.4)/6</f>
        <v>999.43</v>
      </c>
      <c r="J6" s="1041">
        <f>+G7</f>
        <v>1</v>
      </c>
      <c r="K6" s="1041">
        <f>+G6</f>
        <v>1</v>
      </c>
      <c r="L6" s="1041">
        <f>+E6*0.05*G6</f>
        <v>0.11499999999999999</v>
      </c>
      <c r="M6" s="1041">
        <f>6.784*G6</f>
        <v>6.7839999999999998</v>
      </c>
      <c r="O6" t="s">
        <v>112</v>
      </c>
      <c r="P6">
        <v>10200</v>
      </c>
    </row>
    <row r="7" spans="3:16" ht="15.75" thickBot="1" x14ac:dyDescent="0.3">
      <c r="C7" s="59" t="s">
        <v>86</v>
      </c>
      <c r="D7" s="60" t="s">
        <v>76</v>
      </c>
      <c r="E7" s="60">
        <v>3.43</v>
      </c>
      <c r="F7" s="60">
        <v>0.3</v>
      </c>
      <c r="G7" s="60">
        <v>1</v>
      </c>
      <c r="H7" s="61">
        <f t="shared" si="0"/>
        <v>1.0289999999999999</v>
      </c>
      <c r="I7" s="1041"/>
      <c r="J7" s="1041"/>
      <c r="K7" s="1041"/>
      <c r="L7" s="1041"/>
      <c r="M7" s="1041"/>
      <c r="O7" t="s">
        <v>113</v>
      </c>
      <c r="P7">
        <v>82000</v>
      </c>
    </row>
    <row r="8" spans="3:16" x14ac:dyDescent="0.25">
      <c r="C8" s="56" t="s">
        <v>85</v>
      </c>
      <c r="D8" s="57" t="s">
        <v>77</v>
      </c>
      <c r="E8" s="57">
        <v>4.7</v>
      </c>
      <c r="F8" s="57">
        <v>0.45</v>
      </c>
      <c r="G8" s="57">
        <v>6</v>
      </c>
      <c r="H8" s="58">
        <f t="shared" si="0"/>
        <v>12.690000000000001</v>
      </c>
      <c r="I8" s="1041">
        <v>3762</v>
      </c>
      <c r="J8" s="1041">
        <f>+G9</f>
        <v>6</v>
      </c>
      <c r="K8" s="1041">
        <f>+G8</f>
        <v>6</v>
      </c>
      <c r="L8" s="1041">
        <f>+E8*0.05*G8</f>
        <v>1.4100000000000001</v>
      </c>
      <c r="M8" s="1041">
        <f>21.565*G8</f>
        <v>129.39000000000001</v>
      </c>
      <c r="O8" t="s">
        <v>114</v>
      </c>
      <c r="P8">
        <v>130000</v>
      </c>
    </row>
    <row r="9" spans="3:16" ht="15.75" thickBot="1" x14ac:dyDescent="0.3">
      <c r="C9" s="59" t="s">
        <v>86</v>
      </c>
      <c r="D9" s="60" t="s">
        <v>77</v>
      </c>
      <c r="E9" s="60">
        <v>5.48</v>
      </c>
      <c r="F9" s="60">
        <v>0.38</v>
      </c>
      <c r="G9" s="60">
        <v>6</v>
      </c>
      <c r="H9" s="61">
        <f t="shared" si="0"/>
        <v>12.494400000000002</v>
      </c>
      <c r="I9" s="1041"/>
      <c r="J9" s="1041"/>
      <c r="K9" s="1041"/>
      <c r="L9" s="1041"/>
      <c r="M9" s="1041"/>
      <c r="O9" t="s">
        <v>115</v>
      </c>
      <c r="P9">
        <v>810</v>
      </c>
    </row>
    <row r="10" spans="3:16" x14ac:dyDescent="0.25">
      <c r="C10" s="56" t="s">
        <v>85</v>
      </c>
      <c r="D10" s="57" t="s">
        <v>89</v>
      </c>
      <c r="E10" s="57">
        <v>2.2999999999999998</v>
      </c>
      <c r="F10" s="57">
        <v>0.3</v>
      </c>
      <c r="G10" s="57">
        <v>2</v>
      </c>
      <c r="H10" s="58">
        <f t="shared" si="0"/>
        <v>1.38</v>
      </c>
      <c r="I10" s="1223">
        <f>+(2*3527.4)/6</f>
        <v>1175.8</v>
      </c>
      <c r="J10" s="1041">
        <f>+G11</f>
        <v>2</v>
      </c>
      <c r="K10" s="1041">
        <f>+G10</f>
        <v>2</v>
      </c>
      <c r="L10" s="1041">
        <f>+E10*0.05*G10</f>
        <v>0.22999999999999998</v>
      </c>
      <c r="M10" s="1041">
        <f>6.784*G10</f>
        <v>13.568</v>
      </c>
      <c r="O10" t="s">
        <v>116</v>
      </c>
      <c r="P10">
        <f>233200*1.08</f>
        <v>251856.00000000003</v>
      </c>
    </row>
    <row r="11" spans="3:16" ht="15.75" thickBot="1" x14ac:dyDescent="0.3">
      <c r="C11" s="59" t="s">
        <v>86</v>
      </c>
      <c r="D11" s="60" t="s">
        <v>89</v>
      </c>
      <c r="E11" s="60">
        <v>3.5</v>
      </c>
      <c r="F11" s="60">
        <v>0.3</v>
      </c>
      <c r="G11" s="60">
        <v>2</v>
      </c>
      <c r="H11" s="61">
        <f t="shared" si="0"/>
        <v>2.1</v>
      </c>
      <c r="I11" s="1223"/>
      <c r="J11" s="1041"/>
      <c r="K11" s="1041"/>
      <c r="L11" s="1041"/>
      <c r="M11" s="1041"/>
      <c r="O11" t="s">
        <v>107</v>
      </c>
      <c r="P11">
        <v>315000</v>
      </c>
    </row>
    <row r="12" spans="3:16" x14ac:dyDescent="0.25">
      <c r="C12" s="56" t="s">
        <v>85</v>
      </c>
      <c r="D12" s="57" t="s">
        <v>90</v>
      </c>
      <c r="E12" s="57">
        <v>1.25</v>
      </c>
      <c r="F12" s="57">
        <v>0.3</v>
      </c>
      <c r="G12" s="57">
        <f>8.2+3.62+3.86</f>
        <v>15.68</v>
      </c>
      <c r="H12" s="58">
        <f t="shared" si="0"/>
        <v>5.88</v>
      </c>
      <c r="I12" s="1223">
        <f>+(166*G12)/6</f>
        <v>433.81333333333333</v>
      </c>
      <c r="J12" s="1041">
        <f>+G13</f>
        <v>15.68</v>
      </c>
      <c r="K12" s="1041">
        <f>+G12</f>
        <v>15.68</v>
      </c>
      <c r="L12" s="1041">
        <f>+E12*0.05*G12</f>
        <v>0.98</v>
      </c>
      <c r="M12" s="1041">
        <f>1.219*G12</f>
        <v>19.11392</v>
      </c>
      <c r="O12" t="s">
        <v>117</v>
      </c>
      <c r="P12">
        <v>412000</v>
      </c>
    </row>
    <row r="13" spans="3:16" ht="15.75" thickBot="1" x14ac:dyDescent="0.3">
      <c r="C13" s="59" t="s">
        <v>86</v>
      </c>
      <c r="D13" s="60" t="s">
        <v>90</v>
      </c>
      <c r="E13" s="60">
        <v>1.76</v>
      </c>
      <c r="F13" s="60">
        <v>0.3</v>
      </c>
      <c r="G13" s="60">
        <f>+G12</f>
        <v>15.68</v>
      </c>
      <c r="H13" s="61">
        <f t="shared" si="0"/>
        <v>8.2790400000000002</v>
      </c>
      <c r="I13" s="1223"/>
      <c r="J13" s="1041"/>
      <c r="K13" s="1041"/>
      <c r="L13" s="1041"/>
      <c r="M13" s="1041"/>
    </row>
    <row r="14" spans="3:16" x14ac:dyDescent="0.25">
      <c r="G14" t="s">
        <v>87</v>
      </c>
      <c r="H14" s="55">
        <f t="shared" ref="H14:M14" si="1">SUM(H4:H13)</f>
        <v>45.739440000000009</v>
      </c>
      <c r="I14">
        <f t="shared" si="1"/>
        <v>6769.6793000000007</v>
      </c>
      <c r="J14">
        <f t="shared" si="1"/>
        <v>25.68</v>
      </c>
      <c r="K14">
        <f t="shared" si="1"/>
        <v>25.68</v>
      </c>
      <c r="L14">
        <f t="shared" si="1"/>
        <v>2.85</v>
      </c>
      <c r="M14">
        <f t="shared" si="1"/>
        <v>175.63992000000005</v>
      </c>
    </row>
    <row r="15" spans="3:16" x14ac:dyDescent="0.25">
      <c r="D15">
        <f>4*20*0.99</f>
        <v>79.2</v>
      </c>
      <c r="G15" t="s">
        <v>104</v>
      </c>
      <c r="H15" s="55">
        <f>+H14*1.1</f>
        <v>50.313384000000013</v>
      </c>
      <c r="I15" s="55">
        <f>+I14*1.5</f>
        <v>10154.518950000001</v>
      </c>
      <c r="J15" s="55">
        <f>+J14*1.5</f>
        <v>38.519999999999996</v>
      </c>
      <c r="K15" s="55">
        <f>+K14*1.5</f>
        <v>38.519999999999996</v>
      </c>
      <c r="L15" s="55">
        <f>+L14*1.5</f>
        <v>4.2750000000000004</v>
      </c>
      <c r="M15" s="55">
        <f>+M14*1.5</f>
        <v>263.45988000000006</v>
      </c>
    </row>
    <row r="16" spans="3:16" x14ac:dyDescent="0.25">
      <c r="D16">
        <f>100*1.2*0.556</f>
        <v>66.72</v>
      </c>
    </row>
    <row r="17" spans="3:13" x14ac:dyDescent="0.25">
      <c r="E17" s="1041" t="s">
        <v>93</v>
      </c>
      <c r="F17" s="1041"/>
      <c r="G17" s="1041"/>
      <c r="H17" s="1041"/>
      <c r="I17" s="1041"/>
    </row>
    <row r="18" spans="3:13" x14ac:dyDescent="0.25">
      <c r="E18" t="s">
        <v>94</v>
      </c>
      <c r="F18">
        <v>24</v>
      </c>
    </row>
    <row r="19" spans="3:13" x14ac:dyDescent="0.25">
      <c r="E19" t="s">
        <v>95</v>
      </c>
      <c r="F19">
        <f>90*10</f>
        <v>900</v>
      </c>
    </row>
    <row r="21" spans="3:13" x14ac:dyDescent="0.25">
      <c r="D21" t="s">
        <v>98</v>
      </c>
      <c r="E21">
        <f>10*2*20</f>
        <v>400</v>
      </c>
      <c r="F21" t="s">
        <v>74</v>
      </c>
      <c r="H21" t="s">
        <v>100</v>
      </c>
      <c r="I21" t="s">
        <v>101</v>
      </c>
      <c r="J21" t="s">
        <v>102</v>
      </c>
    </row>
    <row r="22" spans="3:13" x14ac:dyDescent="0.25">
      <c r="D22" t="s">
        <v>99</v>
      </c>
      <c r="E22" s="63">
        <f>+(((0.4*0.4*PI())/4)*2)</f>
        <v>0.25132741228718347</v>
      </c>
      <c r="F22" s="64">
        <f>14*E22*1.5</f>
        <v>5.2778756580308528</v>
      </c>
      <c r="G22" t="s">
        <v>75</v>
      </c>
      <c r="H22">
        <f>14*4*1.5*0.994</f>
        <v>83.495999999999995</v>
      </c>
      <c r="I22">
        <f>14*0.95*8*0.556</f>
        <v>59.1584</v>
      </c>
      <c r="J22" s="55">
        <f>+H22+I22*1.1</f>
        <v>148.57024000000001</v>
      </c>
      <c r="K22" s="55"/>
    </row>
    <row r="23" spans="3:13" x14ac:dyDescent="0.25">
      <c r="D23" s="1041" t="s">
        <v>96</v>
      </c>
      <c r="E23" s="1041"/>
      <c r="F23" s="1041"/>
      <c r="G23" s="1041"/>
    </row>
    <row r="24" spans="3:13" ht="15.75" thickBot="1" x14ac:dyDescent="0.3">
      <c r="C24" t="s">
        <v>84</v>
      </c>
      <c r="D24" t="s">
        <v>79</v>
      </c>
      <c r="E24" t="s">
        <v>80</v>
      </c>
      <c r="F24" t="s">
        <v>81</v>
      </c>
      <c r="G24" t="s">
        <v>82</v>
      </c>
      <c r="H24" t="s">
        <v>88</v>
      </c>
      <c r="I24" t="s">
        <v>97</v>
      </c>
      <c r="J24" t="s">
        <v>105</v>
      </c>
      <c r="K24" t="s">
        <v>106</v>
      </c>
      <c r="L24" t="s">
        <v>108</v>
      </c>
      <c r="M24" t="s">
        <v>109</v>
      </c>
    </row>
    <row r="25" spans="3:13" x14ac:dyDescent="0.25">
      <c r="C25" s="56" t="s">
        <v>85</v>
      </c>
      <c r="D25" s="57" t="s">
        <v>83</v>
      </c>
      <c r="E25" s="57">
        <v>2.2999999999999998</v>
      </c>
      <c r="F25" s="57">
        <v>0.3</v>
      </c>
      <c r="G25" s="57">
        <v>30</v>
      </c>
      <c r="H25" s="58">
        <f>+E25*F25*G25</f>
        <v>20.7</v>
      </c>
      <c r="I25" s="1223">
        <f>114.3*30</f>
        <v>3429</v>
      </c>
      <c r="J25" s="1041">
        <f>+G26</f>
        <v>30</v>
      </c>
      <c r="K25" s="1041">
        <f>+G25</f>
        <v>30</v>
      </c>
      <c r="L25" s="1041">
        <f>+E25*0.05*G25</f>
        <v>3.4499999999999997</v>
      </c>
      <c r="M25" s="1041">
        <f>6.784*G25</f>
        <v>203.51999999999998</v>
      </c>
    </row>
    <row r="26" spans="3:13" ht="15.75" thickBot="1" x14ac:dyDescent="0.3">
      <c r="C26" s="59" t="s">
        <v>86</v>
      </c>
      <c r="D26" s="60" t="s">
        <v>83</v>
      </c>
      <c r="E26" s="60">
        <v>1.9</v>
      </c>
      <c r="F26" s="60">
        <v>0.3</v>
      </c>
      <c r="G26" s="60">
        <v>30</v>
      </c>
      <c r="H26" s="61">
        <f>+E26*F26*G26</f>
        <v>17.099999999999998</v>
      </c>
      <c r="I26" s="1223"/>
      <c r="J26" s="1041"/>
      <c r="K26" s="1041"/>
      <c r="L26" s="1041"/>
      <c r="M26" s="1041"/>
    </row>
    <row r="27" spans="3:13" x14ac:dyDescent="0.25">
      <c r="C27" s="56" t="s">
        <v>85</v>
      </c>
      <c r="D27" s="57" t="s">
        <v>83</v>
      </c>
      <c r="E27" s="57">
        <v>2.2999999999999998</v>
      </c>
      <c r="F27" s="57">
        <v>0.3</v>
      </c>
      <c r="G27" s="57">
        <v>10</v>
      </c>
      <c r="H27" s="58">
        <f>+E27*F27*G27</f>
        <v>6.8999999999999995</v>
      </c>
      <c r="I27" s="1223">
        <f>114.3*10</f>
        <v>1143</v>
      </c>
      <c r="J27" s="1041">
        <f>+G28</f>
        <v>10</v>
      </c>
      <c r="K27" s="1041">
        <f>+G27</f>
        <v>10</v>
      </c>
      <c r="L27" s="1041">
        <f>+E27*0.05*G27</f>
        <v>1.1499999999999999</v>
      </c>
      <c r="M27" s="1041">
        <f>6.784*G27</f>
        <v>67.84</v>
      </c>
    </row>
    <row r="28" spans="3:13" ht="15.75" thickBot="1" x14ac:dyDescent="0.3">
      <c r="C28" s="59" t="s">
        <v>86</v>
      </c>
      <c r="D28" s="60" t="s">
        <v>83</v>
      </c>
      <c r="E28" s="60">
        <v>1.5</v>
      </c>
      <c r="F28" s="60">
        <v>0.3</v>
      </c>
      <c r="G28" s="60">
        <v>10</v>
      </c>
      <c r="H28" s="61">
        <f>+E28*F28*G28</f>
        <v>4.5</v>
      </c>
      <c r="I28" s="1223"/>
      <c r="J28" s="1041"/>
      <c r="K28" s="1041"/>
      <c r="L28" s="1041"/>
      <c r="M28" s="1041"/>
    </row>
    <row r="29" spans="3:13" x14ac:dyDescent="0.25">
      <c r="G29" t="s">
        <v>87</v>
      </c>
      <c r="H29" s="55">
        <f t="shared" ref="H29:M29" si="2">SUM(H25:H28)</f>
        <v>49.199999999999996</v>
      </c>
      <c r="I29" s="55">
        <f t="shared" si="2"/>
        <v>4572</v>
      </c>
      <c r="J29" s="55">
        <f t="shared" si="2"/>
        <v>40</v>
      </c>
      <c r="K29" s="55">
        <f t="shared" si="2"/>
        <v>40</v>
      </c>
      <c r="L29" s="55">
        <f t="shared" si="2"/>
        <v>4.5999999999999996</v>
      </c>
      <c r="M29" s="55">
        <f t="shared" si="2"/>
        <v>271.36</v>
      </c>
    </row>
    <row r="30" spans="3:13" x14ac:dyDescent="0.25">
      <c r="G30" t="s">
        <v>104</v>
      </c>
      <c r="H30" s="55">
        <f t="shared" ref="H30:M30" si="3">+H29*1.1</f>
        <v>54.12</v>
      </c>
      <c r="I30" s="55">
        <f t="shared" si="3"/>
        <v>5029.2000000000007</v>
      </c>
      <c r="J30" s="55">
        <f t="shared" si="3"/>
        <v>44</v>
      </c>
      <c r="K30" s="55">
        <f t="shared" si="3"/>
        <v>44</v>
      </c>
      <c r="L30" s="55">
        <f t="shared" si="3"/>
        <v>5.0599999999999996</v>
      </c>
      <c r="M30" s="55">
        <f t="shared" si="3"/>
        <v>298.49600000000004</v>
      </c>
    </row>
    <row r="33" spans="3:13" ht="15.75" thickBot="1" x14ac:dyDescent="0.3">
      <c r="C33" s="1224" t="s">
        <v>103</v>
      </c>
      <c r="D33" s="1224"/>
      <c r="E33" s="1224"/>
      <c r="F33" s="1224"/>
      <c r="G33" s="1224"/>
      <c r="H33" s="1224"/>
    </row>
    <row r="34" spans="3:13" x14ac:dyDescent="0.25">
      <c r="C34" s="56" t="s">
        <v>85</v>
      </c>
      <c r="D34" s="57" t="s">
        <v>77</v>
      </c>
      <c r="E34" s="57">
        <v>4.7</v>
      </c>
      <c r="F34" s="57">
        <v>0.45</v>
      </c>
      <c r="G34" s="57">
        <v>15</v>
      </c>
      <c r="H34" s="58">
        <f>+E34*F34*G34</f>
        <v>31.725000000000001</v>
      </c>
      <c r="I34" t="s">
        <v>97</v>
      </c>
      <c r="J34" t="s">
        <v>105</v>
      </c>
      <c r="K34" t="s">
        <v>106</v>
      </c>
      <c r="L34" t="s">
        <v>108</v>
      </c>
      <c r="M34" t="s">
        <v>109</v>
      </c>
    </row>
    <row r="35" spans="3:13" ht="15.75" thickBot="1" x14ac:dyDescent="0.3">
      <c r="C35" s="59" t="s">
        <v>86</v>
      </c>
      <c r="D35" s="60" t="s">
        <v>77</v>
      </c>
      <c r="E35" s="60">
        <v>5.48</v>
      </c>
      <c r="F35" s="60">
        <v>0.38</v>
      </c>
      <c r="G35" s="60">
        <v>15</v>
      </c>
      <c r="H35" s="61">
        <f>+E35*F35*G35</f>
        <v>31.236000000000004</v>
      </c>
      <c r="I35">
        <f>3762*G35</f>
        <v>56430</v>
      </c>
      <c r="J35">
        <f>+G35</f>
        <v>15</v>
      </c>
      <c r="K35">
        <f>+G35</f>
        <v>15</v>
      </c>
      <c r="L35">
        <f>+E34*0.05*G34</f>
        <v>3.5250000000000004</v>
      </c>
      <c r="M35">
        <f>21.565*G34</f>
        <v>323.47500000000002</v>
      </c>
    </row>
    <row r="36" spans="3:13" x14ac:dyDescent="0.25">
      <c r="G36" t="s">
        <v>87</v>
      </c>
      <c r="H36" s="55">
        <f t="shared" ref="H36:M36" si="4">SUM(H32:H35)</f>
        <v>62.961000000000006</v>
      </c>
      <c r="I36" s="55">
        <f t="shared" si="4"/>
        <v>56430</v>
      </c>
      <c r="J36" s="55">
        <f t="shared" si="4"/>
        <v>15</v>
      </c>
      <c r="K36" s="55">
        <f t="shared" si="4"/>
        <v>15</v>
      </c>
      <c r="L36" s="55">
        <f t="shared" si="4"/>
        <v>3.5250000000000004</v>
      </c>
      <c r="M36" s="55">
        <f t="shared" si="4"/>
        <v>323.47500000000002</v>
      </c>
    </row>
    <row r="37" spans="3:13" x14ac:dyDescent="0.25">
      <c r="G37" t="s">
        <v>104</v>
      </c>
      <c r="H37" s="55">
        <f t="shared" ref="H37:M37" si="5">+H36*1.1</f>
        <v>69.257100000000008</v>
      </c>
      <c r="I37" s="55">
        <f t="shared" si="5"/>
        <v>62073.000000000007</v>
      </c>
      <c r="J37" s="55">
        <f t="shared" si="5"/>
        <v>16.5</v>
      </c>
      <c r="K37" s="55">
        <f t="shared" si="5"/>
        <v>16.5</v>
      </c>
      <c r="L37" s="55">
        <f t="shared" si="5"/>
        <v>3.8775000000000008</v>
      </c>
      <c r="M37" s="55">
        <f t="shared" si="5"/>
        <v>355.82250000000005</v>
      </c>
    </row>
  </sheetData>
  <mergeCells count="39">
    <mergeCell ref="M4:M5"/>
    <mergeCell ref="M6:M7"/>
    <mergeCell ref="M8:M9"/>
    <mergeCell ref="M10:M11"/>
    <mergeCell ref="M12:M13"/>
    <mergeCell ref="M25:M26"/>
    <mergeCell ref="M27:M28"/>
    <mergeCell ref="J27:J28"/>
    <mergeCell ref="K25:K26"/>
    <mergeCell ref="K27:K28"/>
    <mergeCell ref="L25:L26"/>
    <mergeCell ref="L27:L28"/>
    <mergeCell ref="J25:J26"/>
    <mergeCell ref="L4:L5"/>
    <mergeCell ref="L6:L7"/>
    <mergeCell ref="L8:L9"/>
    <mergeCell ref="L10:L11"/>
    <mergeCell ref="L12:L13"/>
    <mergeCell ref="K4:K5"/>
    <mergeCell ref="K6:K7"/>
    <mergeCell ref="K8:K9"/>
    <mergeCell ref="K10:K11"/>
    <mergeCell ref="K12:K13"/>
    <mergeCell ref="E17:I17"/>
    <mergeCell ref="D23:G23"/>
    <mergeCell ref="I25:I26"/>
    <mergeCell ref="I27:I28"/>
    <mergeCell ref="C33:H33"/>
    <mergeCell ref="I12:I13"/>
    <mergeCell ref="J4:J5"/>
    <mergeCell ref="J6:J7"/>
    <mergeCell ref="J8:J9"/>
    <mergeCell ref="J10:J11"/>
    <mergeCell ref="J12:J13"/>
    <mergeCell ref="D2:G2"/>
    <mergeCell ref="I4:I5"/>
    <mergeCell ref="I8:I9"/>
    <mergeCell ref="I6:I7"/>
    <mergeCell ref="I10:I11"/>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view="pageBreakPreview" zoomScale="120" zoomScaleSheetLayoutView="120" workbookViewId="0">
      <selection activeCell="A4" sqref="A4"/>
    </sheetView>
  </sheetViews>
  <sheetFormatPr baseColWidth="10" defaultRowHeight="15" x14ac:dyDescent="0.25"/>
  <cols>
    <col min="1" max="1" width="12.85546875" customWidth="1" collapsed="1"/>
    <col min="2" max="2" width="40.85546875" customWidth="1" collapsed="1"/>
    <col min="3" max="3" width="33.7109375" customWidth="1" collapsed="1"/>
    <col min="6" max="6" width="12.42578125" bestFit="1" customWidth="1" collapsed="1"/>
  </cols>
  <sheetData>
    <row r="1" spans="1:3" ht="63" customHeight="1" x14ac:dyDescent="0.25">
      <c r="A1" s="2"/>
      <c r="B1" s="1227" t="s">
        <v>63</v>
      </c>
      <c r="C1" s="1228"/>
    </row>
    <row r="2" spans="1:3" x14ac:dyDescent="0.25">
      <c r="A2" s="1229"/>
      <c r="B2" s="1230"/>
      <c r="C2" s="1230"/>
    </row>
    <row r="3" spans="1:3" ht="63.75" customHeight="1" x14ac:dyDescent="0.25">
      <c r="A3" s="1225" t="s">
        <v>78</v>
      </c>
      <c r="B3" s="1226"/>
      <c r="C3" s="1226"/>
    </row>
    <row r="4" spans="1:3" x14ac:dyDescent="0.25">
      <c r="A4" s="42"/>
      <c r="B4" s="43"/>
      <c r="C4" s="43"/>
    </row>
    <row r="5" spans="1:3" x14ac:dyDescent="0.25">
      <c r="A5" s="44"/>
      <c r="B5" s="45"/>
      <c r="C5" s="45"/>
    </row>
    <row r="6" spans="1:3" x14ac:dyDescent="0.25">
      <c r="A6" s="3"/>
      <c r="B6" s="3"/>
      <c r="C6" s="4"/>
    </row>
    <row r="7" spans="1:3" s="1" customFormat="1" ht="15.75" customHeight="1" x14ac:dyDescent="0.25">
      <c r="A7" s="46"/>
      <c r="B7" s="53"/>
      <c r="C7" s="48"/>
    </row>
    <row r="8" spans="1:3" s="1" customFormat="1" x14ac:dyDescent="0.25">
      <c r="A8" s="46"/>
      <c r="B8" s="53"/>
      <c r="C8" s="48"/>
    </row>
    <row r="9" spans="1:3" s="1" customFormat="1" x14ac:dyDescent="0.25">
      <c r="A9" s="46"/>
      <c r="B9" s="53"/>
      <c r="C9" s="48"/>
    </row>
    <row r="10" spans="1:3" s="1" customFormat="1" x14ac:dyDescent="0.25">
      <c r="A10" s="46"/>
      <c r="B10" s="53"/>
      <c r="C10" s="48"/>
    </row>
    <row r="11" spans="1:3" s="1" customFormat="1" x14ac:dyDescent="0.25">
      <c r="A11" s="46"/>
      <c r="B11" s="53"/>
      <c r="C11" s="48"/>
    </row>
    <row r="12" spans="1:3" s="1" customFormat="1" x14ac:dyDescent="0.25">
      <c r="A12" s="46"/>
      <c r="B12" s="53"/>
      <c r="C12" s="48"/>
    </row>
    <row r="13" spans="1:3" s="1" customFormat="1" x14ac:dyDescent="0.25">
      <c r="A13" s="46"/>
      <c r="B13" s="53"/>
      <c r="C13" s="48"/>
    </row>
    <row r="14" spans="1:3" s="1" customFormat="1" x14ac:dyDescent="0.25">
      <c r="A14" s="46"/>
      <c r="B14" s="53"/>
      <c r="C14" s="48"/>
    </row>
    <row r="15" spans="1:3" s="1" customFormat="1" ht="15.75" customHeight="1" x14ac:dyDescent="0.25">
      <c r="A15" s="46"/>
      <c r="B15" s="53"/>
      <c r="C15" s="48"/>
    </row>
    <row r="16" spans="1:3" s="1" customFormat="1" x14ac:dyDescent="0.25">
      <c r="A16" s="46"/>
      <c r="B16" s="47"/>
      <c r="C16" s="48"/>
    </row>
    <row r="17" spans="1:6" s="1" customFormat="1" x14ac:dyDescent="0.25">
      <c r="A17" s="46"/>
      <c r="B17" s="54"/>
      <c r="C17" s="48"/>
    </row>
    <row r="18" spans="1:6" x14ac:dyDescent="0.25">
      <c r="A18" s="1231" t="s">
        <v>59</v>
      </c>
      <c r="B18" s="1232"/>
      <c r="C18" s="49">
        <f>SUM(C7:C17)</f>
        <v>0</v>
      </c>
      <c r="F18" s="51"/>
    </row>
    <row r="19" spans="1:6" x14ac:dyDescent="0.25">
      <c r="A19" s="753" t="s">
        <v>60</v>
      </c>
      <c r="B19" s="754"/>
      <c r="C19" s="50" t="e">
        <f>#REF!</f>
        <v>#REF!</v>
      </c>
    </row>
    <row r="20" spans="1:6" x14ac:dyDescent="0.25">
      <c r="A20" s="753" t="s">
        <v>61</v>
      </c>
      <c r="B20" s="754"/>
      <c r="C20" s="49" t="e">
        <f>+C18*C19</f>
        <v>#REF!</v>
      </c>
    </row>
    <row r="21" spans="1:6" x14ac:dyDescent="0.25">
      <c r="A21" s="753" t="s">
        <v>73</v>
      </c>
      <c r="B21" s="754"/>
      <c r="C21" s="49" t="e">
        <f>C18+C20</f>
        <v>#REF!</v>
      </c>
    </row>
    <row r="22" spans="1:6" x14ac:dyDescent="0.25">
      <c r="A22" s="753" t="s">
        <v>69</v>
      </c>
      <c r="B22" s="754"/>
      <c r="C22" s="49" t="e">
        <f>#REF!</f>
        <v>#REF!</v>
      </c>
    </row>
    <row r="23" spans="1:6" x14ac:dyDescent="0.25">
      <c r="A23" s="753" t="s">
        <v>62</v>
      </c>
      <c r="B23" s="754"/>
      <c r="C23" s="49" t="e">
        <f>C21+C22</f>
        <v>#REF!</v>
      </c>
    </row>
    <row r="27" spans="1:6" x14ac:dyDescent="0.25">
      <c r="A27" s="5" t="s">
        <v>0</v>
      </c>
      <c r="B27" s="6"/>
    </row>
    <row r="28" spans="1:6" x14ac:dyDescent="0.25">
      <c r="A28" s="7"/>
      <c r="B28" s="8"/>
    </row>
    <row r="29" spans="1:6" x14ac:dyDescent="0.25">
      <c r="A29" s="9" t="s">
        <v>71</v>
      </c>
      <c r="B29" s="10"/>
    </row>
    <row r="30" spans="1:6" x14ac:dyDescent="0.25">
      <c r="A30" s="11" t="s">
        <v>1</v>
      </c>
      <c r="B30" s="12"/>
    </row>
    <row r="31" spans="1:6" x14ac:dyDescent="0.25">
      <c r="A31" s="13" t="s">
        <v>2</v>
      </c>
      <c r="B31" s="14">
        <v>42503</v>
      </c>
    </row>
  </sheetData>
  <mergeCells count="9">
    <mergeCell ref="A20:B20"/>
    <mergeCell ref="A23:B23"/>
    <mergeCell ref="A3:C3"/>
    <mergeCell ref="B1:C1"/>
    <mergeCell ref="A2:C2"/>
    <mergeCell ref="A18:B18"/>
    <mergeCell ref="A19:B19"/>
    <mergeCell ref="A22:B22"/>
    <mergeCell ref="A21:B2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17</vt:i4>
      </vt:variant>
    </vt:vector>
  </HeadingPairs>
  <TitlesOfParts>
    <vt:vector size="41" baseType="lpstr">
      <vt:lpstr>PRESUPUESTO</vt:lpstr>
      <vt:lpstr>RESUMEN </vt:lpstr>
      <vt:lpstr>ARU DEFINITIVO</vt:lpstr>
      <vt:lpstr>CALCULO PRESTACIONES Y SALA </vt:lpstr>
      <vt:lpstr>CRONOGRAMA</vt:lpstr>
      <vt:lpstr>FLUJO DE CAJA</vt:lpstr>
      <vt:lpstr>CALCULO PRESTACIONES Y SALARIOS</vt:lpstr>
      <vt:lpstr>1 RIESGOS</vt:lpstr>
      <vt:lpstr>2 POLITICA</vt:lpstr>
      <vt:lpstr>3 ECONOMICO</vt:lpstr>
      <vt:lpstr>3.1 CALCULO ECONOMICO</vt:lpstr>
      <vt:lpstr>INDICES CAMACOL</vt:lpstr>
      <vt:lpstr>4 OPERACIONALES</vt:lpstr>
      <vt:lpstr>4.1 Calculos Operacionales</vt:lpstr>
      <vt:lpstr>5 FINANCIEROS</vt:lpstr>
      <vt:lpstr>5.1 Calculo Financiero</vt:lpstr>
      <vt:lpstr>6 NATURALEZA</vt:lpstr>
      <vt:lpstr>6.1 Calculo Naturaleza</vt:lpstr>
      <vt:lpstr>6.2 Calculo Naturaleza</vt:lpstr>
      <vt:lpstr>7 Ambientales</vt:lpstr>
      <vt:lpstr>7.1 GESTION SOCIAMBIENTAL</vt:lpstr>
      <vt:lpstr>7.2 PLAN DE MANEJO DE TRANSITO</vt:lpstr>
      <vt:lpstr>Memorias de calculo</vt:lpstr>
      <vt:lpstr>RESUMEN</vt:lpstr>
      <vt:lpstr>'1 RIESGOS'!Área_de_impresión</vt:lpstr>
      <vt:lpstr>'2 POLITICA'!Área_de_impresión</vt:lpstr>
      <vt:lpstr>'4 OPERACIONALES'!Área_de_impresión</vt:lpstr>
      <vt:lpstr>'4.1 Calculos Operacionales'!Área_de_impresión</vt:lpstr>
      <vt:lpstr>'5.1 Calculo Financiero'!Área_de_impresión</vt:lpstr>
      <vt:lpstr>'6 NATURALEZA'!Área_de_impresión</vt:lpstr>
      <vt:lpstr>'6.2 Calculo Naturaleza'!Área_de_impresión</vt:lpstr>
      <vt:lpstr>'7 Ambientales'!Área_de_impresión</vt:lpstr>
      <vt:lpstr>'7.1 GESTION SOCIAMBIENTAL'!Área_de_impresión</vt:lpstr>
      <vt:lpstr>'7.2 PLAN DE MANEJO DE TRANSITO'!Área_de_impresión</vt:lpstr>
      <vt:lpstr>'ARU DEFINITIVO'!Área_de_impresión</vt:lpstr>
      <vt:lpstr>'CALCULO PRESTACIONES Y SALARIOS'!Área_de_impresión</vt:lpstr>
      <vt:lpstr>CRONOGRAMA!Área_de_impresión</vt:lpstr>
      <vt:lpstr>'FLUJO DE CAJA'!Área_de_impresión</vt:lpstr>
      <vt:lpstr>PRESUPUESTO!Área_de_impresión</vt:lpstr>
      <vt:lpstr>'RESUMEN '!Área_de_impresión</vt:lpstr>
      <vt:lpstr>PRESUPUESTO!Títulos_a_imprimir</vt:lpstr>
    </vt:vector>
  </TitlesOfParts>
  <Company>Toshiba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 7</dc:creator>
  <cp:lastModifiedBy>Natalia Arenas Gómez - CT Obras Públicas</cp:lastModifiedBy>
  <cp:lastPrinted>2024-11-12T15:15:15Z</cp:lastPrinted>
  <dcterms:created xsi:type="dcterms:W3CDTF">2012-08-22T20:17:09Z</dcterms:created>
  <dcterms:modified xsi:type="dcterms:W3CDTF">2026-09-15T15:44:43Z</dcterms:modified>
</cp:coreProperties>
</file>