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LUISA\Dropbox\EDENORTE\SIG\04. GESTION ADMINISTRATIVA\"/>
    </mc:Choice>
  </mc:AlternateContent>
  <xr:revisionPtr revIDLastSave="0" documentId="8_{A92CF6C8-6829-4260-937F-5FEEB24C18C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gistro_PQRSF_Tutelas" sheetId="2" r:id="rId1"/>
    <sheet name="Marco_Legal" sheetId="3" r:id="rId2"/>
    <sheet name="Tablero_Control" sheetId="1" r:id="rId3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5" i="2" l="1"/>
  <c r="L25" i="2"/>
  <c r="M24" i="2"/>
  <c r="L24" i="2"/>
  <c r="M23" i="2"/>
  <c r="L23" i="2"/>
  <c r="M22" i="2"/>
  <c r="D16" i="1" s="1"/>
  <c r="L22" i="2"/>
  <c r="M21" i="2"/>
  <c r="D13" i="1" s="1"/>
  <c r="L21" i="2"/>
  <c r="M20" i="2"/>
  <c r="L20" i="2"/>
  <c r="M19" i="2"/>
  <c r="L19" i="2"/>
  <c r="M18" i="2"/>
  <c r="L18" i="2"/>
  <c r="M17" i="2"/>
  <c r="L17" i="2"/>
  <c r="M16" i="2"/>
  <c r="L16" i="2"/>
  <c r="M15" i="2"/>
  <c r="L15" i="2"/>
  <c r="M14" i="2"/>
  <c r="D17" i="1" s="1"/>
  <c r="E17" i="1" s="1"/>
  <c r="L14" i="2"/>
  <c r="M13" i="2"/>
  <c r="L13" i="2"/>
  <c r="M12" i="2"/>
  <c r="L12" i="2"/>
  <c r="M11" i="2"/>
  <c r="L11" i="2"/>
  <c r="M10" i="2"/>
  <c r="D14" i="1" s="1"/>
  <c r="L10" i="2"/>
  <c r="M9" i="2"/>
  <c r="D6" i="1" s="1"/>
  <c r="L9" i="2"/>
  <c r="M8" i="2"/>
  <c r="L8" i="2"/>
  <c r="M7" i="2"/>
  <c r="L7" i="2"/>
  <c r="M6" i="2"/>
  <c r="D12" i="1" s="1"/>
  <c r="L6" i="2"/>
  <c r="D18" i="1"/>
  <c r="E18" i="1" s="1"/>
  <c r="C18" i="1"/>
  <c r="J17" i="1"/>
  <c r="I17" i="1"/>
  <c r="C17" i="1"/>
  <c r="J16" i="1"/>
  <c r="I16" i="1"/>
  <c r="C16" i="1"/>
  <c r="J15" i="1"/>
  <c r="I15" i="1"/>
  <c r="C15" i="1"/>
  <c r="J14" i="1"/>
  <c r="I14" i="1"/>
  <c r="C14" i="1"/>
  <c r="J13" i="1"/>
  <c r="I13" i="1"/>
  <c r="C13" i="1"/>
  <c r="J12" i="1"/>
  <c r="I12" i="1"/>
  <c r="C12" i="1"/>
  <c r="F6" i="1"/>
  <c r="B6" i="1"/>
  <c r="E16" i="1" l="1"/>
  <c r="I18" i="1"/>
  <c r="K14" i="1" s="1"/>
  <c r="E13" i="1"/>
  <c r="D15" i="1"/>
  <c r="E15" i="1" s="1"/>
  <c r="H6" i="1"/>
  <c r="J6" i="1"/>
  <c r="E14" i="1"/>
  <c r="J18" i="1"/>
  <c r="C19" i="1"/>
  <c r="K17" i="1"/>
  <c r="E12" i="1"/>
  <c r="K15" i="1" l="1"/>
  <c r="K13" i="1"/>
  <c r="K12" i="1"/>
  <c r="K16" i="1"/>
  <c r="D19" i="1"/>
  <c r="E19" i="1" s="1"/>
  <c r="K18" i="1"/>
</calcChain>
</file>

<file path=xl/sharedStrings.xml><?xml version="1.0" encoding="utf-8"?>
<sst xmlns="http://schemas.openxmlformats.org/spreadsheetml/2006/main" count="334" uniqueCount="224">
  <si>
    <t>SISTEMA DE GESTIÓN INTEGRADO - EDENORTE E.I.C.E.</t>
  </si>
  <si>
    <t>TABLERO DE CONTROL Y SEGUIMIENTO A PQRSF Y TUTELAS</t>
  </si>
  <si>
    <t>TOTAL SOLICITUDES</t>
  </si>
  <si>
    <t>RESPUESTAS A TIEMPO</t>
  </si>
  <si>
    <t>EN TRÁMITE / PENDIENTES</t>
  </si>
  <si>
    <t>SOLICITUDES VENCIDAS</t>
  </si>
  <si>
    <t>% OPORTUNIDAD</t>
  </si>
  <si>
    <t>Total PQRSF y Tutelas</t>
  </si>
  <si>
    <t>Cumplimiento legal</t>
  </si>
  <si>
    <t>En curso dentro de término</t>
  </si>
  <si>
    <t>Alerta de incumplimiento</t>
  </si>
  <si>
    <t>% Indicador de Gestión</t>
  </si>
  <si>
    <t>1. CONSOLIDADO POR TIPO DE SOLICITUD Y ACCIÓN JUDICIAL</t>
  </si>
  <si>
    <t>2. DISTRIBUCIÓN POR MACROPROCESO RESPONSABLE (EDENORTE)</t>
  </si>
  <si>
    <t>Tipo de Solicitud / Acción</t>
  </si>
  <si>
    <t>Término Legal</t>
  </si>
  <si>
    <t>Total Recibidas</t>
  </si>
  <si>
    <t>Resueltas a Tiempo</t>
  </si>
  <si>
    <t>% Oportunidad</t>
  </si>
  <si>
    <t>Macroproceso EDENORTE</t>
  </si>
  <si>
    <t>Tipo de Proceso</t>
  </si>
  <si>
    <t>Solicitudes Asignadas</t>
  </si>
  <si>
    <t>Resueltas</t>
  </si>
  <si>
    <t>% Participación</t>
  </si>
  <si>
    <t>Petición de Interés General / Particular</t>
  </si>
  <si>
    <t>15 días hábiles</t>
  </si>
  <si>
    <t>Direccionamiento Estratégico</t>
  </si>
  <si>
    <t>Estratégico</t>
  </si>
  <si>
    <t>Petición de Información / Documentos</t>
  </si>
  <si>
    <t>10 días hábiles</t>
  </si>
  <si>
    <t>Gestión de Proyectos de Desarrollo</t>
  </si>
  <si>
    <t>Misional</t>
  </si>
  <si>
    <t>Petición de Consulta</t>
  </si>
  <si>
    <t>30 días hábiles</t>
  </si>
  <si>
    <t>Gestión de Suelo y Operación Inmobiliaria</t>
  </si>
  <si>
    <t>Queja / Reclamo</t>
  </si>
  <si>
    <t>Gestión Administrativa</t>
  </si>
  <si>
    <t>Apoyo</t>
  </si>
  <si>
    <t>Sugerencia / Felicitación</t>
  </si>
  <si>
    <t>Gestión de Recursos Financieros</t>
  </si>
  <si>
    <t>Acción de Tutela</t>
  </si>
  <si>
    <t>2 días hábiles</t>
  </si>
  <si>
    <t>Mejora Continua</t>
  </si>
  <si>
    <t>Evaluación y Control</t>
  </si>
  <si>
    <t>Acceso a la Información (Ley 1712)</t>
  </si>
  <si>
    <t>TOTAL GENERAL</t>
  </si>
  <si>
    <t>--</t>
  </si>
  <si>
    <t>No. Radicado</t>
  </si>
  <si>
    <t>Fecha Radicación</t>
  </si>
  <si>
    <t>Término (Días)</t>
  </si>
  <si>
    <t>Estado Trámite</t>
  </si>
  <si>
    <t>Fecha Respuesta</t>
  </si>
  <si>
    <t>Oportunidad</t>
  </si>
  <si>
    <t>Soportes / Observaciones</t>
  </si>
  <si>
    <t>2026-09-01</t>
  </si>
  <si>
    <t>2026-09-22</t>
  </si>
  <si>
    <t>Carlos Mario Ospina</t>
  </si>
  <si>
    <t>Ventanilla Única</t>
  </si>
  <si>
    <t>Solicitud de información sobre avance de obra pavimentación Yarumal</t>
  </si>
  <si>
    <t>Ing. Andrés Trujillo</t>
  </si>
  <si>
    <t>Resuelto</t>
  </si>
  <si>
    <t>2026-09-15</t>
  </si>
  <si>
    <t>Favorable</t>
  </si>
  <si>
    <t>Oficio EDN-OUT-142 con adjunto plano</t>
  </si>
  <si>
    <t>2026-09-02</t>
  </si>
  <si>
    <t>2026-09-16</t>
  </si>
  <si>
    <t>María Elena Lopera</t>
  </si>
  <si>
    <t>Copia del contrato de administración delegada Yarumal - Toledo</t>
  </si>
  <si>
    <t>Dra. Paula Rendón</t>
  </si>
  <si>
    <t>2026-09-10</t>
  </si>
  <si>
    <t>Copia enviada por correo institucional</t>
  </si>
  <si>
    <t>2026-09-04</t>
  </si>
  <si>
    <t>2026-09-08</t>
  </si>
  <si>
    <t>Juzgado Promiscuo Municipal Yarumal</t>
  </si>
  <si>
    <t>Notificación Judicial</t>
  </si>
  <si>
    <t>Tutela por presunta vulneración al Derecho de Petición predio urbano</t>
  </si>
  <si>
    <t>Oficina Asesora Jurídica</t>
  </si>
  <si>
    <t>2026-09-07</t>
  </si>
  <si>
    <t>Concedida</t>
  </si>
  <si>
    <t>Respuesta radicada en despacho judicial</t>
  </si>
  <si>
    <t>2026-09-05</t>
  </si>
  <si>
    <t>2026-09-26</t>
  </si>
  <si>
    <t>Constructora del Norte S.A.S.</t>
  </si>
  <si>
    <t>Inconformidad con cobro de estampillas en cuenta de cobro interventoría</t>
  </si>
  <si>
    <t>Contador Juan David Gómez</t>
  </si>
  <si>
    <t>2026-09-20</t>
  </si>
  <si>
    <t>Aclaración según acuerdo tributario Yarumal</t>
  </si>
  <si>
    <t>2026-10-20</t>
  </si>
  <si>
    <t>Asocomunal Yarumal</t>
  </si>
  <si>
    <t>Consulta sobre viabilidad técnica de proyecto de alumbrado público rural</t>
  </si>
  <si>
    <t>Dirección Técnica</t>
  </si>
  <si>
    <t>En Gestión</t>
  </si>
  <si>
    <t>En Espera</t>
  </si>
  <si>
    <t>En revisión de factibilidad en campo</t>
  </si>
  <si>
    <t>2026-09-24</t>
  </si>
  <si>
    <t>Veeduría Ciudadana Yarumal</t>
  </si>
  <si>
    <t>Solicitud de presupuestos de convenios interadministrativos 2026</t>
  </si>
  <si>
    <t>Planeación / Transparencia</t>
  </si>
  <si>
    <t>2026-09-18</t>
  </si>
  <si>
    <t>Publicado en Secop y Portal de Transparencia</t>
  </si>
  <si>
    <t>2026-09-12</t>
  </si>
  <si>
    <t>2026-09-25</t>
  </si>
  <si>
    <t>Alcaldía Municipal de Toledo</t>
  </si>
  <si>
    <t>Felicitación por atención oportuna a mantenimiento del parque automotor</t>
  </si>
  <si>
    <t>Gerencia General</t>
  </si>
  <si>
    <t>2026-09-14</t>
  </si>
  <si>
    <t>Copia a hoja de vida del equipo operativo</t>
  </si>
  <si>
    <t>2026-10-06</t>
  </si>
  <si>
    <t>Jorge Ignacio Ramírez</t>
  </si>
  <si>
    <t>Solicitud de avalúo comercial para enajenación de bien inmueble</t>
  </si>
  <si>
    <t>Ing. Luisa Fernanda Henao</t>
  </si>
  <si>
    <t>Visita técnica programada para el 02 de octubre</t>
  </si>
  <si>
    <t>Juzgado Civil del Circuito Yarumal</t>
  </si>
  <si>
    <t>Tutela por debido proceso en concurso / contratación de personal</t>
  </si>
  <si>
    <t>2026-09-21</t>
  </si>
  <si>
    <t>Denegada</t>
  </si>
  <si>
    <t>Fallo a favor de EDENORTE E.I.C.E.</t>
  </si>
  <si>
    <t>2026-10-02</t>
  </si>
  <si>
    <t>Comité de Ganaderos del Norte</t>
  </si>
  <si>
    <t>Copia del Acta de Junta Directiva No. 003 de 2026</t>
  </si>
  <si>
    <t>Secretaría General</t>
  </si>
  <si>
    <t>Proceso de expedición de copias autenticadas</t>
  </si>
  <si>
    <t>2026-10-12</t>
  </si>
  <si>
    <t>Comunidad Barrio San Pedro</t>
  </si>
  <si>
    <t>Molestias por ruido en acopio de maquinaria de obra urbana</t>
  </si>
  <si>
    <t>Residencia de Obra</t>
  </si>
  <si>
    <t>Plan de manejo ambiental y mitigación aplicado</t>
  </si>
  <si>
    <t>2026-10-13</t>
  </si>
  <si>
    <t>Sindicato de Trabajadores EDENORTE</t>
  </si>
  <si>
    <t>Solicitud de revisión de condiciones de seguridad y salud en el trabajo</t>
  </si>
  <si>
    <t>Coordinador SST</t>
  </si>
  <si>
    <t>Mesa de trabajo convocada para el 05 de octubre</t>
  </si>
  <si>
    <t>2026-09-23</t>
  </si>
  <si>
    <t>2026-10-07</t>
  </si>
  <si>
    <t>Periodista Local Yarumal</t>
  </si>
  <si>
    <t>Informe de ejecución presupuestal cortado a agosto de 2026</t>
  </si>
  <si>
    <t>Dirección Financiera</t>
  </si>
  <si>
    <t>Remitido reporte del sistema CHIP</t>
  </si>
  <si>
    <t>2026-11-06</t>
  </si>
  <si>
    <t>Concejo Municipal de Angostura</t>
  </si>
  <si>
    <t>Consulta legal sobre alcance de exención de retención RETEICA</t>
  </si>
  <si>
    <t>Oficina de Control Interno</t>
  </si>
  <si>
    <t>Concepto jurídico en preparación</t>
  </si>
  <si>
    <t>2026-10-16</t>
  </si>
  <si>
    <t>Pedro Luis Higuita</t>
  </si>
  <si>
    <t>Reclamo por demora en expedición de paz y salvo impuesto predial</t>
  </si>
  <si>
    <t>Área Inmobiliaria</t>
  </si>
  <si>
    <t>En verificación de pagos con hacienda</t>
  </si>
  <si>
    <t>2026-10-09</t>
  </si>
  <si>
    <t>Contraloría General de Antioquia</t>
  </si>
  <si>
    <t>Solicitud de soportes de póliza global de manejo PASF</t>
  </si>
  <si>
    <t>Control Interno / Auditoría</t>
  </si>
  <si>
    <t>Anexo a expediente de plan de mejoramiento</t>
  </si>
  <si>
    <t>Usuario Portal Web</t>
  </si>
  <si>
    <t>Sugerencia de simplificación de trámites en formulario de PQRSF</t>
  </si>
  <si>
    <t>Sistemas / Gobierno Digital</t>
  </si>
  <si>
    <t>Evaluado en ajuste MIPG v7</t>
  </si>
  <si>
    <t>2026-09-27</t>
  </si>
  <si>
    <t>2026-10-18</t>
  </si>
  <si>
    <t>Asociación de Comerciantes Yarumal</t>
  </si>
  <si>
    <t>Solicitud de apoyo institucional para proyecto de renovación urbana</t>
  </si>
  <si>
    <t>Inscrito en banco de proyectos</t>
  </si>
  <si>
    <t>2026-09-28</t>
  </si>
  <si>
    <t>EPM Empresas Públicas de Medellín</t>
  </si>
  <si>
    <t>Certificación de disponibilidad de servicios en predio institucional</t>
  </si>
  <si>
    <t>En trámite de expedición</t>
  </si>
  <si>
    <t>2026-09-30</t>
  </si>
  <si>
    <t>Juzgado Primero Promiscuo Yarumal</t>
  </si>
  <si>
    <t>Tutela por derecho a la salud e infraestructura en sede operativa</t>
  </si>
  <si>
    <t>Respuesta en contestación dentro de término</t>
  </si>
  <si>
    <t>Fundamento Legal</t>
  </si>
  <si>
    <t>Término Máximo</t>
  </si>
  <si>
    <t>Prorroga Permitida</t>
  </si>
  <si>
    <t>Dimensión y Política MIPG v7</t>
  </si>
  <si>
    <t>Petición de Interés General o Particular</t>
  </si>
  <si>
    <t>Art. 14 Ley 1755 de 2015 / CPACA</t>
  </si>
  <si>
    <t>Hasta 15 días hábiles adicionales (informando al peticionario)</t>
  </si>
  <si>
    <t>Dimensión 3: Relación Estado – Ciudadanías / Política 7: Servicio a las Ciudadanías</t>
  </si>
  <si>
    <t>Todos los Macroprocesos según competencia</t>
  </si>
  <si>
    <t>Petición de Información y Copia de Documentos</t>
  </si>
  <si>
    <t>Art. 14 Num 1 Ley 1755 de 2015 / Ley 1712 de 2014</t>
  </si>
  <si>
    <t>Si no hay respuesta en 10 días, se entiende aceptada y se entregan en 3 días</t>
  </si>
  <si>
    <t>Dimensión 3 / Política 9: Transparencia y Acceso a la Información</t>
  </si>
  <si>
    <t>Gestión Administrativa / Direccionamiento Estratégico</t>
  </si>
  <si>
    <t>Art. 14 Num 2 Ley 1755 de 2015</t>
  </si>
  <si>
    <t>Hasta 30 días hábiles adicionales con previa motivación</t>
  </si>
  <si>
    <t>Dimensión 3 / Política 7: Servicio a las Ciudadanías</t>
  </si>
  <si>
    <t>Direccionamiento Estratégico / Oficina Asesora Jurídica</t>
  </si>
  <si>
    <t>Petición entre Entidades Públicas</t>
  </si>
  <si>
    <t>Art. 30 Ley 1755 de 2015</t>
  </si>
  <si>
    <t>No aplica prórroga ordinaria</t>
  </si>
  <si>
    <t>Dimensión 4: Fortalecimiento Institucional / Mejora Normativa</t>
  </si>
  <si>
    <t>Gerencia General / Secretarias Competentes</t>
  </si>
  <si>
    <t>Quejas y Reclamos</t>
  </si>
  <si>
    <t>Ley 1755 de 2015 / Ley 1474 de 2011</t>
  </si>
  <si>
    <t>Aplica prórroga informando causa del retraso</t>
  </si>
  <si>
    <t>Dimensión 3 / Política 8: Participación Ciudadana / Control Social</t>
  </si>
  <si>
    <t>Mejora Continua / Control Interno disciplinario</t>
  </si>
  <si>
    <t>Sugerencias y Felicitaciones</t>
  </si>
  <si>
    <t>Manual Operativo MIPG v7</t>
  </si>
  <si>
    <t>No requiere prórroga</t>
  </si>
  <si>
    <t>Direccionamiento Estratégico / Servicio al Ciudadano</t>
  </si>
  <si>
    <t>Acción de Tutela (Contestación / Requerimiento)</t>
  </si>
  <si>
    <t>Art. 19 Decreto 2591 de 1991 / CP</t>
  </si>
  <si>
    <t>2 a 3 días hábiles (según auto del Juez)</t>
  </si>
  <si>
    <t>Inprorrogable (Riesgo de Desacato art. 52 Dto 2591)</t>
  </si>
  <si>
    <t>Dimensión 4 / Política 14: Defensa Jurídica</t>
  </si>
  <si>
    <t>Acceso a la Información Pública</t>
  </si>
  <si>
    <t>Ley 1712 de 2014 / Decreto 1081 de 2015</t>
  </si>
  <si>
    <t>Prórroga excepcionalmente motivada por 10 días más</t>
  </si>
  <si>
    <t>Dimensión 3 / Política 9: Transparencia y Lucha Contra la Corrupción</t>
  </si>
  <si>
    <t>Direccionamiento Estratégico / Gobierno Digital</t>
  </si>
  <si>
    <t>Días empleados</t>
  </si>
  <si>
    <t>Tipo de solicitud / Acción</t>
  </si>
  <si>
    <t>Fecha límite respuesta</t>
  </si>
  <si>
    <t>Nombre peticionario / Accionante</t>
  </si>
  <si>
    <t>Canal entrada</t>
  </si>
  <si>
    <t>REGISTRO, TRAZABILIDAD Y SEGUIMIENTO OPORTUNO A PQRSF Y ACCIONES DE TUTELA</t>
  </si>
  <si>
    <t>Asunto / Objeto de la solicitud</t>
  </si>
  <si>
    <t>Área Responsable</t>
  </si>
  <si>
    <t>Sentido respuesta / Fallo</t>
  </si>
  <si>
    <t>CÓDIGO GA-RG-01</t>
  </si>
  <si>
    <t>VERSIÓN 01</t>
  </si>
  <si>
    <t>HOJA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</si>
</sst>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b/>
      <sz val="16"/>
      <color rgb="FF1F497D"/>
      <name val="Calibri"/>
    </font>
    <font>
      <i/>
      <sz val="11"/>
      <color rgb="FF595959"/>
      <name val="Calibri"/>
    </font>
    <font>
      <b/>
      <sz val="9"/>
      <color rgb="FF595959"/>
      <name val="Calibri"/>
    </font>
    <font>
      <b/>
      <sz val="18"/>
      <color rgb="FF1F497D"/>
      <name val="Calibri"/>
    </font>
    <font>
      <i/>
      <sz val="10"/>
      <name val="Calibri"/>
    </font>
    <font>
      <b/>
      <sz val="12"/>
      <color rgb="FFFFFFFF"/>
      <name val="Calibri"/>
    </font>
    <font>
      <b/>
      <sz val="11"/>
      <color rgb="FFFFFFFF"/>
      <name val="Calibri"/>
    </font>
    <font>
      <sz val="10"/>
      <name val="Calibri"/>
    </font>
    <font>
      <b/>
      <sz val="11"/>
      <name val="Calibri"/>
    </font>
    <font>
      <b/>
      <sz val="11"/>
      <color theme="1"/>
      <name val="Calibri"/>
      <family val="2"/>
    </font>
    <font>
      <sz val="10"/>
      <name val="Calibri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6DCE4"/>
        <bgColor rgb="FFD6DCE4"/>
      </patternFill>
    </fill>
    <fill>
      <patternFill patternType="solid">
        <fgColor rgb="FFE2EFDA"/>
        <bgColor rgb="FFE2EFDA"/>
      </patternFill>
    </fill>
    <fill>
      <patternFill patternType="solid">
        <fgColor rgb="FF4472C4"/>
        <bgColor rgb="FF4472C4"/>
      </patternFill>
    </fill>
    <fill>
      <patternFill patternType="solid">
        <fgColor rgb="FF2F5496"/>
        <bgColor rgb="FF2F5496"/>
      </patternFill>
    </fill>
    <fill>
      <patternFill patternType="solid">
        <fgColor rgb="FFF9FAFB"/>
        <bgColor rgb="FFF9FAFB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medium">
        <color rgb="FF1F497D"/>
      </bottom>
      <diagonal/>
    </border>
    <border>
      <left/>
      <right/>
      <top style="thin">
        <color rgb="FFD9D9D9"/>
      </top>
      <bottom style="double">
        <color rgb="FF1F497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8" fillId="0" borderId="1" xfId="0" applyFont="1" applyBorder="1"/>
    <xf numFmtId="3" fontId="8" fillId="0" borderId="1" xfId="0" applyNumberFormat="1" applyFont="1" applyBorder="1" applyAlignment="1">
      <alignment horizontal="right" vertical="center"/>
    </xf>
    <xf numFmtId="164" fontId="9" fillId="3" borderId="1" xfId="0" applyNumberFormat="1" applyFont="1" applyFill="1" applyBorder="1" applyAlignment="1">
      <alignment horizontal="right" vertical="center"/>
    </xf>
    <xf numFmtId="0" fontId="9" fillId="2" borderId="3" xfId="0" applyFont="1" applyFill="1" applyBorder="1"/>
    <xf numFmtId="0" fontId="0" fillId="2" borderId="3" xfId="0" applyFill="1" applyBorder="1" applyAlignment="1">
      <alignment horizontal="center" vertical="center" wrapText="1"/>
    </xf>
    <xf numFmtId="3" fontId="9" fillId="2" borderId="3" xfId="0" applyNumberFormat="1" applyFont="1" applyFill="1" applyBorder="1" applyAlignment="1">
      <alignment horizontal="right" vertical="center"/>
    </xf>
    <xf numFmtId="164" fontId="9" fillId="3" borderId="3" xfId="0" applyNumberFormat="1" applyFont="1" applyFill="1" applyBorder="1" applyAlignment="1">
      <alignment horizontal="right" vertical="center"/>
    </xf>
    <xf numFmtId="0" fontId="9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6" fillId="4" borderId="0" xfId="0" applyFont="1" applyFill="1"/>
    <xf numFmtId="0" fontId="0" fillId="4" borderId="0" xfId="0" applyFill="1"/>
    <xf numFmtId="0" fontId="0" fillId="0" borderId="0" xfId="0" applyFont="1" applyFill="1"/>
    <xf numFmtId="0" fontId="1" fillId="0" borderId="4" xfId="0" applyFont="1" applyBorder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3" fontId="8" fillId="0" borderId="4" xfId="0" applyNumberFormat="1" applyFont="1" applyFill="1" applyBorder="1" applyAlignment="1">
      <alignment horizontal="right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161925</xdr:rowOff>
    </xdr:from>
    <xdr:to>
      <xdr:col>0</xdr:col>
      <xdr:colOff>1300224</xdr:colOff>
      <xdr:row>2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1BA95FE-7BB2-4520-8388-D1A3D36B6D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3224"/>
        <a:stretch/>
      </xdr:blipFill>
      <xdr:spPr>
        <a:xfrm>
          <a:off x="0" y="161925"/>
          <a:ext cx="1300224" cy="419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5"/>
  <sheetViews>
    <sheetView tabSelected="1" workbookViewId="0">
      <selection activeCell="C6" sqref="C6"/>
    </sheetView>
  </sheetViews>
  <sheetFormatPr baseColWidth="10" defaultColWidth="9.140625" defaultRowHeight="15" x14ac:dyDescent="0.25"/>
  <cols>
    <col min="1" max="1" width="20" customWidth="1"/>
    <col min="2" max="2" width="15" customWidth="1"/>
    <col min="3" max="3" width="25.7109375" customWidth="1"/>
    <col min="4" max="4" width="9.5703125" customWidth="1"/>
    <col min="5" max="5" width="13.5703125" customWidth="1"/>
    <col min="6" max="6" width="27" customWidth="1"/>
    <col min="7" max="7" width="16.42578125" customWidth="1"/>
    <col min="8" max="8" width="43.42578125" customWidth="1"/>
    <col min="9" max="9" width="25" customWidth="1"/>
    <col min="10" max="10" width="16" customWidth="1"/>
    <col min="11" max="12" width="15" customWidth="1"/>
    <col min="13" max="13" width="16" customWidth="1"/>
    <col min="14" max="14" width="18" customWidth="1"/>
    <col min="15" max="15" width="40" customWidth="1"/>
  </cols>
  <sheetData>
    <row r="1" spans="1:15" ht="16.5" customHeight="1" x14ac:dyDescent="0.25">
      <c r="A1" s="26"/>
      <c r="B1" s="27" t="s">
        <v>217</v>
      </c>
      <c r="C1" s="27"/>
      <c r="D1" s="27"/>
      <c r="E1" s="27"/>
      <c r="F1" s="27"/>
      <c r="G1" s="27"/>
      <c r="H1" s="29" t="s">
        <v>221</v>
      </c>
    </row>
    <row r="2" spans="1:15" ht="16.5" customHeight="1" x14ac:dyDescent="0.25">
      <c r="A2" s="26"/>
      <c r="B2" s="27"/>
      <c r="C2" s="27"/>
      <c r="D2" s="27"/>
      <c r="E2" s="27"/>
      <c r="F2" s="27"/>
      <c r="G2" s="27"/>
      <c r="H2" s="29" t="s">
        <v>222</v>
      </c>
    </row>
    <row r="3" spans="1:15" ht="16.5" customHeight="1" x14ac:dyDescent="0.25">
      <c r="A3" s="26"/>
      <c r="B3" s="27"/>
      <c r="C3" s="27"/>
      <c r="D3" s="27"/>
      <c r="E3" s="27"/>
      <c r="F3" s="27"/>
      <c r="G3" s="27"/>
      <c r="H3" s="29" t="s">
        <v>223</v>
      </c>
    </row>
    <row r="4" spans="1:15" x14ac:dyDescent="0.25">
      <c r="A4" s="2"/>
    </row>
    <row r="5" spans="1:15" s="25" customFormat="1" ht="30" x14ac:dyDescent="0.25">
      <c r="A5" s="28" t="s">
        <v>47</v>
      </c>
      <c r="B5" s="28" t="s">
        <v>48</v>
      </c>
      <c r="C5" s="28" t="s">
        <v>213</v>
      </c>
      <c r="D5" s="28" t="s">
        <v>49</v>
      </c>
      <c r="E5" s="28" t="s">
        <v>214</v>
      </c>
      <c r="F5" s="28" t="s">
        <v>215</v>
      </c>
      <c r="G5" s="28" t="s">
        <v>216</v>
      </c>
      <c r="H5" s="28" t="s">
        <v>218</v>
      </c>
      <c r="I5" s="28" t="s">
        <v>219</v>
      </c>
      <c r="J5" s="28" t="s">
        <v>50</v>
      </c>
      <c r="K5" s="28" t="s">
        <v>51</v>
      </c>
      <c r="L5" s="28" t="s">
        <v>212</v>
      </c>
      <c r="M5" s="28" t="s">
        <v>52</v>
      </c>
      <c r="N5" s="28" t="s">
        <v>220</v>
      </c>
      <c r="O5" s="28" t="s">
        <v>53</v>
      </c>
    </row>
    <row r="6" spans="1:15" s="35" customFormat="1" ht="25.5" x14ac:dyDescent="0.25">
      <c r="A6" s="30"/>
      <c r="B6" s="31" t="s">
        <v>54</v>
      </c>
      <c r="C6" s="32" t="s">
        <v>24</v>
      </c>
      <c r="D6" s="31">
        <v>15</v>
      </c>
      <c r="E6" s="31" t="s">
        <v>55</v>
      </c>
      <c r="F6" s="33" t="s">
        <v>56</v>
      </c>
      <c r="G6" s="31" t="s">
        <v>57</v>
      </c>
      <c r="H6" s="33" t="s">
        <v>58</v>
      </c>
      <c r="I6" s="33" t="s">
        <v>59</v>
      </c>
      <c r="J6" s="30" t="s">
        <v>60</v>
      </c>
      <c r="K6" s="31" t="s">
        <v>61</v>
      </c>
      <c r="L6" s="34">
        <f>IF(ISBLANK(K6), DATE(2026,9,30)-DATEVALUE(B6), DATEVALUE(K6)-DATEVALUE(B6))</f>
        <v>14</v>
      </c>
      <c r="M6" s="30" t="str">
        <f>IF(ISBLANK(K6), IF(DATE(2026,9,30)&gt;DATEVALUE(E6), "Fuera de Término", "En Término"), IF(DATEVALUE(K6)&lt;=DATEVALUE(E6), "A Tiempo", "Fuera de Término"))</f>
        <v>A Tiempo</v>
      </c>
      <c r="N6" s="31" t="s">
        <v>62</v>
      </c>
      <c r="O6" s="33" t="s">
        <v>63</v>
      </c>
    </row>
    <row r="7" spans="1:15" s="35" customFormat="1" ht="25.5" x14ac:dyDescent="0.25">
      <c r="A7" s="30"/>
      <c r="B7" s="31" t="s">
        <v>64</v>
      </c>
      <c r="C7" s="33" t="s">
        <v>28</v>
      </c>
      <c r="D7" s="31">
        <v>10</v>
      </c>
      <c r="E7" s="31" t="s">
        <v>65</v>
      </c>
      <c r="F7" s="33" t="s">
        <v>66</v>
      </c>
      <c r="G7" s="31" t="s">
        <v>74</v>
      </c>
      <c r="H7" s="33" t="s">
        <v>67</v>
      </c>
      <c r="I7" s="33" t="s">
        <v>68</v>
      </c>
      <c r="J7" s="30" t="s">
        <v>60</v>
      </c>
      <c r="K7" s="31" t="s">
        <v>69</v>
      </c>
      <c r="L7" s="34">
        <f>IF(ISBLANK(K7), DATE(2026,9,30)-DATEVALUE(B7), DATEVALUE(K7)-DATEVALUE(B7))</f>
        <v>8</v>
      </c>
      <c r="M7" s="30" t="str">
        <f>IF(ISBLANK(K7), IF(DATE(2026,9,30)&gt;DATEVALUE(E7), "Fuera de Término", "En Término"), IF(DATEVALUE(K7)&lt;=DATEVALUE(E7), "A Tiempo", "Fuera de Término"))</f>
        <v>A Tiempo</v>
      </c>
      <c r="N7" s="31" t="s">
        <v>62</v>
      </c>
      <c r="O7" s="33" t="s">
        <v>70</v>
      </c>
    </row>
    <row r="8" spans="1:15" s="35" customFormat="1" ht="25.5" x14ac:dyDescent="0.25">
      <c r="A8" s="30"/>
      <c r="B8" s="31" t="s">
        <v>71</v>
      </c>
      <c r="C8" s="33" t="s">
        <v>40</v>
      </c>
      <c r="D8" s="31">
        <v>2</v>
      </c>
      <c r="E8" s="31" t="s">
        <v>72</v>
      </c>
      <c r="F8" s="33" t="s">
        <v>73</v>
      </c>
      <c r="G8" s="31" t="s">
        <v>74</v>
      </c>
      <c r="H8" s="33" t="s">
        <v>75</v>
      </c>
      <c r="I8" s="33" t="s">
        <v>76</v>
      </c>
      <c r="J8" s="30" t="s">
        <v>60</v>
      </c>
      <c r="K8" s="31" t="s">
        <v>77</v>
      </c>
      <c r="L8" s="34">
        <f>IF(ISBLANK(K8), DATE(2026,9,30)-DATEVALUE(B8), DATEVALUE(K8)-DATEVALUE(B8))</f>
        <v>3</v>
      </c>
      <c r="M8" s="30" t="str">
        <f>IF(ISBLANK(K8), IF(DATE(2026,9,30)&gt;DATEVALUE(E8), "Fuera de Término", "En Término"), IF(DATEVALUE(K8)&lt;=DATEVALUE(E8), "A Tiempo", "Fuera de Término"))</f>
        <v>A Tiempo</v>
      </c>
      <c r="N8" s="31" t="s">
        <v>78</v>
      </c>
      <c r="O8" s="33" t="s">
        <v>79</v>
      </c>
    </row>
    <row r="9" spans="1:15" s="35" customFormat="1" ht="25.5" x14ac:dyDescent="0.25">
      <c r="A9" s="30"/>
      <c r="B9" s="31" t="s">
        <v>80</v>
      </c>
      <c r="C9" s="33" t="s">
        <v>35</v>
      </c>
      <c r="D9" s="31">
        <v>15</v>
      </c>
      <c r="E9" s="31" t="s">
        <v>81</v>
      </c>
      <c r="F9" s="33" t="s">
        <v>82</v>
      </c>
      <c r="G9" s="31" t="s">
        <v>57</v>
      </c>
      <c r="H9" s="33" t="s">
        <v>83</v>
      </c>
      <c r="I9" s="33" t="s">
        <v>84</v>
      </c>
      <c r="J9" s="30" t="s">
        <v>60</v>
      </c>
      <c r="K9" s="31" t="s">
        <v>85</v>
      </c>
      <c r="L9" s="34">
        <f>IF(ISBLANK(K9), DATE(2026,9,30)-DATEVALUE(B9), DATEVALUE(K9)-DATEVALUE(B9))</f>
        <v>15</v>
      </c>
      <c r="M9" s="30" t="str">
        <f>IF(ISBLANK(K9), IF(DATE(2026,9,30)&gt;DATEVALUE(E9), "Fuera de Término", "En Término"), IF(DATEVALUE(K9)&lt;=DATEVALUE(E9), "A Tiempo", "Fuera de Término"))</f>
        <v>A Tiempo</v>
      </c>
      <c r="N9" s="31" t="s">
        <v>62</v>
      </c>
      <c r="O9" s="33" t="s">
        <v>86</v>
      </c>
    </row>
    <row r="10" spans="1:15" s="35" customFormat="1" ht="25.5" x14ac:dyDescent="0.25">
      <c r="A10" s="30"/>
      <c r="B10" s="31" t="s">
        <v>72</v>
      </c>
      <c r="C10" s="33" t="s">
        <v>32</v>
      </c>
      <c r="D10" s="31">
        <v>30</v>
      </c>
      <c r="E10" s="31" t="s">
        <v>87</v>
      </c>
      <c r="F10" s="33" t="s">
        <v>88</v>
      </c>
      <c r="G10" s="31" t="s">
        <v>57</v>
      </c>
      <c r="H10" s="33" t="s">
        <v>89</v>
      </c>
      <c r="I10" s="33" t="s">
        <v>90</v>
      </c>
      <c r="J10" s="30" t="s">
        <v>91</v>
      </c>
      <c r="K10" s="31"/>
      <c r="L10" s="34">
        <f>IF(ISBLANK(K10), DATE(2026,9,30)-DATEVALUE(B10), DATEVALUE(K10)-DATEVALUE(B10))</f>
        <v>22</v>
      </c>
      <c r="M10" s="30" t="str">
        <f>IF(ISBLANK(K10), IF(DATE(2026,9,30)&gt;DATEVALUE(E10), "Fuera de Término", "En Término"), IF(DATEVALUE(K10)&lt;=DATEVALUE(E10), "A Tiempo", "Fuera de Término"))</f>
        <v>En Término</v>
      </c>
      <c r="N10" s="31" t="s">
        <v>92</v>
      </c>
      <c r="O10" s="33" t="s">
        <v>93</v>
      </c>
    </row>
    <row r="11" spans="1:15" s="35" customFormat="1" ht="25.5" x14ac:dyDescent="0.25">
      <c r="A11" s="30"/>
      <c r="B11" s="31" t="s">
        <v>69</v>
      </c>
      <c r="C11" s="33" t="s">
        <v>44</v>
      </c>
      <c r="D11" s="31">
        <v>10</v>
      </c>
      <c r="E11" s="31" t="s">
        <v>94</v>
      </c>
      <c r="F11" s="33" t="s">
        <v>95</v>
      </c>
      <c r="G11" s="31" t="s">
        <v>57</v>
      </c>
      <c r="H11" s="33" t="s">
        <v>96</v>
      </c>
      <c r="I11" s="33" t="s">
        <v>97</v>
      </c>
      <c r="J11" s="30" t="s">
        <v>60</v>
      </c>
      <c r="K11" s="31" t="s">
        <v>98</v>
      </c>
      <c r="L11" s="34">
        <f>IF(ISBLANK(K11), DATE(2026,9,30)-DATEVALUE(B11), DATEVALUE(K11)-DATEVALUE(B11))</f>
        <v>8</v>
      </c>
      <c r="M11" s="30" t="str">
        <f>IF(ISBLANK(K11), IF(DATE(2026,9,30)&gt;DATEVALUE(E11), "Fuera de Término", "En Término"), IF(DATEVALUE(K11)&lt;=DATEVALUE(E11), "A Tiempo", "Fuera de Término"))</f>
        <v>A Tiempo</v>
      </c>
      <c r="N11" s="31" t="s">
        <v>62</v>
      </c>
      <c r="O11" s="33" t="s">
        <v>99</v>
      </c>
    </row>
    <row r="12" spans="1:15" s="35" customFormat="1" ht="25.5" x14ac:dyDescent="0.25">
      <c r="A12" s="30"/>
      <c r="B12" s="31" t="s">
        <v>100</v>
      </c>
      <c r="C12" s="33" t="s">
        <v>38</v>
      </c>
      <c r="D12" s="31">
        <v>10</v>
      </c>
      <c r="E12" s="31" t="s">
        <v>101</v>
      </c>
      <c r="F12" s="33" t="s">
        <v>102</v>
      </c>
      <c r="G12" s="31" t="s">
        <v>57</v>
      </c>
      <c r="H12" s="33" t="s">
        <v>103</v>
      </c>
      <c r="I12" s="33" t="s">
        <v>104</v>
      </c>
      <c r="J12" s="30" t="s">
        <v>60</v>
      </c>
      <c r="K12" s="31" t="s">
        <v>105</v>
      </c>
      <c r="L12" s="34">
        <f>IF(ISBLANK(K12), DATE(2026,9,30)-DATEVALUE(B12), DATEVALUE(K12)-DATEVALUE(B12))</f>
        <v>2</v>
      </c>
      <c r="M12" s="30" t="str">
        <f>IF(ISBLANK(K12), IF(DATE(2026,9,30)&gt;DATEVALUE(E12), "Fuera de Término", "En Término"), IF(DATEVALUE(K12)&lt;=DATEVALUE(E12), "A Tiempo", "Fuera de Término"))</f>
        <v>A Tiempo</v>
      </c>
      <c r="N12" s="31" t="s">
        <v>62</v>
      </c>
      <c r="O12" s="33" t="s">
        <v>106</v>
      </c>
    </row>
    <row r="13" spans="1:15" s="35" customFormat="1" ht="25.5" x14ac:dyDescent="0.25">
      <c r="A13" s="30"/>
      <c r="B13" s="31" t="s">
        <v>61</v>
      </c>
      <c r="C13" s="33" t="s">
        <v>24</v>
      </c>
      <c r="D13" s="31">
        <v>15</v>
      </c>
      <c r="E13" s="31" t="s">
        <v>107</v>
      </c>
      <c r="F13" s="33" t="s">
        <v>108</v>
      </c>
      <c r="G13" s="31" t="s">
        <v>57</v>
      </c>
      <c r="H13" s="33" t="s">
        <v>109</v>
      </c>
      <c r="I13" s="33" t="s">
        <v>110</v>
      </c>
      <c r="J13" s="30" t="s">
        <v>91</v>
      </c>
      <c r="K13" s="31"/>
      <c r="L13" s="34">
        <f>IF(ISBLANK(K13), DATE(2026,9,30)-DATEVALUE(B13), DATEVALUE(K13)-DATEVALUE(B13))</f>
        <v>15</v>
      </c>
      <c r="M13" s="30" t="str">
        <f>IF(ISBLANK(K13), IF(DATE(2026,9,30)&gt;DATEVALUE(E13), "Fuera de Término", "En Término"), IF(DATEVALUE(K13)&lt;=DATEVALUE(E13), "A Tiempo", "Fuera de Término"))</f>
        <v>En Término</v>
      </c>
      <c r="N13" s="31" t="s">
        <v>92</v>
      </c>
      <c r="O13" s="33" t="s">
        <v>111</v>
      </c>
    </row>
    <row r="14" spans="1:15" s="35" customFormat="1" ht="25.5" x14ac:dyDescent="0.25">
      <c r="A14" s="30"/>
      <c r="B14" s="31" t="s">
        <v>98</v>
      </c>
      <c r="C14" s="33" t="s">
        <v>40</v>
      </c>
      <c r="D14" s="31">
        <v>2</v>
      </c>
      <c r="E14" s="31" t="s">
        <v>55</v>
      </c>
      <c r="F14" s="33" t="s">
        <v>112</v>
      </c>
      <c r="G14" s="31" t="s">
        <v>57</v>
      </c>
      <c r="H14" s="33" t="s">
        <v>113</v>
      </c>
      <c r="I14" s="33" t="s">
        <v>76</v>
      </c>
      <c r="J14" s="30" t="s">
        <v>60</v>
      </c>
      <c r="K14" s="31" t="s">
        <v>114</v>
      </c>
      <c r="L14" s="34">
        <f>IF(ISBLANK(K14), DATE(2026,9,30)-DATEVALUE(B14), DATEVALUE(K14)-DATEVALUE(B14))</f>
        <v>3</v>
      </c>
      <c r="M14" s="30" t="str">
        <f>IF(ISBLANK(K14), IF(DATE(2026,9,30)&gt;DATEVALUE(E14), "Fuera de Término", "En Término"), IF(DATEVALUE(K14)&lt;=DATEVALUE(E14), "A Tiempo", "Fuera de Término"))</f>
        <v>A Tiempo</v>
      </c>
      <c r="N14" s="31" t="s">
        <v>115</v>
      </c>
      <c r="O14" s="33" t="s">
        <v>116</v>
      </c>
    </row>
    <row r="15" spans="1:15" s="35" customFormat="1" ht="25.5" x14ac:dyDescent="0.25">
      <c r="A15" s="30"/>
      <c r="B15" s="31" t="s">
        <v>85</v>
      </c>
      <c r="C15" s="33" t="s">
        <v>28</v>
      </c>
      <c r="D15" s="31">
        <v>10</v>
      </c>
      <c r="E15" s="31" t="s">
        <v>117</v>
      </c>
      <c r="F15" s="33" t="s">
        <v>118</v>
      </c>
      <c r="G15" s="31" t="s">
        <v>57</v>
      </c>
      <c r="H15" s="33" t="s">
        <v>119</v>
      </c>
      <c r="I15" s="33" t="s">
        <v>120</v>
      </c>
      <c r="J15" s="30" t="s">
        <v>91</v>
      </c>
      <c r="K15" s="31"/>
      <c r="L15" s="34">
        <f>IF(ISBLANK(K15), DATE(2026,9,30)-DATEVALUE(B15), DATEVALUE(K15)-DATEVALUE(B15))</f>
        <v>10</v>
      </c>
      <c r="M15" s="30" t="str">
        <f>IF(ISBLANK(K15), IF(DATE(2026,9,30)&gt;DATEVALUE(E15), "Fuera de Término", "En Término"), IF(DATEVALUE(K15)&lt;=DATEVALUE(E15), "A Tiempo", "Fuera de Término"))</f>
        <v>En Término</v>
      </c>
      <c r="N15" s="31" t="s">
        <v>92</v>
      </c>
      <c r="O15" s="33" t="s">
        <v>121</v>
      </c>
    </row>
    <row r="16" spans="1:15" s="35" customFormat="1" ht="25.5" x14ac:dyDescent="0.25">
      <c r="A16" s="30"/>
      <c r="B16" s="31" t="s">
        <v>114</v>
      </c>
      <c r="C16" s="33" t="s">
        <v>35</v>
      </c>
      <c r="D16" s="31">
        <v>15</v>
      </c>
      <c r="E16" s="31" t="s">
        <v>122</v>
      </c>
      <c r="F16" s="33" t="s">
        <v>123</v>
      </c>
      <c r="G16" s="31" t="s">
        <v>57</v>
      </c>
      <c r="H16" s="33" t="s">
        <v>124</v>
      </c>
      <c r="I16" s="33" t="s">
        <v>125</v>
      </c>
      <c r="J16" s="30" t="s">
        <v>91</v>
      </c>
      <c r="K16" s="31"/>
      <c r="L16" s="34">
        <f>IF(ISBLANK(K16), DATE(2026,9,30)-DATEVALUE(B16), DATEVALUE(K16)-DATEVALUE(B16))</f>
        <v>9</v>
      </c>
      <c r="M16" s="30" t="str">
        <f>IF(ISBLANK(K16), IF(DATE(2026,9,30)&gt;DATEVALUE(E16), "Fuera de Término", "En Término"), IF(DATEVALUE(K16)&lt;=DATEVALUE(E16), "A Tiempo", "Fuera de Término"))</f>
        <v>En Término</v>
      </c>
      <c r="N16" s="31" t="s">
        <v>92</v>
      </c>
      <c r="O16" s="33" t="s">
        <v>126</v>
      </c>
    </row>
    <row r="17" spans="1:15" s="35" customFormat="1" ht="25.5" x14ac:dyDescent="0.25">
      <c r="A17" s="30"/>
      <c r="B17" s="31" t="s">
        <v>55</v>
      </c>
      <c r="C17" s="33" t="s">
        <v>24</v>
      </c>
      <c r="D17" s="31">
        <v>15</v>
      </c>
      <c r="E17" s="31" t="s">
        <v>127</v>
      </c>
      <c r="F17" s="33" t="s">
        <v>128</v>
      </c>
      <c r="G17" s="31" t="s">
        <v>57</v>
      </c>
      <c r="H17" s="33" t="s">
        <v>129</v>
      </c>
      <c r="I17" s="33" t="s">
        <v>130</v>
      </c>
      <c r="J17" s="30" t="s">
        <v>91</v>
      </c>
      <c r="K17" s="31"/>
      <c r="L17" s="34">
        <f>IF(ISBLANK(K17), DATE(2026,9,30)-DATEVALUE(B17), DATEVALUE(K17)-DATEVALUE(B17))</f>
        <v>8</v>
      </c>
      <c r="M17" s="30" t="str">
        <f>IF(ISBLANK(K17), IF(DATE(2026,9,30)&gt;DATEVALUE(E17), "Fuera de Término", "En Término"), IF(DATEVALUE(K17)&lt;=DATEVALUE(E17), "A Tiempo", "Fuera de Término"))</f>
        <v>En Término</v>
      </c>
      <c r="N17" s="31" t="s">
        <v>92</v>
      </c>
      <c r="O17" s="33" t="s">
        <v>131</v>
      </c>
    </row>
    <row r="18" spans="1:15" s="35" customFormat="1" ht="25.5" x14ac:dyDescent="0.25">
      <c r="A18" s="30"/>
      <c r="B18" s="31" t="s">
        <v>132</v>
      </c>
      <c r="C18" s="33" t="s">
        <v>44</v>
      </c>
      <c r="D18" s="31">
        <v>10</v>
      </c>
      <c r="E18" s="31" t="s">
        <v>133</v>
      </c>
      <c r="F18" s="33" t="s">
        <v>134</v>
      </c>
      <c r="G18" s="31" t="s">
        <v>57</v>
      </c>
      <c r="H18" s="33" t="s">
        <v>135</v>
      </c>
      <c r="I18" s="33" t="s">
        <v>136</v>
      </c>
      <c r="J18" s="30" t="s">
        <v>91</v>
      </c>
      <c r="K18" s="31"/>
      <c r="L18" s="34">
        <f>IF(ISBLANK(K18), DATE(2026,9,30)-DATEVALUE(B18), DATEVALUE(K18)-DATEVALUE(B18))</f>
        <v>7</v>
      </c>
      <c r="M18" s="30" t="str">
        <f>IF(ISBLANK(K18), IF(DATE(2026,9,30)&gt;DATEVALUE(E18), "Fuera de Término", "En Término"), IF(DATEVALUE(K18)&lt;=DATEVALUE(E18), "A Tiempo", "Fuera de Término"))</f>
        <v>En Término</v>
      </c>
      <c r="N18" s="31" t="s">
        <v>92</v>
      </c>
      <c r="O18" s="33" t="s">
        <v>137</v>
      </c>
    </row>
    <row r="19" spans="1:15" s="35" customFormat="1" ht="25.5" x14ac:dyDescent="0.25">
      <c r="A19" s="30"/>
      <c r="B19" s="31" t="s">
        <v>94</v>
      </c>
      <c r="C19" s="33" t="s">
        <v>32</v>
      </c>
      <c r="D19" s="31">
        <v>30</v>
      </c>
      <c r="E19" s="31" t="s">
        <v>138</v>
      </c>
      <c r="F19" s="33" t="s">
        <v>139</v>
      </c>
      <c r="G19" s="31" t="s">
        <v>57</v>
      </c>
      <c r="H19" s="33" t="s">
        <v>140</v>
      </c>
      <c r="I19" s="33" t="s">
        <v>141</v>
      </c>
      <c r="J19" s="30" t="s">
        <v>91</v>
      </c>
      <c r="K19" s="31"/>
      <c r="L19" s="34">
        <f>IF(ISBLANK(K19), DATE(2026,9,30)-DATEVALUE(B19), DATEVALUE(K19)-DATEVALUE(B19))</f>
        <v>6</v>
      </c>
      <c r="M19" s="30" t="str">
        <f>IF(ISBLANK(K19), IF(DATE(2026,9,30)&gt;DATEVALUE(E19), "Fuera de Término", "En Término"), IF(DATEVALUE(K19)&lt;=DATEVALUE(E19), "A Tiempo", "Fuera de Término"))</f>
        <v>En Término</v>
      </c>
      <c r="N19" s="31" t="s">
        <v>92</v>
      </c>
      <c r="O19" s="33" t="s">
        <v>142</v>
      </c>
    </row>
    <row r="20" spans="1:15" s="35" customFormat="1" ht="25.5" x14ac:dyDescent="0.25">
      <c r="A20" s="30"/>
      <c r="B20" s="31" t="s">
        <v>101</v>
      </c>
      <c r="C20" s="33" t="s">
        <v>35</v>
      </c>
      <c r="D20" s="31">
        <v>15</v>
      </c>
      <c r="E20" s="31" t="s">
        <v>143</v>
      </c>
      <c r="F20" s="33" t="s">
        <v>144</v>
      </c>
      <c r="G20" s="31" t="s">
        <v>57</v>
      </c>
      <c r="H20" s="33" t="s">
        <v>145</v>
      </c>
      <c r="I20" s="33" t="s">
        <v>146</v>
      </c>
      <c r="J20" s="30" t="s">
        <v>91</v>
      </c>
      <c r="K20" s="31"/>
      <c r="L20" s="34">
        <f>IF(ISBLANK(K20), DATE(2026,9,30)-DATEVALUE(B20), DATEVALUE(K20)-DATEVALUE(B20))</f>
        <v>5</v>
      </c>
      <c r="M20" s="30" t="str">
        <f>IF(ISBLANK(K20), IF(DATE(2026,9,30)&gt;DATEVALUE(E20), "Fuera de Término", "En Término"), IF(DATEVALUE(K20)&lt;=DATEVALUE(E20), "A Tiempo", "Fuera de Término"))</f>
        <v>En Término</v>
      </c>
      <c r="N20" s="31" t="s">
        <v>92</v>
      </c>
      <c r="O20" s="33" t="s">
        <v>147</v>
      </c>
    </row>
    <row r="21" spans="1:15" s="35" customFormat="1" ht="25.5" x14ac:dyDescent="0.25">
      <c r="A21" s="30"/>
      <c r="B21" s="31" t="s">
        <v>101</v>
      </c>
      <c r="C21" s="33" t="s">
        <v>28</v>
      </c>
      <c r="D21" s="31">
        <v>10</v>
      </c>
      <c r="E21" s="31" t="s">
        <v>148</v>
      </c>
      <c r="F21" s="33" t="s">
        <v>149</v>
      </c>
      <c r="G21" s="31" t="s">
        <v>57</v>
      </c>
      <c r="H21" s="33" t="s">
        <v>150</v>
      </c>
      <c r="I21" s="33" t="s">
        <v>151</v>
      </c>
      <c r="J21" s="30" t="s">
        <v>91</v>
      </c>
      <c r="K21" s="31"/>
      <c r="L21" s="34">
        <f>IF(ISBLANK(K21), DATE(2026,9,30)-DATEVALUE(B21), DATEVALUE(K21)-DATEVALUE(B21))</f>
        <v>5</v>
      </c>
      <c r="M21" s="30" t="str">
        <f>IF(ISBLANK(K21), IF(DATE(2026,9,30)&gt;DATEVALUE(E21), "Fuera de Término", "En Término"), IF(DATEVALUE(K21)&lt;=DATEVALUE(E21), "A Tiempo", "Fuera de Término"))</f>
        <v>En Término</v>
      </c>
      <c r="N21" s="31" t="s">
        <v>92</v>
      </c>
      <c r="O21" s="33" t="s">
        <v>152</v>
      </c>
    </row>
    <row r="22" spans="1:15" s="35" customFormat="1" ht="25.5" x14ac:dyDescent="0.25">
      <c r="A22" s="30"/>
      <c r="B22" s="31" t="s">
        <v>81</v>
      </c>
      <c r="C22" s="33" t="s">
        <v>38</v>
      </c>
      <c r="D22" s="31">
        <v>10</v>
      </c>
      <c r="E22" s="31" t="s">
        <v>148</v>
      </c>
      <c r="F22" s="33" t="s">
        <v>153</v>
      </c>
      <c r="G22" s="31" t="s">
        <v>57</v>
      </c>
      <c r="H22" s="33" t="s">
        <v>154</v>
      </c>
      <c r="I22" s="33" t="s">
        <v>155</v>
      </c>
      <c r="J22" s="30" t="s">
        <v>91</v>
      </c>
      <c r="K22" s="31"/>
      <c r="L22" s="34">
        <f>IF(ISBLANK(K22), DATE(2026,9,30)-DATEVALUE(B22), DATEVALUE(K22)-DATEVALUE(B22))</f>
        <v>4</v>
      </c>
      <c r="M22" s="30" t="str">
        <f>IF(ISBLANK(K22), IF(DATE(2026,9,30)&gt;DATEVALUE(E22), "Fuera de Término", "En Término"), IF(DATEVALUE(K22)&lt;=DATEVALUE(E22), "A Tiempo", "Fuera de Término"))</f>
        <v>En Término</v>
      </c>
      <c r="N22" s="31" t="s">
        <v>92</v>
      </c>
      <c r="O22" s="33" t="s">
        <v>156</v>
      </c>
    </row>
    <row r="23" spans="1:15" s="35" customFormat="1" ht="25.5" x14ac:dyDescent="0.25">
      <c r="A23" s="30"/>
      <c r="B23" s="31" t="s">
        <v>157</v>
      </c>
      <c r="C23" s="33" t="s">
        <v>24</v>
      </c>
      <c r="D23" s="31">
        <v>15</v>
      </c>
      <c r="E23" s="31" t="s">
        <v>158</v>
      </c>
      <c r="F23" s="33" t="s">
        <v>159</v>
      </c>
      <c r="G23" s="31" t="s">
        <v>57</v>
      </c>
      <c r="H23" s="33" t="s">
        <v>160</v>
      </c>
      <c r="I23" s="33" t="s">
        <v>104</v>
      </c>
      <c r="J23" s="30" t="s">
        <v>91</v>
      </c>
      <c r="K23" s="31"/>
      <c r="L23" s="34">
        <f>IF(ISBLANK(K23), DATE(2026,9,30)-DATEVALUE(B23), DATEVALUE(K23)-DATEVALUE(B23))</f>
        <v>3</v>
      </c>
      <c r="M23" s="30" t="str">
        <f>IF(ISBLANK(K23), IF(DATE(2026,9,30)&gt;DATEVALUE(E23), "Fuera de Término", "En Término"), IF(DATEVALUE(K23)&lt;=DATEVALUE(E23), "A Tiempo", "Fuera de Término"))</f>
        <v>En Término</v>
      </c>
      <c r="N23" s="31" t="s">
        <v>92</v>
      </c>
      <c r="O23" s="33" t="s">
        <v>161</v>
      </c>
    </row>
    <row r="24" spans="1:15" s="35" customFormat="1" ht="25.5" x14ac:dyDescent="0.25">
      <c r="A24" s="30"/>
      <c r="B24" s="31" t="s">
        <v>162</v>
      </c>
      <c r="C24" s="33" t="s">
        <v>28</v>
      </c>
      <c r="D24" s="31">
        <v>10</v>
      </c>
      <c r="E24" s="31" t="s">
        <v>122</v>
      </c>
      <c r="F24" s="33" t="s">
        <v>163</v>
      </c>
      <c r="G24" s="31" t="s">
        <v>57</v>
      </c>
      <c r="H24" s="33" t="s">
        <v>164</v>
      </c>
      <c r="I24" s="33" t="s">
        <v>90</v>
      </c>
      <c r="J24" s="30" t="s">
        <v>91</v>
      </c>
      <c r="K24" s="31"/>
      <c r="L24" s="34">
        <f>IF(ISBLANK(K24), DATE(2026,9,30)-DATEVALUE(B24), DATEVALUE(K24)-DATEVALUE(B24))</f>
        <v>2</v>
      </c>
      <c r="M24" s="30" t="str">
        <f>IF(ISBLANK(K24), IF(DATE(2026,9,30)&gt;DATEVALUE(E24), "Fuera de Término", "En Término"), IF(DATEVALUE(K24)&lt;=DATEVALUE(E24), "A Tiempo", "Fuera de Término"))</f>
        <v>En Término</v>
      </c>
      <c r="N24" s="31" t="s">
        <v>92</v>
      </c>
      <c r="O24" s="33" t="s">
        <v>165</v>
      </c>
    </row>
    <row r="25" spans="1:15" s="35" customFormat="1" ht="25.5" x14ac:dyDescent="0.25">
      <c r="A25" s="30"/>
      <c r="B25" s="31" t="s">
        <v>162</v>
      </c>
      <c r="C25" s="33" t="s">
        <v>40</v>
      </c>
      <c r="D25" s="31">
        <v>2</v>
      </c>
      <c r="E25" s="31" t="s">
        <v>166</v>
      </c>
      <c r="F25" s="33" t="s">
        <v>167</v>
      </c>
      <c r="G25" s="31" t="s">
        <v>57</v>
      </c>
      <c r="H25" s="33" t="s">
        <v>168</v>
      </c>
      <c r="I25" s="33" t="s">
        <v>76</v>
      </c>
      <c r="J25" s="30" t="s">
        <v>91</v>
      </c>
      <c r="K25" s="31"/>
      <c r="L25" s="34">
        <f>IF(ISBLANK(K25), DATE(2026,9,30)-DATEVALUE(B25), DATEVALUE(K25)-DATEVALUE(B25))</f>
        <v>2</v>
      </c>
      <c r="M25" s="30" t="str">
        <f>IF(ISBLANK(K25), IF(DATE(2026,9,30)&gt;DATEVALUE(E25), "Fuera de Término", "En Término"), IF(DATEVALUE(K25)&lt;=DATEVALUE(E25), "A Tiempo", "Fuera de Término"))</f>
        <v>En Término</v>
      </c>
      <c r="N25" s="31" t="s">
        <v>92</v>
      </c>
      <c r="O25" s="33" t="s">
        <v>169</v>
      </c>
    </row>
  </sheetData>
  <mergeCells count="2">
    <mergeCell ref="B1:G3"/>
    <mergeCell ref="A1:A3"/>
  </mergeCells>
  <dataValidations count="3">
    <dataValidation type="list" allowBlank="1" sqref="J6:J51" xr:uid="{00000000-0002-0000-0100-000000000000}">
      <formula1>"Recibido,En Gestión,Resuelto,Vencido"</formula1>
    </dataValidation>
    <dataValidation type="list" allowBlank="1" sqref="C6:C51" xr:uid="{00000000-0002-0000-0100-000001000000}">
      <formula1>"Petición de Interés General / Particular,Petición de Información / Documentos,Petición de Consulta,Queja / Reclamo,Sugerencia / Felicitación,Acción de Tutela,Acceso a la Información (Ley 1712)"</formula1>
    </dataValidation>
    <dataValidation type="list" allowBlank="1" showInputMessage="1" showErrorMessage="1" sqref="G6:G25" xr:uid="{87D36478-30FB-4EE0-BD51-04D18E92FA40}">
      <formula1>"Ventanilla Única,Correo electrónico,Notificación Judicial,Página Web,Físico,Otro"</formula1>
    </dataValidation>
  </dataValidation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2"/>
  <sheetViews>
    <sheetView workbookViewId="0">
      <selection activeCell="B9" sqref="B9"/>
    </sheetView>
  </sheetViews>
  <sheetFormatPr baseColWidth="10" defaultColWidth="9.140625" defaultRowHeight="15" x14ac:dyDescent="0.25"/>
  <cols>
    <col min="1" max="1" width="35" customWidth="1"/>
    <col min="2" max="2" width="30" customWidth="1"/>
    <col min="3" max="3" width="18" customWidth="1"/>
    <col min="4" max="5" width="40" customWidth="1"/>
    <col min="6" max="6" width="35" customWidth="1"/>
  </cols>
  <sheetData>
    <row r="1" spans="1:6" ht="21" x14ac:dyDescent="0.35">
      <c r="A1" s="1"/>
    </row>
    <row r="2" spans="1:6" x14ac:dyDescent="0.25">
      <c r="A2" s="2"/>
    </row>
    <row r="4" spans="1:6" x14ac:dyDescent="0.25">
      <c r="A4" s="4" t="s">
        <v>14</v>
      </c>
      <c r="B4" s="4" t="s">
        <v>170</v>
      </c>
      <c r="C4" s="4" t="s">
        <v>171</v>
      </c>
      <c r="D4" s="4" t="s">
        <v>172</v>
      </c>
      <c r="E4" s="4" t="s">
        <v>173</v>
      </c>
      <c r="F4" s="4" t="s">
        <v>19</v>
      </c>
    </row>
    <row r="5" spans="1:6" ht="30" x14ac:dyDescent="0.25">
      <c r="A5" s="16" t="s">
        <v>174</v>
      </c>
      <c r="B5" s="13" t="s">
        <v>175</v>
      </c>
      <c r="C5" s="12" t="s">
        <v>25</v>
      </c>
      <c r="D5" s="13" t="s">
        <v>176</v>
      </c>
      <c r="E5" s="13" t="s">
        <v>177</v>
      </c>
      <c r="F5" s="13" t="s">
        <v>178</v>
      </c>
    </row>
    <row r="6" spans="1:6" ht="30" x14ac:dyDescent="0.25">
      <c r="A6" s="17" t="s">
        <v>179</v>
      </c>
      <c r="B6" s="15" t="s">
        <v>180</v>
      </c>
      <c r="C6" s="14" t="s">
        <v>29</v>
      </c>
      <c r="D6" s="15" t="s">
        <v>181</v>
      </c>
      <c r="E6" s="15" t="s">
        <v>182</v>
      </c>
      <c r="F6" s="15" t="s">
        <v>183</v>
      </c>
    </row>
    <row r="7" spans="1:6" ht="25.5" x14ac:dyDescent="0.25">
      <c r="A7" s="16" t="s">
        <v>32</v>
      </c>
      <c r="B7" s="13" t="s">
        <v>184</v>
      </c>
      <c r="C7" s="12" t="s">
        <v>33</v>
      </c>
      <c r="D7" s="13" t="s">
        <v>185</v>
      </c>
      <c r="E7" s="13" t="s">
        <v>186</v>
      </c>
      <c r="F7" s="13" t="s">
        <v>187</v>
      </c>
    </row>
    <row r="8" spans="1:6" ht="25.5" x14ac:dyDescent="0.25">
      <c r="A8" s="17" t="s">
        <v>188</v>
      </c>
      <c r="B8" s="15" t="s">
        <v>189</v>
      </c>
      <c r="C8" s="14" t="s">
        <v>29</v>
      </c>
      <c r="D8" s="15" t="s">
        <v>190</v>
      </c>
      <c r="E8" s="15" t="s">
        <v>191</v>
      </c>
      <c r="F8" s="15" t="s">
        <v>192</v>
      </c>
    </row>
    <row r="9" spans="1:6" ht="25.5" x14ac:dyDescent="0.25">
      <c r="A9" s="16" t="s">
        <v>193</v>
      </c>
      <c r="B9" s="13" t="s">
        <v>194</v>
      </c>
      <c r="C9" s="12" t="s">
        <v>25</v>
      </c>
      <c r="D9" s="13" t="s">
        <v>195</v>
      </c>
      <c r="E9" s="13" t="s">
        <v>196</v>
      </c>
      <c r="F9" s="13" t="s">
        <v>197</v>
      </c>
    </row>
    <row r="10" spans="1:6" ht="25.5" x14ac:dyDescent="0.25">
      <c r="A10" s="17" t="s">
        <v>198</v>
      </c>
      <c r="B10" s="15" t="s">
        <v>199</v>
      </c>
      <c r="C10" s="14" t="s">
        <v>29</v>
      </c>
      <c r="D10" s="15" t="s">
        <v>200</v>
      </c>
      <c r="E10" s="15" t="s">
        <v>186</v>
      </c>
      <c r="F10" s="15" t="s">
        <v>201</v>
      </c>
    </row>
    <row r="11" spans="1:6" ht="45" x14ac:dyDescent="0.25">
      <c r="A11" s="16" t="s">
        <v>202</v>
      </c>
      <c r="B11" s="13" t="s">
        <v>203</v>
      </c>
      <c r="C11" s="12" t="s">
        <v>204</v>
      </c>
      <c r="D11" s="13" t="s">
        <v>205</v>
      </c>
      <c r="E11" s="13" t="s">
        <v>206</v>
      </c>
      <c r="F11" s="13" t="s">
        <v>187</v>
      </c>
    </row>
    <row r="12" spans="1:6" ht="25.5" x14ac:dyDescent="0.25">
      <c r="A12" s="17" t="s">
        <v>207</v>
      </c>
      <c r="B12" s="15" t="s">
        <v>208</v>
      </c>
      <c r="C12" s="14" t="s">
        <v>29</v>
      </c>
      <c r="D12" s="15" t="s">
        <v>209</v>
      </c>
      <c r="E12" s="15" t="s">
        <v>210</v>
      </c>
      <c r="F12" s="15" t="s">
        <v>211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opLeftCell="A3" workbookViewId="0">
      <selection activeCell="B6" sqref="B6:C6"/>
    </sheetView>
  </sheetViews>
  <sheetFormatPr baseColWidth="10" defaultColWidth="9.140625" defaultRowHeight="15" x14ac:dyDescent="0.25"/>
  <cols>
    <col min="1" max="1" width="38" customWidth="1"/>
    <col min="2" max="2" width="16" customWidth="1"/>
    <col min="3" max="3" width="12.140625" customWidth="1"/>
    <col min="4" max="4" width="10.5703125" customWidth="1"/>
    <col min="5" max="5" width="15.140625" customWidth="1"/>
    <col min="6" max="6" width="16" customWidth="1"/>
    <col min="7" max="7" width="38" customWidth="1"/>
    <col min="8" max="8" width="18" customWidth="1"/>
    <col min="9" max="9" width="22" customWidth="1"/>
    <col min="10" max="11" width="16" customWidth="1"/>
  </cols>
  <sheetData>
    <row r="1" spans="1:11" ht="21" x14ac:dyDescent="0.35">
      <c r="A1" s="1" t="s">
        <v>0</v>
      </c>
    </row>
    <row r="2" spans="1:11" ht="21" x14ac:dyDescent="0.35">
      <c r="A2" s="1" t="s">
        <v>1</v>
      </c>
    </row>
    <row r="3" spans="1:11" x14ac:dyDescent="0.25">
      <c r="A3" s="2"/>
    </row>
    <row r="5" spans="1:11" x14ac:dyDescent="0.25">
      <c r="B5" s="21" t="s">
        <v>2</v>
      </c>
      <c r="C5" s="19"/>
      <c r="D5" s="21" t="s">
        <v>3</v>
      </c>
      <c r="E5" s="19"/>
      <c r="F5" s="21" t="s">
        <v>4</v>
      </c>
      <c r="G5" s="19"/>
      <c r="H5" s="21" t="s">
        <v>5</v>
      </c>
      <c r="I5" s="19"/>
      <c r="J5" s="21" t="s">
        <v>6</v>
      </c>
      <c r="K5" s="19"/>
    </row>
    <row r="6" spans="1:11" x14ac:dyDescent="0.25">
      <c r="B6" s="18">
        <f>COUNTA(Registro_PQRSF_Tutelas!A6:A25)</f>
        <v>0</v>
      </c>
      <c r="C6" s="19"/>
      <c r="D6" s="18">
        <f>COUNTIF(Registro_PQRSF_Tutelas!M6:M25, "A Tiempo")</f>
        <v>7</v>
      </c>
      <c r="E6" s="19"/>
      <c r="F6" s="18">
        <f>COUNTIF(Registro_PQRSF_Tutelas!J6:J25, "En Gestión") + COUNTIF(Registro_PQRSF_Tutelas!J6:J25, "Recibido")</f>
        <v>13</v>
      </c>
      <c r="G6" s="19"/>
      <c r="H6" s="18">
        <f>COUNTIF(Registro_PQRSF_Tutelas!J6:J25, "Vencido") + COUNTIF(Registro_PQRSF_Tutelas!M6:M25, "Fuera de Término")</f>
        <v>0</v>
      </c>
      <c r="I6" s="19"/>
      <c r="J6" s="22">
        <f>IFERROR(COUNTIF(Registro_PQRSF_Tutelas!M6:M25, "A Tiempo")/COUNTIF(Registro_PQRSF_Tutelas!J6:J25, "Resuelto"), 0)</f>
        <v>1</v>
      </c>
      <c r="K6" s="19"/>
    </row>
    <row r="7" spans="1:11" x14ac:dyDescent="0.25">
      <c r="B7" s="20" t="s">
        <v>7</v>
      </c>
      <c r="C7" s="19"/>
      <c r="D7" s="20" t="s">
        <v>8</v>
      </c>
      <c r="E7" s="19"/>
      <c r="F7" s="20" t="s">
        <v>9</v>
      </c>
      <c r="G7" s="19"/>
      <c r="H7" s="20" t="s">
        <v>10</v>
      </c>
      <c r="I7" s="19"/>
      <c r="J7" s="20" t="s">
        <v>11</v>
      </c>
      <c r="K7" s="19"/>
    </row>
    <row r="10" spans="1:11" ht="15.75" x14ac:dyDescent="0.25">
      <c r="A10" s="23" t="s">
        <v>12</v>
      </c>
      <c r="B10" s="24"/>
      <c r="C10" s="24"/>
      <c r="D10" s="24"/>
      <c r="E10" s="24"/>
      <c r="G10" s="23" t="s">
        <v>13</v>
      </c>
      <c r="H10" s="24"/>
      <c r="I10" s="24"/>
      <c r="J10" s="24"/>
      <c r="K10" s="24"/>
    </row>
    <row r="11" spans="1:11" ht="30" x14ac:dyDescent="0.25">
      <c r="A11" s="4" t="s">
        <v>14</v>
      </c>
      <c r="B11" s="4" t="s">
        <v>15</v>
      </c>
      <c r="C11" s="4" t="s">
        <v>16</v>
      </c>
      <c r="D11" s="4" t="s">
        <v>17</v>
      </c>
      <c r="E11" s="4" t="s">
        <v>18</v>
      </c>
      <c r="G11" s="4" t="s">
        <v>19</v>
      </c>
      <c r="H11" s="4" t="s">
        <v>20</v>
      </c>
      <c r="I11" s="4" t="s">
        <v>21</v>
      </c>
      <c r="J11" s="4" t="s">
        <v>22</v>
      </c>
      <c r="K11" s="4" t="s">
        <v>23</v>
      </c>
    </row>
    <row r="12" spans="1:11" x14ac:dyDescent="0.25">
      <c r="A12" s="5" t="s">
        <v>24</v>
      </c>
      <c r="B12" s="3" t="s">
        <v>25</v>
      </c>
      <c r="C12" s="6">
        <f>COUNTIF(Registro_PQRSF_Tutelas!C$6:C$25, "Petición de Interés General / Particular")</f>
        <v>4</v>
      </c>
      <c r="D12" s="6">
        <f>COUNTIFS(Registro_PQRSF_Tutelas!C$6:C$25, "Petición de Interés General / Particular", Registro_PQRSF_Tutelas!M$6:M$25, "A Tiempo")</f>
        <v>1</v>
      </c>
      <c r="E12" s="7">
        <f t="shared" ref="E12:E19" si="0">IFERROR(D12/C12, 0)</f>
        <v>0.25</v>
      </c>
      <c r="G12" s="5" t="s">
        <v>26</v>
      </c>
      <c r="H12" s="3" t="s">
        <v>27</v>
      </c>
      <c r="I12" s="6" t="e">
        <f>COUNTIF(Registro_PQRSF_Tutelas!#REF!, "Direccionamiento Estratégico")</f>
        <v>#REF!</v>
      </c>
      <c r="J12" s="6" t="e">
        <f>COUNTIFS(Registro_PQRSF_Tutelas!#REF!, "Direccionamiento Estratégico", Registro_PQRSF_Tutelas!J$6:J$25, "Resuelto")</f>
        <v>#REF!</v>
      </c>
      <c r="K12" s="7">
        <f t="shared" ref="K12:K17" si="1">IFERROR(I12/I$18, 0)</f>
        <v>0</v>
      </c>
    </row>
    <row r="13" spans="1:11" x14ac:dyDescent="0.25">
      <c r="A13" s="5" t="s">
        <v>28</v>
      </c>
      <c r="B13" s="3" t="s">
        <v>29</v>
      </c>
      <c r="C13" s="6">
        <f>COUNTIF(Registro_PQRSF_Tutelas!C$6:C$25, "Petición de Información / Documentos")</f>
        <v>4</v>
      </c>
      <c r="D13" s="6">
        <f>COUNTIFS(Registro_PQRSF_Tutelas!C$6:C$25, "Petición de Información / Documentos", Registro_PQRSF_Tutelas!M$6:M$25, "A Tiempo")</f>
        <v>1</v>
      </c>
      <c r="E13" s="7">
        <f t="shared" si="0"/>
        <v>0.25</v>
      </c>
      <c r="G13" s="5" t="s">
        <v>30</v>
      </c>
      <c r="H13" s="3" t="s">
        <v>31</v>
      </c>
      <c r="I13" s="6" t="e">
        <f>COUNTIF(Registro_PQRSF_Tutelas!#REF!, "Gestión de Proyectos de Desarrollo")</f>
        <v>#REF!</v>
      </c>
      <c r="J13" s="6" t="e">
        <f>COUNTIFS(Registro_PQRSF_Tutelas!#REF!, "Gestión de Proyectos de Desarrollo", Registro_PQRSF_Tutelas!J$6:J$25, "Resuelto")</f>
        <v>#REF!</v>
      </c>
      <c r="K13" s="7">
        <f t="shared" si="1"/>
        <v>0</v>
      </c>
    </row>
    <row r="14" spans="1:11" x14ac:dyDescent="0.25">
      <c r="A14" s="5" t="s">
        <v>32</v>
      </c>
      <c r="B14" s="3" t="s">
        <v>33</v>
      </c>
      <c r="C14" s="6">
        <f>COUNTIF(Registro_PQRSF_Tutelas!C$6:C$25, "Petición de Consulta")</f>
        <v>2</v>
      </c>
      <c r="D14" s="6">
        <f>COUNTIFS(Registro_PQRSF_Tutelas!C$6:C$25, "Petición de Consulta", Registro_PQRSF_Tutelas!M$6:M$25, "A Tiempo")</f>
        <v>0</v>
      </c>
      <c r="E14" s="7">
        <f t="shared" si="0"/>
        <v>0</v>
      </c>
      <c r="G14" s="5" t="s">
        <v>34</v>
      </c>
      <c r="H14" s="3" t="s">
        <v>31</v>
      </c>
      <c r="I14" s="6" t="e">
        <f>COUNTIF(Registro_PQRSF_Tutelas!#REF!, "Gestión de Suelo y Operación Inmobiliaria")</f>
        <v>#REF!</v>
      </c>
      <c r="J14" s="6" t="e">
        <f>COUNTIFS(Registro_PQRSF_Tutelas!#REF!, "Gestión de Suelo y Operación Inmobiliaria", Registro_PQRSF_Tutelas!J$6:J$25, "Resuelto")</f>
        <v>#REF!</v>
      </c>
      <c r="K14" s="7">
        <f t="shared" si="1"/>
        <v>0</v>
      </c>
    </row>
    <row r="15" spans="1:11" x14ac:dyDescent="0.25">
      <c r="A15" s="5" t="s">
        <v>35</v>
      </c>
      <c r="B15" s="3" t="s">
        <v>25</v>
      </c>
      <c r="C15" s="6">
        <f>COUNTIF(Registro_PQRSF_Tutelas!C$6:C$25, "Queja / Reclamo")</f>
        <v>3</v>
      </c>
      <c r="D15" s="6">
        <f>COUNTIFS(Registro_PQRSF_Tutelas!C$6:C$25, "Queja / Reclamo", Registro_PQRSF_Tutelas!M$6:M$25, "A Tiempo")</f>
        <v>1</v>
      </c>
      <c r="E15" s="7">
        <f t="shared" si="0"/>
        <v>0.33333333333333331</v>
      </c>
      <c r="G15" s="5" t="s">
        <v>36</v>
      </c>
      <c r="H15" s="3" t="s">
        <v>37</v>
      </c>
      <c r="I15" s="6" t="e">
        <f>COUNTIF(Registro_PQRSF_Tutelas!#REF!, "Gestión Administrativa")</f>
        <v>#REF!</v>
      </c>
      <c r="J15" s="6" t="e">
        <f>COUNTIFS(Registro_PQRSF_Tutelas!#REF!, "Gestión Administrativa", Registro_PQRSF_Tutelas!J$6:J$25, "Resuelto")</f>
        <v>#REF!</v>
      </c>
      <c r="K15" s="7">
        <f t="shared" si="1"/>
        <v>0</v>
      </c>
    </row>
    <row r="16" spans="1:11" x14ac:dyDescent="0.25">
      <c r="A16" s="5" t="s">
        <v>38</v>
      </c>
      <c r="B16" s="3" t="s">
        <v>29</v>
      </c>
      <c r="C16" s="6">
        <f>COUNTIF(Registro_PQRSF_Tutelas!C$6:C$25, "Sugerencia / Felicitación")</f>
        <v>2</v>
      </c>
      <c r="D16" s="6">
        <f>COUNTIFS(Registro_PQRSF_Tutelas!C$6:C$25, "Sugerencia / Felicitación", Registro_PQRSF_Tutelas!M$6:M$25, "A Tiempo")</f>
        <v>1</v>
      </c>
      <c r="E16" s="7">
        <f t="shared" si="0"/>
        <v>0.5</v>
      </c>
      <c r="G16" s="5" t="s">
        <v>39</v>
      </c>
      <c r="H16" s="3" t="s">
        <v>37</v>
      </c>
      <c r="I16" s="6" t="e">
        <f>COUNTIF(Registro_PQRSF_Tutelas!#REF!, "Gestión de Recursos Financieros")</f>
        <v>#REF!</v>
      </c>
      <c r="J16" s="6" t="e">
        <f>COUNTIFS(Registro_PQRSF_Tutelas!#REF!, "Gestión de Recursos Financieros", Registro_PQRSF_Tutelas!J$6:J$25, "Resuelto")</f>
        <v>#REF!</v>
      </c>
      <c r="K16" s="7">
        <f t="shared" si="1"/>
        <v>0</v>
      </c>
    </row>
    <row r="17" spans="1:11" x14ac:dyDescent="0.25">
      <c r="A17" s="5" t="s">
        <v>40</v>
      </c>
      <c r="B17" s="3" t="s">
        <v>41</v>
      </c>
      <c r="C17" s="6">
        <f>COUNTIF(Registro_PQRSF_Tutelas!C$6:C$25, "Acción de Tutela")</f>
        <v>3</v>
      </c>
      <c r="D17" s="6">
        <f>COUNTIFS(Registro_PQRSF_Tutelas!C$6:C$25, "Acción de Tutela", Registro_PQRSF_Tutelas!M$6:M$25, "A Tiempo")</f>
        <v>2</v>
      </c>
      <c r="E17" s="7">
        <f t="shared" si="0"/>
        <v>0.66666666666666663</v>
      </c>
      <c r="G17" s="5" t="s">
        <v>42</v>
      </c>
      <c r="H17" s="3" t="s">
        <v>43</v>
      </c>
      <c r="I17" s="6" t="e">
        <f>COUNTIF(Registro_PQRSF_Tutelas!#REF!, "Mejora Continua")</f>
        <v>#REF!</v>
      </c>
      <c r="J17" s="6" t="e">
        <f>COUNTIFS(Registro_PQRSF_Tutelas!#REF!, "Mejora Continua", Registro_PQRSF_Tutelas!J$6:J$25, "Resuelto")</f>
        <v>#REF!</v>
      </c>
      <c r="K17" s="7">
        <f t="shared" si="1"/>
        <v>0</v>
      </c>
    </row>
    <row r="18" spans="1:11" x14ac:dyDescent="0.25">
      <c r="A18" s="5" t="s">
        <v>44</v>
      </c>
      <c r="B18" s="3" t="s">
        <v>29</v>
      </c>
      <c r="C18" s="6">
        <f>COUNTIF(Registro_PQRSF_Tutelas!C$6:C$25, "Acceso a la Información (Ley 1712)")</f>
        <v>2</v>
      </c>
      <c r="D18" s="6">
        <f>COUNTIFS(Registro_PQRSF_Tutelas!C$6:C$25, "Acceso a la Información (Ley 1712)", Registro_PQRSF_Tutelas!M$6:M$25, "A Tiempo")</f>
        <v>1</v>
      </c>
      <c r="E18" s="7">
        <f t="shared" si="0"/>
        <v>0.5</v>
      </c>
      <c r="G18" s="8" t="s">
        <v>45</v>
      </c>
      <c r="H18" s="9" t="s">
        <v>46</v>
      </c>
      <c r="I18" s="10" t="e">
        <f>SUM(I12:I17)</f>
        <v>#REF!</v>
      </c>
      <c r="J18" s="10" t="e">
        <f>SUM(J12:J17)</f>
        <v>#REF!</v>
      </c>
      <c r="K18" s="11">
        <f>SUM(K12:K17)</f>
        <v>0</v>
      </c>
    </row>
    <row r="19" spans="1:11" x14ac:dyDescent="0.25">
      <c r="A19" s="8" t="s">
        <v>45</v>
      </c>
      <c r="B19" s="9" t="s">
        <v>46</v>
      </c>
      <c r="C19" s="10">
        <f>SUM(C12:C18)</f>
        <v>20</v>
      </c>
      <c r="D19" s="10">
        <f>SUM(D12:D18)</f>
        <v>7</v>
      </c>
      <c r="E19" s="11">
        <f t="shared" si="0"/>
        <v>0.35</v>
      </c>
    </row>
  </sheetData>
  <mergeCells count="17">
    <mergeCell ref="A10:E10"/>
    <mergeCell ref="G10:K10"/>
    <mergeCell ref="F6:G6"/>
    <mergeCell ref="H5:I5"/>
    <mergeCell ref="F7:G7"/>
    <mergeCell ref="J5:K5"/>
    <mergeCell ref="J6:K6"/>
    <mergeCell ref="B5:C5"/>
    <mergeCell ref="H7:I7"/>
    <mergeCell ref="F5:G5"/>
    <mergeCell ref="D5:E5"/>
    <mergeCell ref="J7:K7"/>
    <mergeCell ref="D6:E6"/>
    <mergeCell ref="B6:C6"/>
    <mergeCell ref="D7:E7"/>
    <mergeCell ref="B7:C7"/>
    <mergeCell ref="H6:I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Registro_PQRSF_Tutelas</vt:lpstr>
      <vt:lpstr>Marco_Legal</vt:lpstr>
      <vt:lpstr>Tablero_Control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MAIL ALERT</cp:lastModifiedBy>
  <dcterms:created xsi:type="dcterms:W3CDTF">2026-09-30T14:20:02Z</dcterms:created>
  <dcterms:modified xsi:type="dcterms:W3CDTF">2026-09-30T14:46:09Z</dcterms:modified>
</cp:coreProperties>
</file>