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tables/table1.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erikamariablancovargas/Library/Mobile Documents/com~apple~CloudDocs/11_SECRETARIA HABITAT/8_RADICACIONES CONTRATACION/260819_ALPES-CARACOLI_LP_FINAL/00_EDITABLES/"/>
    </mc:Choice>
  </mc:AlternateContent>
  <xr:revisionPtr revIDLastSave="0" documentId="13_ncr:1_{4D710A99-0BDD-E949-8F6C-9D7BE4D0CD06}" xr6:coauthVersionLast="47" xr6:coauthVersionMax="47" xr10:uidLastSave="{00000000-0000-0000-0000-000000000000}"/>
  <bookViews>
    <workbookView xWindow="10740" yWindow="660" windowWidth="18660" windowHeight="17120" xr2:uid="{72B1BB7B-025F-524A-9C77-7629883FE4A4}"/>
  </bookViews>
  <sheets>
    <sheet name="PRESU  ESTIMADO OBRA  ALPES" sheetId="12" r:id="rId1"/>
    <sheet name="LISTA DE PRECIOS UNITARIOS" sheetId="13" r:id="rId2"/>
    <sheet name="E Y D PRESU ESTIMADO" sheetId="3" r:id="rId3"/>
    <sheet name="AIU" sheetId="4" r:id="rId4"/>
    <sheet name="FM" sheetId="6" r:id="rId5"/>
    <sheet name="INDEX ICOCIV" sheetId="8" r:id="rId6"/>
    <sheet name="SALARIOS" sheetId="9" r:id="rId7"/>
    <sheet name="CANTIDADES VALOR INICIAL" sheetId="2" r:id="rId8"/>
    <sheet name="Comparativo" sheetId="15" r:id="rId9"/>
    <sheet name="VALORES INDEXADOS OBRA ALPES" sheetId="1" r:id="rId10"/>
    <sheet name="VALORES INDEXADOS OBRA CARACOLÍ" sheetId="16" r:id="rId11"/>
  </sheets>
  <externalReferences>
    <externalReference r:id="rId12"/>
    <externalReference r:id="rId13"/>
    <externalReference r:id="rId14"/>
    <externalReference r:id="rId15"/>
  </externalReference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10">#REF!</definedName>
    <definedName name="__________PMT5671">#REF!</definedName>
    <definedName name="__________PMT5805" localSheetId="10">#REF!</definedName>
    <definedName name="__________PMT5805">#REF!</definedName>
    <definedName name="__________PMT5806" localSheetId="10">#REF!</definedName>
    <definedName name="__________PMT5806">#REF!</definedName>
    <definedName name="__________PMT5815" localSheetId="10">#REF!</definedName>
    <definedName name="__________PMT5815">#REF!</definedName>
    <definedName name="__________PMT5820" localSheetId="10">#REF!</definedName>
    <definedName name="__________PMT5820">#REF!</definedName>
    <definedName name="__________tab1">#REF!</definedName>
    <definedName name="__________tab2">#REF!</definedName>
    <definedName name="__________tab3">#REF!</definedName>
    <definedName name="__________TAB4">#REF!</definedName>
    <definedName name="_________aiu2" localSheetId="10">#REF!</definedName>
    <definedName name="_________aiu2">#REF!</definedName>
    <definedName name="_________PMT5671" localSheetId="10">#REF!</definedName>
    <definedName name="_________PMT5671">#REF!</definedName>
    <definedName name="_________PMT5805" localSheetId="10">#REF!</definedName>
    <definedName name="_________PMT5805">#REF!</definedName>
    <definedName name="_________PMT5806" localSheetId="10">#REF!</definedName>
    <definedName name="_________PMT5806">#REF!</definedName>
    <definedName name="_________PMT5815" localSheetId="10">#REF!</definedName>
    <definedName name="_________PMT5815">#REF!</definedName>
    <definedName name="_________PMT5820" localSheetId="10">#REF!</definedName>
    <definedName name="_________PMT5820">#REF!</definedName>
    <definedName name="_________tab1">#REF!</definedName>
    <definedName name="_________tab2">#REF!</definedName>
    <definedName name="_________tab3">#REF!</definedName>
    <definedName name="_________TAB4">#REF!</definedName>
    <definedName name="________aiu2" localSheetId="10">#REF!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 localSheetId="10">#REF!</definedName>
    <definedName name="________PMT5671">#REF!</definedName>
    <definedName name="________PMT5805" localSheetId="10">#REF!</definedName>
    <definedName name="________PMT5805">#REF!</definedName>
    <definedName name="________PMT5806" localSheetId="10">#REF!</definedName>
    <definedName name="________PMT5806">#REF!</definedName>
    <definedName name="________PMT5815" localSheetId="10">#REF!</definedName>
    <definedName name="________PMT5815">#REF!</definedName>
    <definedName name="________PMT5820" localSheetId="10">#REF!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 localSheetId="10">#REF!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 localSheetId="10">#REF!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 localSheetId="10">#REF!</definedName>
    <definedName name="______PMT5671">#REF!</definedName>
    <definedName name="______PMT5805" localSheetId="10">#REF!</definedName>
    <definedName name="______PMT5805">#REF!</definedName>
    <definedName name="______PMT5806" localSheetId="10">#REF!</definedName>
    <definedName name="______PMT5806">#REF!</definedName>
    <definedName name="______PMT5815" localSheetId="10">#REF!</definedName>
    <definedName name="______PMT5815">#REF!</definedName>
    <definedName name="______PMT5820" localSheetId="10">#REF!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 localSheetId="10">#REF!</definedName>
    <definedName name="_____PMT5671">#REF!</definedName>
    <definedName name="_____PMT5805" localSheetId="10">#REF!</definedName>
    <definedName name="_____PMT5805">#REF!</definedName>
    <definedName name="_____PMT5806" localSheetId="10">#REF!</definedName>
    <definedName name="_____PMT5806">#REF!</definedName>
    <definedName name="_____PMT5815" localSheetId="10">#REF!</definedName>
    <definedName name="_____PMT5815">#REF!</definedName>
    <definedName name="_____PMT5820" localSheetId="10">#REF!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 localSheetId="10">#REF!</definedName>
    <definedName name="____PMT5671">#REF!</definedName>
    <definedName name="____PMT5805" localSheetId="10">#REF!</definedName>
    <definedName name="____PMT5805">#REF!</definedName>
    <definedName name="____PMT5806" localSheetId="10">#REF!</definedName>
    <definedName name="____PMT5806">#REF!</definedName>
    <definedName name="____PMT5815" localSheetId="10">#REF!</definedName>
    <definedName name="____PMT5815">#REF!</definedName>
    <definedName name="____PMT5820" localSheetId="10">#REF!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 localSheetId="10">#REF!</definedName>
    <definedName name="___PMT5671">#REF!</definedName>
    <definedName name="___PMT5805" localSheetId="10">#REF!</definedName>
    <definedName name="___PMT5805">#REF!</definedName>
    <definedName name="___PMT5806" localSheetId="10">#REF!</definedName>
    <definedName name="___PMT5806">#REF!</definedName>
    <definedName name="___PMT5815" localSheetId="10">#REF!</definedName>
    <definedName name="___PMT5815">#REF!</definedName>
    <definedName name="___PMT5820" localSheetId="10">#REF!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 localSheetId="10">#REF!</definedName>
    <definedName name="__PMT5671">#REF!</definedName>
    <definedName name="__PMT5805" localSheetId="10">#REF!</definedName>
    <definedName name="__PMT5805">#REF!</definedName>
    <definedName name="__PMT5806" localSheetId="10">#REF!</definedName>
    <definedName name="__PMT5806">#REF!</definedName>
    <definedName name="__PMT5815" localSheetId="10">#REF!</definedName>
    <definedName name="__PMT5815">#REF!</definedName>
    <definedName name="__PMT5820" localSheetId="10">#REF!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7" hidden="1">{#N/A,#N/A,TRUE,"1842CWN0"}</definedName>
    <definedName name="_A1" localSheetId="8" hidden="1">{#N/A,#N/A,TRUE,"1842CWN0"}</definedName>
    <definedName name="_A1" localSheetId="1" hidden="1">{#N/A,#N/A,TRUE,"1842CWN0"}</definedName>
    <definedName name="_A1" localSheetId="0" hidden="1">{#N/A,#N/A,TRUE,"1842CWN0"}</definedName>
    <definedName name="_A1" localSheetId="9" hidden="1">{#N/A,#N/A,TRUE,"1842CWN0"}</definedName>
    <definedName name="_A1" localSheetId="10" hidden="1">{#N/A,#N/A,TRUE,"1842CWN0"}</definedName>
    <definedName name="_A1" hidden="1">{#N/A,#N/A,TRUE,"1842CWN0"}</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8" hidden="1">{#N/A,#N/A,TRUE,"1842CWN0"}</definedName>
    <definedName name="_ABC1" localSheetId="1" hidden="1">{#N/A,#N/A,TRUE,"1842CWN0"}</definedName>
    <definedName name="_ABC1" localSheetId="0" hidden="1">{#N/A,#N/A,TRUE,"1842CWN0"}</definedName>
    <definedName name="_ABC1" localSheetId="9" hidden="1">{#N/A,#N/A,TRUE,"1842CWN0"}</definedName>
    <definedName name="_ABC1" localSheetId="10" hidden="1">{#N/A,#N/A,TRUE,"1842CWN0"}</definedName>
    <definedName name="_ABC1" hidden="1">{#N/A,#N/A,TRUE,"1842CWN0"}</definedName>
    <definedName name="_abc2" localSheetId="7" hidden="1">{#N/A,#N/A,TRUE,"1842CWN0"}</definedName>
    <definedName name="_abc2" localSheetId="8" hidden="1">{#N/A,#N/A,TRUE,"1842CWN0"}</definedName>
    <definedName name="_abc2" localSheetId="1" hidden="1">{#N/A,#N/A,TRUE,"1842CWN0"}</definedName>
    <definedName name="_abc2" localSheetId="0" hidden="1">{#N/A,#N/A,TRUE,"1842CWN0"}</definedName>
    <definedName name="_abc2" localSheetId="9" hidden="1">{#N/A,#N/A,TRUE,"1842CWN0"}</definedName>
    <definedName name="_abc2" localSheetId="10"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localSheetId="7" hidden="1">'CANTIDADES VALOR INICIAL'!$C$6:$AG$186</definedName>
    <definedName name="_xlnm._FilterDatabase" localSheetId="5" hidden="1">'INDEX ICOCIV'!$B$7:$J$57</definedName>
    <definedName name="_xlnm._FilterDatabase" localSheetId="1" hidden="1">'LISTA DE PRECIOS UNITARIOS'!$C$8:$F$120</definedName>
    <definedName name="_xlnm._FilterDatabase" localSheetId="0" hidden="1">'PRESU  ESTIMADO OBRA  ALPES'!$C$8:$H$92</definedName>
    <definedName name="_xlnm._FilterDatabase" localSheetId="9" hidden="1">'VALORES INDEXADOS OBRA ALPES'!$C$9:$I$189</definedName>
    <definedName name="_xlnm._FilterDatabase" localSheetId="10" hidden="1">'VALORES INDEXADOS OBRA CARACOLÍ'!$C$9:$I$129</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 localSheetId="10">#REF!</definedName>
    <definedName name="_PMT5671">#REF!</definedName>
    <definedName name="_PMT5805" localSheetId="10">#REF!</definedName>
    <definedName name="_PMT5805">#REF!</definedName>
    <definedName name="_PMT5806" localSheetId="10">#REF!</definedName>
    <definedName name="_PMT5806">#REF!</definedName>
    <definedName name="_PMT5815" localSheetId="10">#REF!</definedName>
    <definedName name="_PMT5815">#REF!</definedName>
    <definedName name="_PMT5820" localSheetId="10">#REF!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b">#REF!</definedName>
    <definedName name="\c">#REF!</definedName>
    <definedName name="\eliminar" localSheetId="7">#REF!</definedName>
    <definedName name="\eliminar" localSheetId="1">#REF!</definedName>
    <definedName name="\eliminar" localSheetId="0">#REF!</definedName>
    <definedName name="\eliminar" localSheetId="9">#REF!</definedName>
    <definedName name="\eliminar" localSheetId="10">#REF!</definedName>
    <definedName name="\eliminar">#REF!</definedName>
    <definedName name="\eliminar1" localSheetId="7">#REF!</definedName>
    <definedName name="\eliminar1" localSheetId="1">#REF!</definedName>
    <definedName name="\eliminar1" localSheetId="0">#REF!</definedName>
    <definedName name="\eliminar1" localSheetId="9">#REF!</definedName>
    <definedName name="\eliminar1" localSheetId="10">#REF!</definedName>
    <definedName name="\eliminar1">#REF!</definedName>
    <definedName name="\l">#REF!</definedName>
    <definedName name="\q">#REF!</definedName>
    <definedName name="a" localSheetId="3">#REF!</definedName>
    <definedName name="a" localSheetId="2">#REF!</definedName>
    <definedName name="a">#REF!</definedName>
    <definedName name="A_impresión_IM">#REF!</definedName>
    <definedName name="A3445556">#REF!</definedName>
    <definedName name="AA" localSheetId="7" hidden="1">{#N/A,#N/A,TRUE,"INGENIERIA";#N/A,#N/A,TRUE,"COMPRAS";#N/A,#N/A,TRUE,"DIRECCION";#N/A,#N/A,TRUE,"RESUMEN"}</definedName>
    <definedName name="AA" localSheetId="8" hidden="1">{#N/A,#N/A,TRUE,"INGENIERIA";#N/A,#N/A,TRUE,"COMPRAS";#N/A,#N/A,TRUE,"DIRECCION";#N/A,#N/A,TRUE,"RESUMEN"}</definedName>
    <definedName name="AA" localSheetId="1" hidden="1">{#N/A,#N/A,TRUE,"INGENIERIA";#N/A,#N/A,TRUE,"COMPRAS";#N/A,#N/A,TRUE,"DIRECCION";#N/A,#N/A,TRUE,"RESUMEN"}</definedName>
    <definedName name="AA" localSheetId="0" hidden="1">{#N/A,#N/A,TRUE,"INGENIERIA";#N/A,#N/A,TRUE,"COMPRAS";#N/A,#N/A,TRUE,"DIRECCION";#N/A,#N/A,TRUE,"RESUMEN"}</definedName>
    <definedName name="AA" localSheetId="9" hidden="1">{#N/A,#N/A,TRUE,"INGENIERIA";#N/A,#N/A,TRUE,"COMPRAS";#N/A,#N/A,TRUE,"DIRECCION";#N/A,#N/A,TRUE,"RESUMEN"}</definedName>
    <definedName name="AA" localSheetId="10" hidden="1">{#N/A,#N/A,TRUE,"INGENIERIA";#N/A,#N/A,TRUE,"COMPRAS";#N/A,#N/A,TRUE,"DIRECCION";#N/A,#N/A,TRUE,"RESUMEN"}</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localSheetId="7" hidden="1">{#N/A,#N/A,TRUE,"INGENIERIA";#N/A,#N/A,TRUE,"COMPRAS";#N/A,#N/A,TRUE,"DIRECCION";#N/A,#N/A,TRUE,"RESUMEN"}</definedName>
    <definedName name="AAS" localSheetId="8" hidden="1">{#N/A,#N/A,TRUE,"INGENIERIA";#N/A,#N/A,TRUE,"COMPRAS";#N/A,#N/A,TRUE,"DIRECCION";#N/A,#N/A,TRUE,"RESUMEN"}</definedName>
    <definedName name="AAS" localSheetId="1" hidden="1">{#N/A,#N/A,TRUE,"INGENIERIA";#N/A,#N/A,TRUE,"COMPRAS";#N/A,#N/A,TRUE,"DIRECCION";#N/A,#N/A,TRUE,"RESUMEN"}</definedName>
    <definedName name="AAS" localSheetId="0" hidden="1">{#N/A,#N/A,TRUE,"INGENIERIA";#N/A,#N/A,TRUE,"COMPRAS";#N/A,#N/A,TRUE,"DIRECCION";#N/A,#N/A,TRUE,"RESUMEN"}</definedName>
    <definedName name="AAS" localSheetId="9" hidden="1">{#N/A,#N/A,TRUE,"INGENIERIA";#N/A,#N/A,TRUE,"COMPRAS";#N/A,#N/A,TRUE,"DIRECCION";#N/A,#N/A,TRUE,"RESUMEN"}</definedName>
    <definedName name="AAS" localSheetId="10" hidden="1">{#N/A,#N/A,TRUE,"INGENIERIA";#N/A,#N/A,TRUE,"COMPRAS";#N/A,#N/A,TRUE,"DIRECCION";#N/A,#N/A,TRUE,"RESUMEN"}</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 localSheetId="10">#REF!</definedName>
    <definedName name="aiu_mat">#REF!</definedName>
    <definedName name="AIU_UTIL">#REF!</definedName>
    <definedName name="Ajuste">#REF!</definedName>
    <definedName name="Alambre_Negro_No.18">#REF!</definedName>
    <definedName name="Alcaparro_2.00_m">#REF!</definedName>
    <definedName name="alfabeto" localSheetId="3">#REF!</definedName>
    <definedName name="alfabeto" localSheetId="2">#REF!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 localSheetId="10">#REF!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 localSheetId="10">#REF!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 localSheetId="3">#REF!</definedName>
    <definedName name="CDC" localSheetId="2">#REF!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localSheetId="7" hidden="1">{#N/A,#N/A,TRUE,"1842CWN0"}</definedName>
    <definedName name="civ" localSheetId="8" hidden="1">{#N/A,#N/A,TRUE,"1842CWN0"}</definedName>
    <definedName name="civ" localSheetId="1" hidden="1">{#N/A,#N/A,TRUE,"1842CWN0"}</definedName>
    <definedName name="civ" localSheetId="0" hidden="1">{#N/A,#N/A,TRUE,"1842CWN0"}</definedName>
    <definedName name="civ" localSheetId="9" hidden="1">{#N/A,#N/A,TRUE,"1842CWN0"}</definedName>
    <definedName name="civ" localSheetId="10" hidden="1">{#N/A,#N/A,TRUE,"1842CWN0"}</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_xlnm.Database" localSheetId="3">#REF!</definedName>
    <definedName name="_xlnm.Database" localSheetId="2">#REF!</definedName>
    <definedName name="_xlnm.Database">#REF!</definedName>
    <definedName name="Datos">#REF!</definedName>
    <definedName name="dd" localSheetId="7" hidden="1">{#N/A,#N/A,TRUE,"INGENIERIA";#N/A,#N/A,TRUE,"COMPRAS";#N/A,#N/A,TRUE,"DIRECCION";#N/A,#N/A,TRUE,"RESUMEN"}</definedName>
    <definedName name="dd" localSheetId="8" hidden="1">{#N/A,#N/A,TRUE,"INGENIERIA";#N/A,#N/A,TRUE,"COMPRAS";#N/A,#N/A,TRUE,"DIRECCION";#N/A,#N/A,TRUE,"RESUMEN"}</definedName>
    <definedName name="dd" localSheetId="1" hidden="1">{#N/A,#N/A,TRUE,"INGENIERIA";#N/A,#N/A,TRUE,"COMPRAS";#N/A,#N/A,TRUE,"DIRECCION";#N/A,#N/A,TRUE,"RESUMEN"}</definedName>
    <definedName name="dd" localSheetId="0" hidden="1">{#N/A,#N/A,TRUE,"INGENIERIA";#N/A,#N/A,TRUE,"COMPRAS";#N/A,#N/A,TRUE,"DIRECCION";#N/A,#N/A,TRUE,"RESUMEN"}</definedName>
    <definedName name="dd" localSheetId="9" hidden="1">{#N/A,#N/A,TRUE,"INGENIERIA";#N/A,#N/A,TRUE,"COMPRAS";#N/A,#N/A,TRUE,"DIRECCION";#N/A,#N/A,TRUE,"RESUMEN"}</definedName>
    <definedName name="dd" localSheetId="10" hidden="1">{#N/A,#N/A,TRUE,"INGENIERIA";#N/A,#N/A,TRUE,"COMPRAS";#N/A,#N/A,TRUE,"DIRECCION";#N/A,#N/A,TRUE,"RESUMEN"}</definedName>
    <definedName name="dd" hidden="1">{#N/A,#N/A,TRUE,"INGENIERIA";#N/A,#N/A,TRUE,"COMPRAS";#N/A,#N/A,TRUE,"DIRECCION";#N/A,#N/A,TRUE,"RESUMEN"}</definedName>
    <definedName name="DDE" localSheetId="7" hidden="1">{#N/A,#N/A,TRUE,"1842CWN0"}</definedName>
    <definedName name="DDE" localSheetId="8" hidden="1">{#N/A,#N/A,TRUE,"1842CWN0"}</definedName>
    <definedName name="DDE" localSheetId="1" hidden="1">{#N/A,#N/A,TRUE,"1842CWN0"}</definedName>
    <definedName name="DDE" localSheetId="0" hidden="1">{#N/A,#N/A,TRUE,"1842CWN0"}</definedName>
    <definedName name="DDE" localSheetId="9" hidden="1">{#N/A,#N/A,TRUE,"1842CWN0"}</definedName>
    <definedName name="DDE" localSheetId="10" hidden="1">{#N/A,#N/A,TRUE,"1842CWN0"}</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localSheetId="7" hidden="1">{#N/A,#N/A,TRUE,"1842CWN0"}</definedName>
    <definedName name="DFDE" localSheetId="8" hidden="1">{#N/A,#N/A,TRUE,"1842CWN0"}</definedName>
    <definedName name="DFDE" localSheetId="1" hidden="1">{#N/A,#N/A,TRUE,"1842CWN0"}</definedName>
    <definedName name="DFDE" localSheetId="0" hidden="1">{#N/A,#N/A,TRUE,"1842CWN0"}</definedName>
    <definedName name="DFDE" localSheetId="9" hidden="1">{#N/A,#N/A,TRUE,"1842CWN0"}</definedName>
    <definedName name="DFDE" localSheetId="10" hidden="1">{#N/A,#N/A,TRUE,"1842CWN0"}</definedName>
    <definedName name="DFDE" hidden="1">{#N/A,#N/A,TRUE,"1842CWN0"}</definedName>
    <definedName name="DFEET" localSheetId="7" hidden="1">{#N/A,#N/A,TRUE,"INGENIERIA";#N/A,#N/A,TRUE,"COMPRAS";#N/A,#N/A,TRUE,"DIRECCION";#N/A,#N/A,TRUE,"RESUMEN"}</definedName>
    <definedName name="DFEET" localSheetId="8" hidden="1">{#N/A,#N/A,TRUE,"INGENIERIA";#N/A,#N/A,TRUE,"COMPRAS";#N/A,#N/A,TRUE,"DIRECCION";#N/A,#N/A,TRUE,"RESUMEN"}</definedName>
    <definedName name="DFEET" localSheetId="1" hidden="1">{#N/A,#N/A,TRUE,"INGENIERIA";#N/A,#N/A,TRUE,"COMPRAS";#N/A,#N/A,TRUE,"DIRECCION";#N/A,#N/A,TRUE,"RESUMEN"}</definedName>
    <definedName name="DFEET" localSheetId="0" hidden="1">{#N/A,#N/A,TRUE,"INGENIERIA";#N/A,#N/A,TRUE,"COMPRAS";#N/A,#N/A,TRUE,"DIRECCION";#N/A,#N/A,TRUE,"RESUMEN"}</definedName>
    <definedName name="DFEET" localSheetId="9" hidden="1">{#N/A,#N/A,TRUE,"INGENIERIA";#N/A,#N/A,TRUE,"COMPRAS";#N/A,#N/A,TRUE,"DIRECCION";#N/A,#N/A,TRUE,"RESUMEN"}</definedName>
    <definedName name="DFEET" localSheetId="10" hidden="1">{#N/A,#N/A,TRUE,"INGENIERIA";#N/A,#N/A,TRUE,"COMPRAS";#N/A,#N/A,TRUE,"DIRECCION";#N/A,#N/A,TRUE,"RESUMEN"}</definedName>
    <definedName name="DFEET" hidden="1">{#N/A,#N/A,TRUE,"INGENIERIA";#N/A,#N/A,TRUE,"COMPRAS";#N/A,#N/A,TRUE,"DIRECCION";#N/A,#N/A,TRUE,"RESUMEN"}</definedName>
    <definedName name="DGFEE" localSheetId="7" hidden="1">{#N/A,#N/A,TRUE,"1842CWN0"}</definedName>
    <definedName name="DGFEE" localSheetId="8" hidden="1">{#N/A,#N/A,TRUE,"1842CWN0"}</definedName>
    <definedName name="DGFEE" localSheetId="1" hidden="1">{#N/A,#N/A,TRUE,"1842CWN0"}</definedName>
    <definedName name="DGFEE" localSheetId="0" hidden="1">{#N/A,#N/A,TRUE,"1842CWN0"}</definedName>
    <definedName name="DGFEE" localSheetId="9" hidden="1">{#N/A,#N/A,TRUE,"1842CWN0"}</definedName>
    <definedName name="DGFEE" localSheetId="10" hidden="1">{#N/A,#N/A,TRUE,"1842CWN0"}</definedName>
    <definedName name="DGFEE" hidden="1">{#N/A,#N/A,TRUE,"1842CWN0"}</definedName>
    <definedName name="DGFGGHF" localSheetId="7" hidden="1">{#N/A,#N/A,TRUE,"INGENIERIA";#N/A,#N/A,TRUE,"COMPRAS";#N/A,#N/A,TRUE,"DIRECCION";#N/A,#N/A,TRUE,"RESUMEN"}</definedName>
    <definedName name="DGFGGHF" localSheetId="8" hidden="1">{#N/A,#N/A,TRUE,"INGENIERIA";#N/A,#N/A,TRUE,"COMPRAS";#N/A,#N/A,TRUE,"DIRECCION";#N/A,#N/A,TRUE,"RESUMEN"}</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localSheetId="9" hidden="1">{#N/A,#N/A,TRUE,"INGENIERIA";#N/A,#N/A,TRUE,"COMPRAS";#N/A,#N/A,TRUE,"DIRECCION";#N/A,#N/A,TRUE,"RESUMEN"}</definedName>
    <definedName name="DGFGGHF" localSheetId="10" hidden="1">{#N/A,#N/A,TRUE,"INGENIERIA";#N/A,#N/A,TRUE,"COMPRAS";#N/A,#N/A,TRUE,"DIRECCION";#N/A,#N/A,TRUE,"RESUMEN"}</definedName>
    <definedName name="DGFGGHF" hidden="1">{#N/A,#N/A,TRUE,"INGENIERIA";#N/A,#N/A,TRUE,"COMPRAS";#N/A,#N/A,TRUE,"DIRECCION";#N/A,#N/A,TRUE,"RESUMEN"}</definedName>
    <definedName name="DGFR" localSheetId="7" hidden="1">{#N/A,#N/A,TRUE,"1842CWN0"}</definedName>
    <definedName name="DGFR" localSheetId="8" hidden="1">{#N/A,#N/A,TRUE,"1842CWN0"}</definedName>
    <definedName name="DGFR" localSheetId="1" hidden="1">{#N/A,#N/A,TRUE,"1842CWN0"}</definedName>
    <definedName name="DGFR" localSheetId="0" hidden="1">{#N/A,#N/A,TRUE,"1842CWN0"}</definedName>
    <definedName name="DGFR" localSheetId="9" hidden="1">{#N/A,#N/A,TRUE,"1842CWN0"}</definedName>
    <definedName name="DGFR" localSheetId="10" hidden="1">{#N/A,#N/A,TRUE,"1842CWN0"}</definedName>
    <definedName name="DGFR" hidden="1">{#N/A,#N/A,TRUE,"1842CWN0"}</definedName>
    <definedName name="DGGGHHJT" localSheetId="7" hidden="1">{#N/A,#N/A,TRUE,"INGENIERIA";#N/A,#N/A,TRUE,"COMPRAS";#N/A,#N/A,TRUE,"DIRECCION";#N/A,#N/A,TRUE,"RESUMEN"}</definedName>
    <definedName name="DGGGHHJT" localSheetId="8" hidden="1">{#N/A,#N/A,TRUE,"INGENIERIA";#N/A,#N/A,TRUE,"COMPRAS";#N/A,#N/A,TRUE,"DIRECCION";#N/A,#N/A,TRUE,"RESUMEN"}</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localSheetId="9" hidden="1">{#N/A,#N/A,TRUE,"INGENIERIA";#N/A,#N/A,TRUE,"COMPRAS";#N/A,#N/A,TRUE,"DIRECCION";#N/A,#N/A,TRUE,"RESUMEN"}</definedName>
    <definedName name="DGGGHHJT" localSheetId="10" hidden="1">{#N/A,#N/A,TRUE,"INGENIERIA";#N/A,#N/A,TRUE,"COMPRAS";#N/A,#N/A,TRUE,"DIRECCION";#N/A,#N/A,TRUE,"RESUMEN"}</definedName>
    <definedName name="DGGGHHJT" hidden="1">{#N/A,#N/A,TRUE,"INGENIERIA";#N/A,#N/A,TRUE,"COMPRAS";#N/A,#N/A,TRUE,"DIRECCION";#N/A,#N/A,TRUE,"RESUMEN"}</definedName>
    <definedName name="DGRR" localSheetId="7" hidden="1">{#N/A,#N/A,TRUE,"INGENIERIA";#N/A,#N/A,TRUE,"COMPRAS";#N/A,#N/A,TRUE,"DIRECCION";#N/A,#N/A,TRUE,"RESUMEN"}</definedName>
    <definedName name="DGRR" localSheetId="8"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localSheetId="9" hidden="1">{#N/A,#N/A,TRUE,"INGENIERIA";#N/A,#N/A,TRUE,"COMPRAS";#N/A,#N/A,TRUE,"DIRECCION";#N/A,#N/A,TRUE,"RESUMEN"}</definedName>
    <definedName name="DGRR" localSheetId="10"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 localSheetId="10">#REF!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 localSheetId="10">#REF!*30</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 localSheetId="2">#REF!</definedName>
    <definedName name="EQUI">#REF!</definedName>
    <definedName name="EQUIPO">#REF!</definedName>
    <definedName name="EQUIPO_1" localSheetId="2">#REF!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10">#REF!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 localSheetId="3">#REF!</definedName>
    <definedName name="ESTACON" localSheetId="2">#REF!</definedName>
    <definedName name="ESTACON">#REF!</definedName>
    <definedName name="ESTADO" localSheetId="10">#REF!</definedName>
    <definedName name="ESTADO">#REF!</definedName>
    <definedName name="Estopa">#REF!</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10">#REF!</definedName>
    <definedName name="Excel_BuiltIn_Print_Titles_3">#REF!</definedName>
    <definedName name="Excel_BuiltIn_Print_Titles_4" localSheetId="10">#REF!</definedName>
    <definedName name="Excel_BuiltIn_Print_Titles_4">#REF!</definedName>
    <definedName name="Extractor_de_Olores_con_Persiana_Ref.">#REF!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 localSheetId="10">#REF!,#REF!,#REF!</definedName>
    <definedName name="FECHA">#REF!,#REF!,#REF!</definedName>
    <definedName name="FECHA.CONTRATO">#REF!</definedName>
    <definedName name="fhg" localSheetId="7" hidden="1">{#N/A,#N/A,TRUE,"1842CWN0"}</definedName>
    <definedName name="fhg" localSheetId="8" hidden="1">{#N/A,#N/A,TRUE,"1842CWN0"}</definedName>
    <definedName name="fhg" localSheetId="1" hidden="1">{#N/A,#N/A,TRUE,"1842CWN0"}</definedName>
    <definedName name="fhg" localSheetId="0" hidden="1">{#N/A,#N/A,TRUE,"1842CWN0"}</definedName>
    <definedName name="fhg" localSheetId="9" hidden="1">{#N/A,#N/A,TRUE,"1842CWN0"}</definedName>
    <definedName name="fhg" localSheetId="10" hidden="1">{#N/A,#N/A,TRUE,"1842CWN0"}</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 localSheetId="10">#REF!</definedName>
    <definedName name="gastos_contrato">#REF!</definedName>
    <definedName name="GB7UKJMGHMGFFHR">#REF!</definedName>
    <definedName name="Geotextil_tejido_ST_200">#REF!</definedName>
    <definedName name="GG">#REF!</definedName>
    <definedName name="GGGGGGGGGGGGG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 localSheetId="10">#REF!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 localSheetId="10">#REF!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 localSheetId="10">#REF!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7" hidden="1">{#N/A,#N/A,TRUE,"1842CWN0"}</definedName>
    <definedName name="KDL" localSheetId="8" hidden="1">{#N/A,#N/A,TRUE,"1842CWN0"}</definedName>
    <definedName name="KDL" localSheetId="1" hidden="1">{#N/A,#N/A,TRUE,"1842CWN0"}</definedName>
    <definedName name="KDL" localSheetId="0" hidden="1">{#N/A,#N/A,TRUE,"1842CWN0"}</definedName>
    <definedName name="KDL" localSheetId="9" hidden="1">{#N/A,#N/A,TRUE,"1842CWN0"}</definedName>
    <definedName name="KDL" localSheetId="10" hidden="1">{#N/A,#N/A,TRUE,"1842CWN0"}</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 localSheetId="10">#REF!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 localSheetId="10">#REF!</definedName>
    <definedName name="mano_obra_apoyo">#REF!</definedName>
    <definedName name="mano_obra_direccion" localSheetId="10">#REF!</definedName>
    <definedName name="mano_obra_direccion">#REF!</definedName>
    <definedName name="mano_obra_directa" localSheetId="10">#REF!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 localSheetId="2">#REF!</definedName>
    <definedName name="MATER">#REF!</definedName>
    <definedName name="materiales" localSheetId="7">#REF!</definedName>
    <definedName name="MATERIALES" localSheetId="2">#REF!</definedName>
    <definedName name="materiales" localSheetId="1">#REF!</definedName>
    <definedName name="materiales" localSheetId="0">#REF!</definedName>
    <definedName name="materiales" localSheetId="9">#REF!</definedName>
    <definedName name="materiales" localSheetId="10">#REF!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localSheetId="7" hidden="1">{#N/A,#N/A,TRUE,"1842CWN0"}</definedName>
    <definedName name="met" localSheetId="8" hidden="1">{#N/A,#N/A,TRUE,"1842CWN0"}</definedName>
    <definedName name="met" localSheetId="1" hidden="1">{#N/A,#N/A,TRUE,"1842CWN0"}</definedName>
    <definedName name="met" localSheetId="0" hidden="1">{#N/A,#N/A,TRUE,"1842CWN0"}</definedName>
    <definedName name="met" localSheetId="9" hidden="1">{#N/A,#N/A,TRUE,"1842CWN0"}</definedName>
    <definedName name="met" localSheetId="10" hidden="1">{#N/A,#N/A,TRUE,"1842CWN0"}</definedName>
    <definedName name="met" hidden="1">{#N/A,#N/A,TRUE,"1842CWN0"}</definedName>
    <definedName name="metal" localSheetId="7" hidden="1">{#N/A,#N/A,TRUE,"1842CWN0"}</definedName>
    <definedName name="metal" localSheetId="8" hidden="1">{#N/A,#N/A,TRUE,"1842CWN0"}</definedName>
    <definedName name="metal" localSheetId="1" hidden="1">{#N/A,#N/A,TRUE,"1842CWN0"}</definedName>
    <definedName name="metal" localSheetId="0" hidden="1">{#N/A,#N/A,TRUE,"1842CWN0"}</definedName>
    <definedName name="metal" localSheetId="9" hidden="1">{#N/A,#N/A,TRUE,"1842CWN0"}</definedName>
    <definedName name="metal" localSheetId="10"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ÑÑÑÑ">#REF!</definedName>
    <definedName name="NOMBRE">#REF!</definedName>
    <definedName name="Norte">#REF!</definedName>
    <definedName name="NOV">#REF!</definedName>
    <definedName name="NUEVO">#REF!</definedName>
    <definedName name="NUNI">#REF!</definedName>
    <definedName name="OBJETO.CONTRATO">#REF!</definedName>
    <definedName name="Obra">#REF!</definedName>
    <definedName name="obser" localSheetId="7">#REF!</definedName>
    <definedName name="obser" localSheetId="1">#REF!</definedName>
    <definedName name="obser" localSheetId="0">#REF!</definedName>
    <definedName name="obser" localSheetId="9">#REF!</definedName>
    <definedName name="obser">#REF!</definedName>
    <definedName name="OBSERVACION" localSheetId="10">#REF!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_xlnm.Print_Area" localSheetId="3">AIU!$A$1:$J$43</definedName>
    <definedName name="_xlnm.Print_Area" localSheetId="7">'CANTIDADES VALOR INICIAL'!$B$1:$AG$187</definedName>
    <definedName name="_xlnm.Print_Area" localSheetId="2">'E Y D PRESU ESTIMADO'!$B$1:$N$61</definedName>
    <definedName name="_xlnm.Print_Area" localSheetId="4">FM!$A$1:$H$48</definedName>
    <definedName name="_xlnm.Print_Area" localSheetId="1">'LISTA DE PRECIOS UNITARIOS'!$B$1:$G$129</definedName>
    <definedName name="_xlnm.Print_Area" localSheetId="0">'PRESU  ESTIMADO OBRA  ALPES'!$B$1:$H$96</definedName>
    <definedName name="_xlnm.Print_Area" localSheetId="9">'VALORES INDEXADOS OBRA ALPES'!$B$1:$J$190</definedName>
    <definedName name="_xlnm.Print_Area" localSheetId="10">'VALORES INDEXADOS OBRA CARACOLÍ'!$B$1:$K$130</definedName>
    <definedName name="_xlnm.Print_Area">#REF!</definedName>
    <definedName name="Print_Area_MI">#REF!</definedName>
    <definedName name="_xlnm.Print_Titles" localSheetId="7">'CANTIDADES VALOR INICIAL'!$1:$7</definedName>
    <definedName name="_xlnm.Print_Titles" localSheetId="2">'E Y D PRESU ESTIMADO'!$1:$9</definedName>
    <definedName name="_xlnm.Print_Titles" localSheetId="1">'LISTA DE PRECIOS UNITARIOS'!$1:$10</definedName>
    <definedName name="_xlnm.Print_Titles" localSheetId="0">'PRESU  ESTIMADO OBRA  ALPES'!$1:$10</definedName>
    <definedName name="_xlnm.Print_Titles" localSheetId="9">'VALORES INDEXADOS OBRA ALPES'!$1:$11</definedName>
    <definedName name="_xlnm.Print_Titles" localSheetId="10">'VALORES INDEXADOS OBRA CARACOLÍ'!$1:$11</definedName>
    <definedName name="_xlnm.Print_Titles">#N/A</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_xlnm.Recorder">#REF!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 localSheetId="10">#REF!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 localSheetId="10">#REF!</definedName>
    <definedName name="SMLMV">#REF!</definedName>
    <definedName name="SMMV" localSheetId="10">#REF!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 localSheetId="10">#REF!</definedName>
    <definedName name="subcontratos">#REF!</definedName>
    <definedName name="Subestacion_Tipo_Pedestal_225_Kva__11400_208_120V_60Hz_D_Y5_N._CTS_523">#REF!</definedName>
    <definedName name="SUBESTACIONES">#REF!</definedName>
    <definedName name="SUBTRANS" localSheetId="10">#REF!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 localSheetId="10">#REF!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 localSheetId="10">#REF!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 localSheetId="2">#REF!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localSheetId="7" hidden="1">{#N/A,#N/A,TRUE,"1842CWN0"}</definedName>
    <definedName name="wrn.civil._.works." localSheetId="8" hidden="1">{#N/A,#N/A,TRUE,"1842CWN0"}</definedName>
    <definedName name="wrn.civil._.works." localSheetId="1" hidden="1">{#N/A,#N/A,TRUE,"1842CWN0"}</definedName>
    <definedName name="wrn.civil._.works." localSheetId="0"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localSheetId="8"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MPRESION.">#REF!</definedName>
    <definedName name="wrn.OBRASC.">#REF!</definedName>
    <definedName name="wrn.via." localSheetId="8"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ww">#REF!</definedName>
    <definedName name="x">#REF!</definedName>
    <definedName name="XSW" localSheetId="7" hidden="1">{#N/A,#N/A,TRUE,"1842CWN0"}</definedName>
    <definedName name="XSW" localSheetId="8" hidden="1">{#N/A,#N/A,TRUE,"1842CWN0"}</definedName>
    <definedName name="XSW" localSheetId="1" hidden="1">{#N/A,#N/A,TRUE,"1842CWN0"}</definedName>
    <definedName name="XSW" localSheetId="0" hidden="1">{#N/A,#N/A,TRUE,"1842CWN0"}</definedName>
    <definedName name="XSW" localSheetId="9" hidden="1">{#N/A,#N/A,TRUE,"1842CWN0"}</definedName>
    <definedName name="XSW" localSheetId="10" hidden="1">{#N/A,#N/A,TRUE,"1842CWN0"}</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28" i="13" l="1"/>
  <c r="D30" i="15"/>
  <c r="D29" i="15"/>
  <c r="D28" i="15"/>
  <c r="D27" i="15"/>
  <c r="D26" i="15"/>
  <c r="D25" i="15"/>
  <c r="D24" i="15"/>
  <c r="D23" i="15"/>
  <c r="D22" i="15"/>
  <c r="D21" i="15"/>
  <c r="D20" i="15"/>
  <c r="D19" i="15"/>
  <c r="D18" i="15"/>
  <c r="D17" i="15"/>
  <c r="D16" i="15"/>
  <c r="D15" i="15"/>
  <c r="D14" i="15"/>
  <c r="D13" i="15"/>
  <c r="D12" i="15"/>
  <c r="D11" i="15"/>
  <c r="D10" i="15"/>
  <c r="D9" i="15"/>
  <c r="H129" i="16"/>
  <c r="G129" i="16"/>
  <c r="F129" i="16"/>
  <c r="E129" i="16"/>
  <c r="D129" i="16"/>
  <c r="C129" i="16"/>
  <c r="H128" i="16"/>
  <c r="F128" i="16"/>
  <c r="H127" i="16"/>
  <c r="H26" i="15" s="1"/>
  <c r="G127" i="16"/>
  <c r="F127" i="16"/>
  <c r="E127" i="16"/>
  <c r="D127" i="16"/>
  <c r="C127" i="16"/>
  <c r="H126" i="16"/>
  <c r="H25" i="15" s="1"/>
  <c r="G126" i="16"/>
  <c r="F126" i="16"/>
  <c r="E126" i="16"/>
  <c r="D126" i="16"/>
  <c r="C126" i="16"/>
  <c r="I125" i="16"/>
  <c r="H125" i="16"/>
  <c r="G125" i="16"/>
  <c r="F125" i="16"/>
  <c r="E125" i="16"/>
  <c r="D125" i="16"/>
  <c r="C125" i="16"/>
  <c r="H124" i="16"/>
  <c r="F124" i="16"/>
  <c r="H123" i="16"/>
  <c r="G123" i="16"/>
  <c r="F123" i="16"/>
  <c r="E123" i="16"/>
  <c r="D123" i="16"/>
  <c r="C123" i="16"/>
  <c r="H122" i="16"/>
  <c r="G122" i="16"/>
  <c r="F122" i="16"/>
  <c r="I122" i="16" s="1"/>
  <c r="E122" i="16"/>
  <c r="D122" i="16"/>
  <c r="C122" i="16"/>
  <c r="H121" i="16"/>
  <c r="G121" i="16"/>
  <c r="F121" i="16"/>
  <c r="E121" i="16"/>
  <c r="D121" i="16"/>
  <c r="C121" i="16"/>
  <c r="H120" i="16"/>
  <c r="G120" i="16"/>
  <c r="F120" i="16"/>
  <c r="I120" i="16" s="1"/>
  <c r="E120" i="16"/>
  <c r="D120" i="16"/>
  <c r="C120" i="16"/>
  <c r="H119" i="16"/>
  <c r="G119" i="16"/>
  <c r="F119" i="16"/>
  <c r="E119" i="16"/>
  <c r="D119" i="16"/>
  <c r="C119" i="16"/>
  <c r="H118" i="16"/>
  <c r="G118" i="16"/>
  <c r="F118" i="16"/>
  <c r="E118" i="16"/>
  <c r="D118" i="16"/>
  <c r="C118" i="16"/>
  <c r="H117" i="16"/>
  <c r="G117" i="16"/>
  <c r="F117" i="16"/>
  <c r="E117" i="16"/>
  <c r="D117" i="16"/>
  <c r="C117" i="16"/>
  <c r="H116" i="16"/>
  <c r="G116" i="16"/>
  <c r="F116" i="16"/>
  <c r="I116" i="16" s="1"/>
  <c r="E116" i="16"/>
  <c r="D116" i="16"/>
  <c r="C116" i="16"/>
  <c r="H115" i="16"/>
  <c r="G115" i="16"/>
  <c r="F115" i="16"/>
  <c r="E115" i="16"/>
  <c r="D115" i="16"/>
  <c r="C115" i="16"/>
  <c r="H114" i="16"/>
  <c r="G114" i="16"/>
  <c r="F114" i="16"/>
  <c r="I114" i="16" s="1"/>
  <c r="E114" i="16"/>
  <c r="D114" i="16"/>
  <c r="C114" i="16"/>
  <c r="H113" i="16"/>
  <c r="G113" i="16"/>
  <c r="F113" i="16"/>
  <c r="E113" i="16"/>
  <c r="D113" i="16"/>
  <c r="C113" i="16"/>
  <c r="H112" i="16"/>
  <c r="G112" i="16"/>
  <c r="F112" i="16"/>
  <c r="E112" i="16"/>
  <c r="D112" i="16"/>
  <c r="C112" i="16"/>
  <c r="H111" i="16"/>
  <c r="G111" i="16"/>
  <c r="F111" i="16"/>
  <c r="E111" i="16"/>
  <c r="D111" i="16"/>
  <c r="C111" i="16"/>
  <c r="H110" i="16"/>
  <c r="G110" i="16"/>
  <c r="F110" i="16"/>
  <c r="E110" i="16"/>
  <c r="D110" i="16"/>
  <c r="C110" i="16"/>
  <c r="D109" i="16"/>
  <c r="C109" i="16"/>
  <c r="H108" i="16"/>
  <c r="G108" i="16"/>
  <c r="F108" i="16"/>
  <c r="I108" i="16" s="1"/>
  <c r="I107" i="16" s="1"/>
  <c r="E108" i="16"/>
  <c r="D108" i="16"/>
  <c r="C108" i="16"/>
  <c r="D107" i="16"/>
  <c r="C107" i="16"/>
  <c r="H106" i="16"/>
  <c r="G106" i="16"/>
  <c r="F106" i="16"/>
  <c r="I106" i="16" s="1"/>
  <c r="E106" i="16"/>
  <c r="D106" i="16"/>
  <c r="C106" i="16"/>
  <c r="H105" i="16"/>
  <c r="G105" i="16"/>
  <c r="F105" i="16"/>
  <c r="E105" i="16"/>
  <c r="D105" i="16"/>
  <c r="C105" i="16"/>
  <c r="H104" i="16"/>
  <c r="G104" i="16"/>
  <c r="F104" i="16"/>
  <c r="E104" i="16"/>
  <c r="D104" i="16"/>
  <c r="C104" i="16"/>
  <c r="H103" i="16"/>
  <c r="G103" i="16"/>
  <c r="F103" i="16"/>
  <c r="E103" i="16"/>
  <c r="D103" i="16"/>
  <c r="C103" i="16"/>
  <c r="H102" i="16"/>
  <c r="G102" i="16"/>
  <c r="F102" i="16"/>
  <c r="E102" i="16"/>
  <c r="D102" i="16"/>
  <c r="C102" i="16"/>
  <c r="D101" i="16"/>
  <c r="C101" i="16"/>
  <c r="H100" i="16"/>
  <c r="G100" i="16"/>
  <c r="F100" i="16"/>
  <c r="E100" i="16"/>
  <c r="D100" i="16"/>
  <c r="C100" i="16"/>
  <c r="H99" i="16"/>
  <c r="G99" i="16"/>
  <c r="F99" i="16"/>
  <c r="E99" i="16"/>
  <c r="D99" i="16"/>
  <c r="C99" i="16"/>
  <c r="H98" i="16"/>
  <c r="G98" i="16"/>
  <c r="F98" i="16"/>
  <c r="E98" i="16"/>
  <c r="D98" i="16"/>
  <c r="C98" i="16"/>
  <c r="H97" i="16"/>
  <c r="G97" i="16"/>
  <c r="F97" i="16"/>
  <c r="E97" i="16"/>
  <c r="D97" i="16"/>
  <c r="C97" i="16"/>
  <c r="H96" i="16"/>
  <c r="G96" i="16"/>
  <c r="F96" i="16"/>
  <c r="E96" i="16"/>
  <c r="D96" i="16"/>
  <c r="C96" i="16"/>
  <c r="H95" i="16"/>
  <c r="G95" i="16"/>
  <c r="F95" i="16"/>
  <c r="I95" i="16" s="1"/>
  <c r="E95" i="16"/>
  <c r="D95" i="16"/>
  <c r="C95" i="16"/>
  <c r="D94" i="16"/>
  <c r="C94" i="16"/>
  <c r="H93" i="16"/>
  <c r="G93" i="16"/>
  <c r="F93" i="16"/>
  <c r="I93" i="16" s="1"/>
  <c r="I92" i="16" s="1"/>
  <c r="E93" i="16"/>
  <c r="D93" i="16"/>
  <c r="C93" i="16"/>
  <c r="D92" i="16"/>
  <c r="C92" i="16"/>
  <c r="H91" i="16"/>
  <c r="G91" i="16"/>
  <c r="F91" i="16"/>
  <c r="E91" i="16"/>
  <c r="D91" i="16"/>
  <c r="C91" i="16"/>
  <c r="H90" i="16"/>
  <c r="G90" i="16"/>
  <c r="F90" i="16"/>
  <c r="E90" i="16"/>
  <c r="D90" i="16"/>
  <c r="C90" i="16"/>
  <c r="H89" i="16"/>
  <c r="G89" i="16"/>
  <c r="F89" i="16"/>
  <c r="E89" i="16"/>
  <c r="D89" i="16"/>
  <c r="C89" i="16"/>
  <c r="H88" i="16"/>
  <c r="G88" i="16"/>
  <c r="F88" i="16"/>
  <c r="E88" i="16"/>
  <c r="D88" i="16"/>
  <c r="C88" i="16"/>
  <c r="H87" i="16"/>
  <c r="G87" i="16"/>
  <c r="F87" i="16"/>
  <c r="I87" i="16" s="1"/>
  <c r="E87" i="16"/>
  <c r="D87" i="16"/>
  <c r="C87" i="16"/>
  <c r="H86" i="16"/>
  <c r="G86" i="16"/>
  <c r="F86" i="16"/>
  <c r="I86" i="16" s="1"/>
  <c r="E86" i="16"/>
  <c r="D86" i="16"/>
  <c r="C86" i="16"/>
  <c r="D85" i="16"/>
  <c r="C85" i="16"/>
  <c r="H84" i="16"/>
  <c r="G84" i="16"/>
  <c r="F84" i="16"/>
  <c r="I84" i="16" s="1"/>
  <c r="E84" i="16"/>
  <c r="D84" i="16"/>
  <c r="C84" i="16"/>
  <c r="H83" i="16"/>
  <c r="G83" i="16"/>
  <c r="F83" i="16"/>
  <c r="E83" i="16"/>
  <c r="D83" i="16"/>
  <c r="C83" i="16"/>
  <c r="H82" i="16"/>
  <c r="G82" i="16"/>
  <c r="F82" i="16"/>
  <c r="E82" i="16"/>
  <c r="D82" i="16"/>
  <c r="C82" i="16"/>
  <c r="H81" i="16"/>
  <c r="I81" i="16" s="1"/>
  <c r="G81" i="16"/>
  <c r="F81" i="16"/>
  <c r="E81" i="16"/>
  <c r="D81" i="16"/>
  <c r="C81" i="16"/>
  <c r="H80" i="16"/>
  <c r="G80" i="16"/>
  <c r="F80" i="16"/>
  <c r="I80" i="16" s="1"/>
  <c r="E80" i="16"/>
  <c r="D80" i="16"/>
  <c r="C80" i="16"/>
  <c r="H79" i="16"/>
  <c r="G79" i="16"/>
  <c r="F79" i="16"/>
  <c r="E79" i="16"/>
  <c r="D79" i="16"/>
  <c r="C79" i="16"/>
  <c r="H78" i="16"/>
  <c r="I78" i="16" s="1"/>
  <c r="G78" i="16"/>
  <c r="F78" i="16"/>
  <c r="E78" i="16"/>
  <c r="D78" i="16"/>
  <c r="C78" i="16"/>
  <c r="H77" i="16"/>
  <c r="G77" i="16"/>
  <c r="F77" i="16"/>
  <c r="I77" i="16" s="1"/>
  <c r="E77" i="16"/>
  <c r="D77" i="16"/>
  <c r="C77" i="16"/>
  <c r="H76" i="16"/>
  <c r="G76" i="16"/>
  <c r="F76" i="16"/>
  <c r="E76" i="16"/>
  <c r="D76" i="16"/>
  <c r="C76" i="16"/>
  <c r="H75" i="16"/>
  <c r="H29" i="15" s="1"/>
  <c r="G75" i="16"/>
  <c r="F75" i="16"/>
  <c r="I75" i="16" s="1"/>
  <c r="E75" i="16"/>
  <c r="D75" i="16"/>
  <c r="C75" i="16"/>
  <c r="I74" i="16"/>
  <c r="H74" i="16"/>
  <c r="G74" i="16"/>
  <c r="F74" i="16"/>
  <c r="E74" i="16"/>
  <c r="D74" i="16"/>
  <c r="C74" i="16"/>
  <c r="H73" i="16"/>
  <c r="G73" i="16"/>
  <c r="F73" i="16"/>
  <c r="E73" i="16"/>
  <c r="D73" i="16"/>
  <c r="C73" i="16"/>
  <c r="H72" i="16"/>
  <c r="G72" i="16"/>
  <c r="F72" i="16"/>
  <c r="I72" i="16" s="1"/>
  <c r="E72" i="16"/>
  <c r="D72" i="16"/>
  <c r="C72" i="16"/>
  <c r="H71" i="16"/>
  <c r="G71" i="16"/>
  <c r="F71" i="16"/>
  <c r="E71" i="16"/>
  <c r="D71" i="16"/>
  <c r="C71" i="16"/>
  <c r="D70" i="16"/>
  <c r="C70" i="16"/>
  <c r="H69" i="16"/>
  <c r="G69" i="16"/>
  <c r="F69" i="16"/>
  <c r="E69" i="16"/>
  <c r="D69" i="16"/>
  <c r="C69" i="16"/>
  <c r="H68" i="16"/>
  <c r="H16" i="15" s="1"/>
  <c r="G68" i="16"/>
  <c r="F68" i="16"/>
  <c r="I68" i="16" s="1"/>
  <c r="E68" i="16"/>
  <c r="D68" i="16"/>
  <c r="C68" i="16"/>
  <c r="H67" i="16"/>
  <c r="I67" i="16" s="1"/>
  <c r="G67" i="16"/>
  <c r="F67" i="16"/>
  <c r="E67" i="16"/>
  <c r="D67" i="16"/>
  <c r="C67" i="16"/>
  <c r="H66" i="16"/>
  <c r="G66" i="16"/>
  <c r="F66" i="16"/>
  <c r="E66" i="16"/>
  <c r="D66" i="16"/>
  <c r="C66" i="16"/>
  <c r="H65" i="16"/>
  <c r="G65" i="16"/>
  <c r="F65" i="16"/>
  <c r="E65" i="16"/>
  <c r="D65" i="16"/>
  <c r="C65" i="16"/>
  <c r="H64" i="16"/>
  <c r="H12" i="15" s="1"/>
  <c r="G64" i="16"/>
  <c r="F64" i="16"/>
  <c r="I64" i="16" s="1"/>
  <c r="E64" i="16"/>
  <c r="D64" i="16"/>
  <c r="C64" i="16"/>
  <c r="H63" i="16"/>
  <c r="G63" i="16"/>
  <c r="F63" i="16"/>
  <c r="E63" i="16"/>
  <c r="D63" i="16"/>
  <c r="C63" i="16"/>
  <c r="H62" i="16"/>
  <c r="G62" i="16"/>
  <c r="F62" i="16"/>
  <c r="E62" i="16"/>
  <c r="D62" i="16"/>
  <c r="C62" i="16"/>
  <c r="H61" i="16"/>
  <c r="G61" i="16"/>
  <c r="F61" i="16"/>
  <c r="E61" i="16"/>
  <c r="D61" i="16"/>
  <c r="C61" i="16"/>
  <c r="H60" i="16"/>
  <c r="G60" i="16"/>
  <c r="F60" i="16"/>
  <c r="E60" i="16"/>
  <c r="D60" i="16"/>
  <c r="C60" i="16"/>
  <c r="D59" i="16"/>
  <c r="C59" i="16"/>
  <c r="H58" i="16"/>
  <c r="G58" i="16"/>
  <c r="F58" i="16"/>
  <c r="I58" i="16" s="1"/>
  <c r="E58" i="16"/>
  <c r="D58" i="16"/>
  <c r="C58" i="16"/>
  <c r="H57" i="16"/>
  <c r="G57" i="16"/>
  <c r="F57" i="16"/>
  <c r="E57" i="16"/>
  <c r="D57" i="16"/>
  <c r="C57" i="16"/>
  <c r="H56" i="16"/>
  <c r="H24" i="15" s="1"/>
  <c r="G56" i="16"/>
  <c r="F56" i="16"/>
  <c r="E56" i="16"/>
  <c r="D56" i="16"/>
  <c r="C56" i="16"/>
  <c r="H55" i="16"/>
  <c r="I55" i="16" s="1"/>
  <c r="G55" i="16"/>
  <c r="F55" i="16"/>
  <c r="E55" i="16"/>
  <c r="D55" i="16"/>
  <c r="C55" i="16"/>
  <c r="H54" i="16"/>
  <c r="G54" i="16"/>
  <c r="F54" i="16"/>
  <c r="E54" i="16"/>
  <c r="D54" i="16"/>
  <c r="C54" i="16"/>
  <c r="H53" i="16"/>
  <c r="G53" i="16"/>
  <c r="F53" i="16"/>
  <c r="E53" i="16"/>
  <c r="D53" i="16"/>
  <c r="C53" i="16"/>
  <c r="H52" i="16"/>
  <c r="G52" i="16"/>
  <c r="F52" i="16"/>
  <c r="E52" i="16"/>
  <c r="D52" i="16"/>
  <c r="C52" i="16"/>
  <c r="H51" i="16"/>
  <c r="G51" i="16"/>
  <c r="F51" i="16"/>
  <c r="E51" i="16"/>
  <c r="D51" i="16"/>
  <c r="C51" i="16"/>
  <c r="H50" i="16"/>
  <c r="G50" i="16"/>
  <c r="F50" i="16"/>
  <c r="E50" i="16"/>
  <c r="D50" i="16"/>
  <c r="C50" i="16"/>
  <c r="H49" i="16"/>
  <c r="G49" i="16"/>
  <c r="F49" i="16"/>
  <c r="E49" i="16"/>
  <c r="D49" i="16"/>
  <c r="C49" i="16"/>
  <c r="H48" i="16"/>
  <c r="I48" i="16" s="1"/>
  <c r="G48" i="16"/>
  <c r="F48" i="16"/>
  <c r="E48" i="16"/>
  <c r="D48" i="16"/>
  <c r="C48" i="16"/>
  <c r="H47" i="16"/>
  <c r="G47" i="16"/>
  <c r="F47" i="16"/>
  <c r="E47" i="16"/>
  <c r="D47" i="16"/>
  <c r="C47" i="16"/>
  <c r="H46" i="16"/>
  <c r="G46" i="16"/>
  <c r="F46" i="16"/>
  <c r="E46" i="16"/>
  <c r="D46" i="16"/>
  <c r="C46" i="16"/>
  <c r="H45" i="16"/>
  <c r="G45" i="16"/>
  <c r="F45" i="16"/>
  <c r="I45" i="16" s="1"/>
  <c r="E45" i="16"/>
  <c r="D45" i="16"/>
  <c r="C45" i="16"/>
  <c r="H44" i="16"/>
  <c r="G44" i="16"/>
  <c r="F44" i="16"/>
  <c r="E44" i="16"/>
  <c r="D44" i="16"/>
  <c r="C44" i="16"/>
  <c r="H43" i="16"/>
  <c r="G43" i="16"/>
  <c r="F43" i="16"/>
  <c r="E43" i="16"/>
  <c r="D43" i="16"/>
  <c r="C43" i="16"/>
  <c r="H42" i="16"/>
  <c r="G42" i="16"/>
  <c r="F42" i="16"/>
  <c r="I42" i="16" s="1"/>
  <c r="E42" i="16"/>
  <c r="D42" i="16"/>
  <c r="C42" i="16"/>
  <c r="H41" i="16"/>
  <c r="G41" i="16"/>
  <c r="F41" i="16"/>
  <c r="E41" i="16"/>
  <c r="D41" i="16"/>
  <c r="C41" i="16"/>
  <c r="H40" i="16"/>
  <c r="G40" i="16"/>
  <c r="F40" i="16"/>
  <c r="E40" i="16"/>
  <c r="D40" i="16"/>
  <c r="C40" i="16"/>
  <c r="H39" i="16"/>
  <c r="G39" i="16"/>
  <c r="F39" i="16"/>
  <c r="E39" i="16"/>
  <c r="D39" i="16"/>
  <c r="C39" i="16"/>
  <c r="H38" i="16"/>
  <c r="G38" i="16"/>
  <c r="F38" i="16"/>
  <c r="E38" i="16"/>
  <c r="D38" i="16"/>
  <c r="C38" i="16"/>
  <c r="H37" i="16"/>
  <c r="G37" i="16"/>
  <c r="F37" i="16"/>
  <c r="E37" i="16"/>
  <c r="D37" i="16"/>
  <c r="C37" i="16"/>
  <c r="H36" i="16"/>
  <c r="H14" i="15" s="1"/>
  <c r="G36" i="16"/>
  <c r="F36" i="16"/>
  <c r="E36" i="16"/>
  <c r="D36" i="16"/>
  <c r="C36" i="16"/>
  <c r="H35" i="16"/>
  <c r="G35" i="16"/>
  <c r="F35" i="16"/>
  <c r="E35" i="16"/>
  <c r="D35" i="16"/>
  <c r="C35" i="16"/>
  <c r="H34" i="16"/>
  <c r="G34" i="16"/>
  <c r="F34" i="16"/>
  <c r="E34" i="16"/>
  <c r="D34" i="16"/>
  <c r="C34" i="16"/>
  <c r="H33" i="16"/>
  <c r="G33" i="16"/>
  <c r="F33" i="16"/>
  <c r="E33" i="16"/>
  <c r="D33" i="16"/>
  <c r="C33" i="16"/>
  <c r="H32" i="16"/>
  <c r="H23" i="15" s="1"/>
  <c r="G32" i="16"/>
  <c r="F32" i="16"/>
  <c r="E32" i="16"/>
  <c r="D32" i="16"/>
  <c r="C32" i="16"/>
  <c r="H31" i="16"/>
  <c r="G31" i="16"/>
  <c r="F31" i="16"/>
  <c r="E31" i="16"/>
  <c r="D31" i="16"/>
  <c r="C31" i="16"/>
  <c r="H30" i="16"/>
  <c r="G30" i="16"/>
  <c r="F30" i="16"/>
  <c r="E30" i="16"/>
  <c r="D30" i="16"/>
  <c r="C30" i="16"/>
  <c r="H29" i="16"/>
  <c r="G29" i="16"/>
  <c r="F29" i="16"/>
  <c r="I29" i="16" s="1"/>
  <c r="E29" i="16"/>
  <c r="D29" i="16"/>
  <c r="C29" i="16"/>
  <c r="H28" i="16"/>
  <c r="H20" i="15" s="1"/>
  <c r="G28" i="16"/>
  <c r="F28" i="16"/>
  <c r="E28" i="16"/>
  <c r="D28" i="16"/>
  <c r="C28" i="16"/>
  <c r="H27" i="16"/>
  <c r="H19" i="15" s="1"/>
  <c r="G27" i="16"/>
  <c r="F27" i="16"/>
  <c r="I27" i="16" s="1"/>
  <c r="E27" i="16"/>
  <c r="D27" i="16"/>
  <c r="C27" i="16"/>
  <c r="I26" i="16"/>
  <c r="H26" i="16"/>
  <c r="H18" i="15" s="1"/>
  <c r="G26" i="16"/>
  <c r="F26" i="16"/>
  <c r="E26" i="16"/>
  <c r="D26" i="16"/>
  <c r="C26" i="16"/>
  <c r="H25" i="16"/>
  <c r="G25" i="16"/>
  <c r="F25" i="16"/>
  <c r="E25" i="16"/>
  <c r="D25" i="16"/>
  <c r="C25" i="16"/>
  <c r="H24" i="16"/>
  <c r="G24" i="16"/>
  <c r="F24" i="16"/>
  <c r="I24" i="16" s="1"/>
  <c r="E24" i="16"/>
  <c r="D24" i="16"/>
  <c r="C24" i="16"/>
  <c r="H23" i="16"/>
  <c r="I23" i="16" s="1"/>
  <c r="G23" i="16"/>
  <c r="F23" i="16"/>
  <c r="E23" i="16"/>
  <c r="D23" i="16"/>
  <c r="C23" i="16"/>
  <c r="H22" i="16"/>
  <c r="G22" i="16"/>
  <c r="F22" i="16"/>
  <c r="E22" i="16"/>
  <c r="D22" i="16"/>
  <c r="C22" i="16"/>
  <c r="H21" i="16"/>
  <c r="H27" i="15" s="1"/>
  <c r="G21" i="16"/>
  <c r="F21" i="16"/>
  <c r="E21" i="16"/>
  <c r="D21" i="16"/>
  <c r="C21" i="16"/>
  <c r="H20" i="16"/>
  <c r="H11" i="15" s="1"/>
  <c r="G20" i="16"/>
  <c r="F20" i="16"/>
  <c r="I20" i="16" s="1"/>
  <c r="E20" i="16"/>
  <c r="D20" i="16"/>
  <c r="C20" i="16"/>
  <c r="H19" i="16"/>
  <c r="G19" i="16"/>
  <c r="F19" i="16"/>
  <c r="E19" i="16"/>
  <c r="D19" i="16"/>
  <c r="C19" i="16"/>
  <c r="H18" i="16"/>
  <c r="G18" i="16"/>
  <c r="F18" i="16"/>
  <c r="E18" i="16"/>
  <c r="D18" i="16"/>
  <c r="C18" i="16"/>
  <c r="H17" i="16"/>
  <c r="G17" i="16"/>
  <c r="F17" i="16"/>
  <c r="E17" i="16"/>
  <c r="D17" i="16"/>
  <c r="C17" i="16"/>
  <c r="D16" i="16"/>
  <c r="C16" i="16"/>
  <c r="H15" i="16"/>
  <c r="G15" i="16"/>
  <c r="F15" i="16"/>
  <c r="I15" i="16" s="1"/>
  <c r="E15" i="16"/>
  <c r="D15" i="16"/>
  <c r="C15" i="16"/>
  <c r="H14" i="16"/>
  <c r="G14" i="16"/>
  <c r="F14" i="16"/>
  <c r="E14" i="16"/>
  <c r="D14" i="16"/>
  <c r="C14" i="16"/>
  <c r="H13" i="16"/>
  <c r="G13" i="16"/>
  <c r="F13" i="16"/>
  <c r="E13" i="16"/>
  <c r="D13" i="16"/>
  <c r="C13" i="16"/>
  <c r="D12" i="16"/>
  <c r="C12" i="16"/>
  <c r="C5" i="16"/>
  <c r="C4" i="16"/>
  <c r="C3" i="16"/>
  <c r="I34" i="16" l="1"/>
  <c r="I46" i="16"/>
  <c r="I50" i="16"/>
  <c r="I30" i="16"/>
  <c r="I25" i="16"/>
  <c r="I40" i="16"/>
  <c r="I89" i="16"/>
  <c r="I104" i="16"/>
  <c r="I112" i="16"/>
  <c r="I115" i="16"/>
  <c r="I62" i="16"/>
  <c r="I69" i="16"/>
  <c r="I36" i="16"/>
  <c r="I41" i="16"/>
  <c r="I60" i="16"/>
  <c r="I97" i="16"/>
  <c r="I14" i="16"/>
  <c r="I52" i="16"/>
  <c r="I56" i="16"/>
  <c r="I57" i="16"/>
  <c r="I82" i="16"/>
  <c r="I123" i="16"/>
  <c r="I18" i="16"/>
  <c r="I43" i="16"/>
  <c r="I100" i="16"/>
  <c r="I102" i="16"/>
  <c r="I39" i="16"/>
  <c r="I71" i="16"/>
  <c r="I121" i="16"/>
  <c r="I127" i="16"/>
  <c r="I129" i="16"/>
  <c r="I13" i="16"/>
  <c r="I12" i="16" s="1"/>
  <c r="I19" i="16"/>
  <c r="I28" i="16"/>
  <c r="I37" i="16"/>
  <c r="I38" i="16"/>
  <c r="I47" i="16"/>
  <c r="I51" i="16"/>
  <c r="I63" i="16"/>
  <c r="I91" i="16"/>
  <c r="I99" i="16"/>
  <c r="I111" i="16"/>
  <c r="H9" i="15"/>
  <c r="H17" i="15"/>
  <c r="I33" i="16"/>
  <c r="I79" i="16"/>
  <c r="I83" i="16"/>
  <c r="I126" i="16"/>
  <c r="H10" i="15"/>
  <c r="I90" i="16"/>
  <c r="I98" i="16"/>
  <c r="I105" i="16"/>
  <c r="I110" i="16"/>
  <c r="I119" i="16"/>
  <c r="H28" i="15"/>
  <c r="I32" i="16"/>
  <c r="I21" i="16"/>
  <c r="I22" i="16"/>
  <c r="I31" i="16"/>
  <c r="I35" i="16"/>
  <c r="I44" i="16"/>
  <c r="I53" i="16"/>
  <c r="I54" i="16"/>
  <c r="I65" i="16"/>
  <c r="I66" i="16"/>
  <c r="I73" i="16"/>
  <c r="I88" i="16"/>
  <c r="I96" i="16"/>
  <c r="I117" i="16"/>
  <c r="I118" i="16"/>
  <c r="H13" i="15"/>
  <c r="H21" i="15"/>
  <c r="I17" i="16"/>
  <c r="I49" i="16"/>
  <c r="I61" i="16"/>
  <c r="I76" i="16"/>
  <c r="I103" i="16"/>
  <c r="I101" i="16" s="1"/>
  <c r="I113" i="16"/>
  <c r="H22" i="15"/>
  <c r="H30" i="15"/>
  <c r="H15" i="15"/>
  <c r="I59" i="16" l="1"/>
  <c r="I16" i="16"/>
  <c r="I94" i="16"/>
  <c r="I85" i="16"/>
  <c r="I70" i="16"/>
  <c r="I109" i="16"/>
  <c r="G30" i="15"/>
  <c r="F30" i="15"/>
  <c r="E30" i="15"/>
  <c r="M30" i="15"/>
  <c r="G47" i="12" s="1"/>
  <c r="C30" i="15"/>
  <c r="B30" i="15"/>
  <c r="A30" i="15"/>
  <c r="G29" i="15"/>
  <c r="F29" i="15"/>
  <c r="E29" i="15"/>
  <c r="C29" i="15"/>
  <c r="B29" i="15"/>
  <c r="A29" i="15"/>
  <c r="G28" i="15"/>
  <c r="F28" i="15"/>
  <c r="E28" i="15"/>
  <c r="C28" i="15"/>
  <c r="B28" i="15"/>
  <c r="A28" i="15"/>
  <c r="G27" i="15"/>
  <c r="F27" i="15"/>
  <c r="E27" i="15"/>
  <c r="C27" i="15"/>
  <c r="B27" i="15"/>
  <c r="A27" i="15"/>
  <c r="G26" i="15"/>
  <c r="F26" i="15"/>
  <c r="E26" i="15"/>
  <c r="C26" i="15"/>
  <c r="B26" i="15"/>
  <c r="A26" i="15"/>
  <c r="G25" i="15"/>
  <c r="F25" i="15"/>
  <c r="E25" i="15"/>
  <c r="C25" i="15"/>
  <c r="B25" i="15"/>
  <c r="A25" i="15"/>
  <c r="G24" i="15"/>
  <c r="F24" i="15"/>
  <c r="E24" i="15"/>
  <c r="C24" i="15"/>
  <c r="B24" i="15"/>
  <c r="A24" i="15"/>
  <c r="G23" i="15"/>
  <c r="F23" i="15"/>
  <c r="E23" i="15"/>
  <c r="C23" i="15"/>
  <c r="B23" i="15"/>
  <c r="A23" i="15"/>
  <c r="G22" i="15"/>
  <c r="F22" i="15"/>
  <c r="E22" i="15"/>
  <c r="C22" i="15"/>
  <c r="B22" i="15"/>
  <c r="A22" i="15"/>
  <c r="G21" i="15"/>
  <c r="F21" i="15"/>
  <c r="E21" i="15"/>
  <c r="C21" i="15"/>
  <c r="B21" i="15"/>
  <c r="A21" i="15"/>
  <c r="G20" i="15"/>
  <c r="F20" i="15"/>
  <c r="E20" i="15"/>
  <c r="C20" i="15"/>
  <c r="B20" i="15"/>
  <c r="A20" i="15"/>
  <c r="G19" i="15"/>
  <c r="F19" i="15"/>
  <c r="E19" i="15"/>
  <c r="C19" i="15"/>
  <c r="B19" i="15"/>
  <c r="A19" i="15"/>
  <c r="G18" i="15"/>
  <c r="F18" i="15"/>
  <c r="E18" i="15"/>
  <c r="C18" i="15"/>
  <c r="B18" i="15"/>
  <c r="A18" i="15"/>
  <c r="G17" i="15"/>
  <c r="F17" i="15"/>
  <c r="E17" i="15"/>
  <c r="C17" i="15"/>
  <c r="B17" i="15"/>
  <c r="A17" i="15"/>
  <c r="G16" i="15"/>
  <c r="F16" i="15"/>
  <c r="E16" i="15"/>
  <c r="C16" i="15"/>
  <c r="B16" i="15"/>
  <c r="A16" i="15"/>
  <c r="G15" i="15"/>
  <c r="F15" i="15"/>
  <c r="E15" i="15"/>
  <c r="C15" i="15"/>
  <c r="B15" i="15"/>
  <c r="A15" i="15"/>
  <c r="G14" i="15"/>
  <c r="F14" i="15"/>
  <c r="E14" i="15"/>
  <c r="C14" i="15"/>
  <c r="B14" i="15"/>
  <c r="A14" i="15"/>
  <c r="G13" i="15"/>
  <c r="F13" i="15"/>
  <c r="E13" i="15"/>
  <c r="C13" i="15"/>
  <c r="B13" i="15"/>
  <c r="A13" i="15"/>
  <c r="G12" i="15"/>
  <c r="F12" i="15"/>
  <c r="E12" i="15"/>
  <c r="C12" i="15"/>
  <c r="B12" i="15"/>
  <c r="A12" i="15"/>
  <c r="G11" i="15"/>
  <c r="F11" i="15"/>
  <c r="E11" i="15"/>
  <c r="C11" i="15"/>
  <c r="B11" i="15"/>
  <c r="A11" i="15"/>
  <c r="G10" i="15"/>
  <c r="F10" i="15"/>
  <c r="E10" i="15"/>
  <c r="C10" i="15"/>
  <c r="B10" i="15"/>
  <c r="A10" i="15"/>
  <c r="G9" i="15"/>
  <c r="F9" i="15"/>
  <c r="E9" i="15"/>
  <c r="C9" i="15"/>
  <c r="B9" i="15"/>
  <c r="A9" i="15"/>
  <c r="M20" i="15" l="1"/>
  <c r="F47" i="13" s="1"/>
  <c r="L27" i="15"/>
  <c r="M28" i="15"/>
  <c r="G59" i="12" s="1"/>
  <c r="M19" i="15"/>
  <c r="G72" i="12" s="1"/>
  <c r="L20" i="15"/>
  <c r="M13" i="15"/>
  <c r="G61" i="12" s="1"/>
  <c r="M18" i="15"/>
  <c r="F46" i="13" s="1"/>
  <c r="M25" i="15"/>
  <c r="F72" i="13" s="1"/>
  <c r="M26" i="15"/>
  <c r="F73" i="13" s="1"/>
  <c r="L29" i="15"/>
  <c r="L30" i="15"/>
  <c r="M9" i="15"/>
  <c r="G16" i="12" s="1"/>
  <c r="L10" i="15"/>
  <c r="M11" i="15"/>
  <c r="G23" i="12" s="1"/>
  <c r="M12" i="15"/>
  <c r="G31" i="12" s="1"/>
  <c r="L13" i="15"/>
  <c r="L14" i="15"/>
  <c r="M15" i="15"/>
  <c r="F42" i="13" s="1"/>
  <c r="L16" i="15"/>
  <c r="M17" i="15"/>
  <c r="F45" i="13" s="1"/>
  <c r="L18" i="15"/>
  <c r="M27" i="15"/>
  <c r="F94" i="13" s="1"/>
  <c r="M21" i="15"/>
  <c r="F49" i="13" s="1"/>
  <c r="L22" i="15"/>
  <c r="M23" i="15"/>
  <c r="F51" i="13" s="1"/>
  <c r="L24" i="15"/>
  <c r="L25" i="15"/>
  <c r="L26" i="15"/>
  <c r="M29" i="15"/>
  <c r="F22" i="13" s="1"/>
  <c r="L28" i="15"/>
  <c r="M10" i="15"/>
  <c r="G21" i="12" s="1"/>
  <c r="M14" i="15"/>
  <c r="G66" i="12" s="1"/>
  <c r="M16" i="15"/>
  <c r="G70" i="12" s="1"/>
  <c r="M22" i="15"/>
  <c r="F50" i="13" s="1"/>
  <c r="M24" i="15"/>
  <c r="F62" i="13" s="1"/>
  <c r="J9" i="15"/>
  <c r="K9" i="15" s="1"/>
  <c r="J11" i="15"/>
  <c r="K11" i="15" s="1"/>
  <c r="J13" i="15"/>
  <c r="K13" i="15" s="1"/>
  <c r="J15" i="15"/>
  <c r="K15" i="15" s="1"/>
  <c r="J17" i="15"/>
  <c r="K17" i="15" s="1"/>
  <c r="J19" i="15"/>
  <c r="K19" i="15" s="1"/>
  <c r="J21" i="15"/>
  <c r="K21" i="15" s="1"/>
  <c r="J23" i="15"/>
  <c r="K23" i="15" s="1"/>
  <c r="J25" i="15"/>
  <c r="K25" i="15" s="1"/>
  <c r="J27" i="15"/>
  <c r="K27" i="15" s="1"/>
  <c r="J29" i="15"/>
  <c r="K29" i="15" s="1"/>
  <c r="L9" i="15"/>
  <c r="L11" i="15"/>
  <c r="L15" i="15"/>
  <c r="L17" i="15"/>
  <c r="L19" i="15"/>
  <c r="L21" i="15"/>
  <c r="L23" i="15"/>
  <c r="J14" i="15"/>
  <c r="K14" i="15" s="1"/>
  <c r="J16" i="15"/>
  <c r="K16" i="15" s="1"/>
  <c r="J20" i="15"/>
  <c r="K20" i="15" s="1"/>
  <c r="J22" i="15"/>
  <c r="K22" i="15" s="1"/>
  <c r="J24" i="15"/>
  <c r="K24" i="15" s="1"/>
  <c r="J26" i="15"/>
  <c r="K26" i="15" s="1"/>
  <c r="J28" i="15"/>
  <c r="K28" i="15" s="1"/>
  <c r="J30" i="15"/>
  <c r="K30" i="15" s="1"/>
  <c r="J10" i="15"/>
  <c r="K10" i="15" s="1"/>
  <c r="J12" i="15"/>
  <c r="K12" i="15" s="1"/>
  <c r="J18" i="15"/>
  <c r="K18" i="15" s="1"/>
  <c r="L12" i="15"/>
  <c r="F14" i="4" l="1"/>
  <c r="J96" i="12" l="1"/>
  <c r="H85" i="12"/>
  <c r="H84" i="12" s="1"/>
  <c r="G90" i="12"/>
  <c r="G89" i="12"/>
  <c r="F26" i="4"/>
  <c r="F25" i="4"/>
  <c r="F24" i="4"/>
  <c r="F23" i="4"/>
  <c r="F22" i="4"/>
  <c r="F21" i="4"/>
  <c r="F20" i="4"/>
  <c r="F19" i="4"/>
  <c r="F18" i="4"/>
  <c r="F17" i="4"/>
  <c r="F16" i="4"/>
  <c r="F15" i="4"/>
  <c r="F13" i="4"/>
  <c r="F12" i="4"/>
  <c r="F28" i="4"/>
  <c r="F29" i="4"/>
  <c r="F30" i="4"/>
  <c r="K52" i="3" l="1"/>
  <c r="L52" i="3" s="1"/>
  <c r="L54" i="3"/>
  <c r="L53" i="3"/>
  <c r="K46" i="3"/>
  <c r="K45" i="3"/>
  <c r="K44" i="3"/>
  <c r="K43" i="3"/>
  <c r="K42" i="3"/>
  <c r="K57" i="3"/>
  <c r="L57" i="3" s="1"/>
  <c r="M56" i="3" s="1"/>
  <c r="K41" i="3"/>
  <c r="K40" i="3"/>
  <c r="K39" i="3"/>
  <c r="K38" i="3"/>
  <c r="K37" i="3"/>
  <c r="K34" i="3"/>
  <c r="K33" i="3"/>
  <c r="K32" i="3"/>
  <c r="K29" i="3"/>
  <c r="K28" i="3"/>
  <c r="K27" i="3"/>
  <c r="K26" i="3"/>
  <c r="K25" i="3"/>
  <c r="K24" i="3"/>
  <c r="K23" i="3"/>
  <c r="K22" i="3"/>
  <c r="K21" i="3"/>
  <c r="K20" i="3"/>
  <c r="K17" i="3"/>
  <c r="K16" i="3"/>
  <c r="K15" i="3"/>
  <c r="K14" i="3"/>
  <c r="K13" i="3"/>
  <c r="K12" i="3"/>
  <c r="K11" i="3"/>
  <c r="C11" i="13"/>
  <c r="D11" i="13"/>
  <c r="C12" i="13"/>
  <c r="D12" i="13"/>
  <c r="E12" i="13"/>
  <c r="C13" i="13"/>
  <c r="D13" i="13"/>
  <c r="E13" i="13"/>
  <c r="C14" i="13"/>
  <c r="D14" i="13"/>
  <c r="E14" i="13"/>
  <c r="C15" i="13"/>
  <c r="D15" i="13"/>
  <c r="E15" i="13"/>
  <c r="C16" i="13"/>
  <c r="D16" i="13"/>
  <c r="E16" i="13"/>
  <c r="C17" i="13"/>
  <c r="D17" i="13"/>
  <c r="C18" i="13"/>
  <c r="D18" i="13"/>
  <c r="E18" i="13"/>
  <c r="C19" i="13"/>
  <c r="D19" i="13"/>
  <c r="E19" i="13"/>
  <c r="C20" i="13"/>
  <c r="D20" i="13"/>
  <c r="C21" i="13"/>
  <c r="D21" i="13"/>
  <c r="E21" i="13"/>
  <c r="C22" i="13"/>
  <c r="D22" i="13"/>
  <c r="E22" i="13"/>
  <c r="C23" i="13"/>
  <c r="D23" i="13"/>
  <c r="E23" i="13"/>
  <c r="C24" i="13"/>
  <c r="D24" i="13"/>
  <c r="E24" i="13"/>
  <c r="C25" i="13"/>
  <c r="D25" i="13"/>
  <c r="E25" i="13"/>
  <c r="C26" i="13"/>
  <c r="D26" i="13"/>
  <c r="C27" i="13"/>
  <c r="D27" i="13"/>
  <c r="E27" i="13"/>
  <c r="C28" i="13"/>
  <c r="D28" i="13"/>
  <c r="E28" i="13"/>
  <c r="C29" i="13"/>
  <c r="D29" i="13"/>
  <c r="E29" i="13"/>
  <c r="C30" i="13"/>
  <c r="D30" i="13"/>
  <c r="E30" i="13"/>
  <c r="C31" i="13"/>
  <c r="D31" i="13"/>
  <c r="E31" i="13"/>
  <c r="C32" i="13"/>
  <c r="D32" i="13"/>
  <c r="E32" i="13"/>
  <c r="C33" i="13"/>
  <c r="D33" i="13"/>
  <c r="E33" i="13"/>
  <c r="C34" i="13"/>
  <c r="D34" i="13"/>
  <c r="C35" i="13"/>
  <c r="D35" i="13"/>
  <c r="E35" i="13"/>
  <c r="C36" i="13"/>
  <c r="D36" i="13"/>
  <c r="E36" i="13"/>
  <c r="C37" i="13"/>
  <c r="D37" i="13"/>
  <c r="E37" i="13"/>
  <c r="C38" i="13"/>
  <c r="D38" i="13"/>
  <c r="E38" i="13"/>
  <c r="C39" i="13"/>
  <c r="D39" i="13"/>
  <c r="E39" i="13"/>
  <c r="C40" i="13"/>
  <c r="D40" i="13"/>
  <c r="E40" i="13"/>
  <c r="C41" i="13"/>
  <c r="D41" i="13"/>
  <c r="C42" i="13"/>
  <c r="D42" i="13"/>
  <c r="E42" i="13"/>
  <c r="C43" i="13"/>
  <c r="D43" i="13"/>
  <c r="E43" i="13"/>
  <c r="C44" i="13"/>
  <c r="D44" i="13"/>
  <c r="E44" i="13"/>
  <c r="C45" i="13"/>
  <c r="D45" i="13"/>
  <c r="E45" i="13"/>
  <c r="C46" i="13"/>
  <c r="D46" i="13"/>
  <c r="E46" i="13"/>
  <c r="C47" i="13"/>
  <c r="D47" i="13"/>
  <c r="E47" i="13"/>
  <c r="C48" i="13"/>
  <c r="D48" i="13"/>
  <c r="E48" i="13"/>
  <c r="C49" i="13"/>
  <c r="D49" i="13"/>
  <c r="E49" i="13"/>
  <c r="C50" i="13"/>
  <c r="D50" i="13"/>
  <c r="E50" i="13"/>
  <c r="C51" i="13"/>
  <c r="D51" i="13"/>
  <c r="E51" i="13"/>
  <c r="C52" i="13"/>
  <c r="D52" i="13"/>
  <c r="E52" i="13"/>
  <c r="C53" i="13"/>
  <c r="D53" i="13"/>
  <c r="E53" i="13"/>
  <c r="C54" i="13"/>
  <c r="D54" i="13"/>
  <c r="E54" i="13"/>
  <c r="C55" i="13"/>
  <c r="D55" i="13"/>
  <c r="E55" i="13"/>
  <c r="C56" i="13"/>
  <c r="D56" i="13"/>
  <c r="E56" i="13"/>
  <c r="C57" i="13"/>
  <c r="D57" i="13"/>
  <c r="E57" i="13"/>
  <c r="C58" i="13"/>
  <c r="D58" i="13"/>
  <c r="E58" i="13"/>
  <c r="C59" i="13"/>
  <c r="D59" i="13"/>
  <c r="E59" i="13"/>
  <c r="C60" i="13"/>
  <c r="D60" i="13"/>
  <c r="E60" i="13"/>
  <c r="C61" i="13"/>
  <c r="D61" i="13"/>
  <c r="E61" i="13"/>
  <c r="C62" i="13"/>
  <c r="D62" i="13"/>
  <c r="E62" i="13"/>
  <c r="C63" i="13"/>
  <c r="D63" i="13"/>
  <c r="E63" i="13"/>
  <c r="C64" i="13"/>
  <c r="D64" i="13"/>
  <c r="C65" i="13"/>
  <c r="D65" i="13"/>
  <c r="E65" i="13"/>
  <c r="C66" i="13"/>
  <c r="D66" i="13"/>
  <c r="E66" i="13"/>
  <c r="C67" i="13"/>
  <c r="D67" i="13"/>
  <c r="E67" i="13"/>
  <c r="C68" i="13"/>
  <c r="D68" i="13"/>
  <c r="C69" i="13"/>
  <c r="D69" i="13"/>
  <c r="E69" i="13"/>
  <c r="C70" i="13"/>
  <c r="D70" i="13"/>
  <c r="E70" i="13"/>
  <c r="C71" i="13"/>
  <c r="D71" i="13"/>
  <c r="C72" i="13"/>
  <c r="D72" i="13"/>
  <c r="E72" i="13"/>
  <c r="C73" i="13"/>
  <c r="D73" i="13"/>
  <c r="E73" i="13"/>
  <c r="C74" i="13"/>
  <c r="D74" i="13"/>
  <c r="E74" i="13"/>
  <c r="C75" i="13"/>
  <c r="D75" i="13"/>
  <c r="E75" i="13"/>
  <c r="C76" i="13"/>
  <c r="D76" i="13"/>
  <c r="E76" i="13"/>
  <c r="C77" i="13"/>
  <c r="D77" i="13"/>
  <c r="E77" i="13"/>
  <c r="C78" i="13"/>
  <c r="D78" i="13"/>
  <c r="E78" i="13"/>
  <c r="C79" i="13"/>
  <c r="D79" i="13"/>
  <c r="E79" i="13"/>
  <c r="C80" i="13"/>
  <c r="D80" i="13"/>
  <c r="E80" i="13"/>
  <c r="C81" i="13"/>
  <c r="D81" i="13"/>
  <c r="E81" i="13"/>
  <c r="C82" i="13"/>
  <c r="D82" i="13"/>
  <c r="E82" i="13"/>
  <c r="C83" i="13"/>
  <c r="D83" i="13"/>
  <c r="E83" i="13"/>
  <c r="C84" i="13"/>
  <c r="D84" i="13"/>
  <c r="E84" i="13"/>
  <c r="C85" i="13"/>
  <c r="D85" i="13"/>
  <c r="E85" i="13"/>
  <c r="C86" i="13"/>
  <c r="D86" i="13"/>
  <c r="E86" i="13"/>
  <c r="C87" i="13"/>
  <c r="D87" i="13"/>
  <c r="E87" i="13"/>
  <c r="C88" i="13"/>
  <c r="D88" i="13"/>
  <c r="E88" i="13"/>
  <c r="C89" i="13"/>
  <c r="D89" i="13"/>
  <c r="E89" i="13"/>
  <c r="C90" i="13"/>
  <c r="D90" i="13"/>
  <c r="E90" i="13"/>
  <c r="C91" i="13"/>
  <c r="D91" i="13"/>
  <c r="E91" i="13"/>
  <c r="C92" i="13"/>
  <c r="D92" i="13"/>
  <c r="E92" i="13"/>
  <c r="C93" i="13"/>
  <c r="D93" i="13"/>
  <c r="E93" i="13"/>
  <c r="C94" i="13"/>
  <c r="D94" i="13"/>
  <c r="E94" i="13"/>
  <c r="C95" i="13"/>
  <c r="D95" i="13"/>
  <c r="E95" i="13"/>
  <c r="C96" i="13"/>
  <c r="D96" i="13"/>
  <c r="E96" i="13"/>
  <c r="C97" i="13"/>
  <c r="D97" i="13"/>
  <c r="E97" i="13"/>
  <c r="C98" i="13"/>
  <c r="D98" i="13"/>
  <c r="E98" i="13"/>
  <c r="C99" i="13"/>
  <c r="D99" i="13"/>
  <c r="E99" i="13"/>
  <c r="C100" i="13"/>
  <c r="D100" i="13"/>
  <c r="E100" i="13"/>
  <c r="C101" i="13"/>
  <c r="D101" i="13"/>
  <c r="E101" i="13"/>
  <c r="C102" i="13"/>
  <c r="D102" i="13"/>
  <c r="E102" i="13"/>
  <c r="C103" i="13"/>
  <c r="D103" i="13"/>
  <c r="E103" i="13"/>
  <c r="C104" i="13"/>
  <c r="D104" i="13"/>
  <c r="E104" i="13"/>
  <c r="C105" i="13"/>
  <c r="D105" i="13"/>
  <c r="E105" i="13"/>
  <c r="C106" i="13"/>
  <c r="D106" i="13"/>
  <c r="E106" i="13"/>
  <c r="C107" i="13"/>
  <c r="D107" i="13"/>
  <c r="E107" i="13"/>
  <c r="C108" i="13"/>
  <c r="D108" i="13"/>
  <c r="E108" i="13"/>
  <c r="C109" i="13"/>
  <c r="D109" i="13"/>
  <c r="E109" i="13"/>
  <c r="C110" i="13"/>
  <c r="D110" i="13"/>
  <c r="E110" i="13"/>
  <c r="C111" i="13"/>
  <c r="D111" i="13"/>
  <c r="E111" i="13"/>
  <c r="C112" i="13"/>
  <c r="D112" i="13"/>
  <c r="E112" i="13"/>
  <c r="C113" i="13"/>
  <c r="D113" i="13"/>
  <c r="E113" i="13"/>
  <c r="C114" i="13"/>
  <c r="D114" i="13"/>
  <c r="E114" i="13"/>
  <c r="C115" i="13"/>
  <c r="D115" i="13"/>
  <c r="E115" i="13"/>
  <c r="C116" i="13"/>
  <c r="D116" i="13"/>
  <c r="E116" i="13"/>
  <c r="C117" i="13"/>
  <c r="D117" i="13"/>
  <c r="E117" i="13"/>
  <c r="C118" i="13"/>
  <c r="D118" i="13"/>
  <c r="E118" i="13"/>
  <c r="C119" i="13"/>
  <c r="D119" i="13"/>
  <c r="E119" i="13"/>
  <c r="C120" i="13"/>
  <c r="D120" i="13"/>
  <c r="E120" i="13"/>
  <c r="C121" i="13"/>
  <c r="D121" i="13"/>
  <c r="E121" i="13"/>
  <c r="C122" i="13"/>
  <c r="D122" i="13"/>
  <c r="E122" i="13"/>
  <c r="C123" i="13"/>
  <c r="D123" i="13"/>
  <c r="E123" i="13"/>
  <c r="C124" i="13"/>
  <c r="D124" i="13"/>
  <c r="E124" i="13"/>
  <c r="C125" i="13"/>
  <c r="D125" i="13"/>
  <c r="E125" i="13"/>
  <c r="C126" i="13"/>
  <c r="D126" i="13"/>
  <c r="E126" i="13"/>
  <c r="C127" i="13"/>
  <c r="D127" i="13"/>
  <c r="E127" i="13"/>
  <c r="C128" i="13"/>
  <c r="E128" i="13"/>
  <c r="C129" i="13"/>
  <c r="D129" i="13"/>
  <c r="E129" i="13"/>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29" i="1"/>
  <c r="G130" i="1"/>
  <c r="G123" i="1"/>
  <c r="G124" i="1"/>
  <c r="G125" i="1"/>
  <c r="G100" i="1"/>
  <c r="G101" i="1"/>
  <c r="G102" i="1"/>
  <c r="G103" i="1"/>
  <c r="G104" i="1"/>
  <c r="G105" i="1"/>
  <c r="G106" i="1"/>
  <c r="G107" i="1"/>
  <c r="G108" i="1"/>
  <c r="G109" i="1"/>
  <c r="G110" i="1"/>
  <c r="G111" i="1"/>
  <c r="G112" i="1"/>
  <c r="G113" i="1"/>
  <c r="G114" i="1"/>
  <c r="G115" i="1"/>
  <c r="G116" i="1"/>
  <c r="G97" i="1"/>
  <c r="G98" i="1"/>
  <c r="G95" i="1"/>
  <c r="G91" i="1"/>
  <c r="G92" i="1"/>
  <c r="G81" i="1"/>
  <c r="G82" i="1"/>
  <c r="G83" i="1"/>
  <c r="G78" i="1"/>
  <c r="G79" i="1"/>
  <c r="G76" i="1"/>
  <c r="G66" i="1"/>
  <c r="G67" i="1"/>
  <c r="G68" i="1"/>
  <c r="G69" i="1"/>
  <c r="G70" i="1"/>
  <c r="G71" i="1"/>
  <c r="G72" i="1"/>
  <c r="G53" i="1"/>
  <c r="G54" i="1"/>
  <c r="G55" i="1"/>
  <c r="G44" i="1"/>
  <c r="G45" i="1"/>
  <c r="G38" i="1"/>
  <c r="G29" i="1"/>
  <c r="G23" i="1"/>
  <c r="G24" i="1"/>
  <c r="G16" i="1"/>
  <c r="G17" i="1"/>
  <c r="G14" i="1"/>
  <c r="G13" i="1"/>
  <c r="G15" i="1"/>
  <c r="G18" i="1"/>
  <c r="G19" i="1"/>
  <c r="G20" i="1"/>
  <c r="G21" i="1"/>
  <c r="G22" i="1"/>
  <c r="G25" i="1"/>
  <c r="G27" i="1"/>
  <c r="G28" i="1"/>
  <c r="G30" i="1"/>
  <c r="G31" i="1"/>
  <c r="G32" i="1"/>
  <c r="G33" i="1"/>
  <c r="G34" i="1"/>
  <c r="G35" i="1"/>
  <c r="G36" i="1"/>
  <c r="G37" i="1"/>
  <c r="G39" i="1"/>
  <c r="G40" i="1"/>
  <c r="G42" i="1"/>
  <c r="G43" i="1"/>
  <c r="G46" i="1"/>
  <c r="G47" i="1"/>
  <c r="G48" i="1"/>
  <c r="G49" i="1"/>
  <c r="G50" i="1"/>
  <c r="G51" i="1"/>
  <c r="G52" i="1"/>
  <c r="G56" i="1"/>
  <c r="G58" i="1"/>
  <c r="G59" i="1"/>
  <c r="G60" i="1"/>
  <c r="G61" i="1"/>
  <c r="G62" i="1"/>
  <c r="G63" i="1"/>
  <c r="G64" i="1"/>
  <c r="G65" i="1"/>
  <c r="G74" i="1"/>
  <c r="G75" i="1"/>
  <c r="G77" i="1"/>
  <c r="G80" i="1"/>
  <c r="G84" i="1"/>
  <c r="G86" i="1"/>
  <c r="G87" i="1"/>
  <c r="G88" i="1"/>
  <c r="G89" i="1"/>
  <c r="G90" i="1"/>
  <c r="G93" i="1"/>
  <c r="G94" i="1"/>
  <c r="G96" i="1"/>
  <c r="G99" i="1"/>
  <c r="G117" i="1"/>
  <c r="G119" i="1"/>
  <c r="G121" i="1"/>
  <c r="G122" i="1"/>
  <c r="G127" i="1"/>
  <c r="G128" i="1"/>
  <c r="L91" i="8"/>
  <c r="D91" i="8" s="1"/>
  <c r="L90" i="8"/>
  <c r="D90" i="8" s="1"/>
  <c r="L89" i="8"/>
  <c r="D89" i="8" s="1"/>
  <c r="L88" i="8"/>
  <c r="D88" i="8" s="1"/>
  <c r="L87" i="8"/>
  <c r="D87" i="8" s="1"/>
  <c r="L86" i="8"/>
  <c r="D86" i="8" s="1"/>
  <c r="L85" i="8"/>
  <c r="D85" i="8" s="1"/>
  <c r="R85" i="8" s="1"/>
  <c r="L84" i="8"/>
  <c r="D84" i="8" s="1"/>
  <c r="L83" i="8"/>
  <c r="D83" i="8" s="1"/>
  <c r="G83" i="8" s="1"/>
  <c r="L82" i="8"/>
  <c r="D82" i="8" s="1"/>
  <c r="L81" i="8"/>
  <c r="D81" i="8" s="1"/>
  <c r="L80" i="8"/>
  <c r="D80" i="8" s="1"/>
  <c r="G80" i="8" s="1"/>
  <c r="L79" i="8"/>
  <c r="D79" i="8" s="1"/>
  <c r="L78" i="8"/>
  <c r="D78" i="8" s="1"/>
  <c r="G78" i="8" s="1"/>
  <c r="L77" i="8"/>
  <c r="D77" i="8" s="1"/>
  <c r="L76" i="8"/>
  <c r="D76" i="8" s="1"/>
  <c r="L75" i="8"/>
  <c r="D75" i="8" s="1"/>
  <c r="G75" i="8" s="1"/>
  <c r="L74" i="8"/>
  <c r="D74" i="8" s="1"/>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K11" i="8"/>
  <c r="K10" i="8"/>
  <c r="K9" i="8"/>
  <c r="K8" i="8"/>
  <c r="G46" i="6"/>
  <c r="B46" i="6"/>
  <c r="H43" i="6"/>
  <c r="C41" i="6"/>
  <c r="H39" i="6"/>
  <c r="C33" i="6"/>
  <c r="H31" i="6"/>
  <c r="H16" i="6"/>
  <c r="C16" i="6"/>
  <c r="H3" i="6"/>
  <c r="C3" i="6"/>
  <c r="H154" i="1" l="1"/>
  <c r="H36" i="1"/>
  <c r="H82" i="1"/>
  <c r="H107" i="1"/>
  <c r="H186" i="1"/>
  <c r="H178" i="1"/>
  <c r="H170" i="1"/>
  <c r="H162" i="1"/>
  <c r="H138" i="1"/>
  <c r="H127" i="1"/>
  <c r="H93" i="1"/>
  <c r="H77" i="1"/>
  <c r="H60" i="1"/>
  <c r="H48" i="1"/>
  <c r="H27" i="1"/>
  <c r="H45" i="1"/>
  <c r="H69" i="1"/>
  <c r="H115" i="1"/>
  <c r="H125" i="1"/>
  <c r="H146" i="1"/>
  <c r="H121" i="1"/>
  <c r="H89" i="1"/>
  <c r="H74" i="1"/>
  <c r="H58" i="1"/>
  <c r="H46" i="1"/>
  <c r="H34" i="1"/>
  <c r="H22" i="1"/>
  <c r="H17" i="1"/>
  <c r="H55" i="1"/>
  <c r="H67" i="1"/>
  <c r="H92" i="1"/>
  <c r="H113" i="1"/>
  <c r="H105" i="1"/>
  <c r="H123" i="1"/>
  <c r="H184" i="1"/>
  <c r="H176" i="1"/>
  <c r="H168" i="1"/>
  <c r="H160" i="1"/>
  <c r="H152" i="1"/>
  <c r="H144" i="1"/>
  <c r="H136" i="1"/>
  <c r="H13" i="1"/>
  <c r="H119" i="1"/>
  <c r="H88" i="1"/>
  <c r="H65" i="1"/>
  <c r="H56" i="1"/>
  <c r="H43" i="1"/>
  <c r="H33" i="1"/>
  <c r="H21" i="1"/>
  <c r="H16" i="1"/>
  <c r="H54" i="1"/>
  <c r="H66" i="1"/>
  <c r="H91" i="1"/>
  <c r="H112" i="1"/>
  <c r="H104" i="1"/>
  <c r="H130" i="1"/>
  <c r="H183" i="1"/>
  <c r="H175" i="1"/>
  <c r="H167" i="1"/>
  <c r="H159" i="1"/>
  <c r="H151" i="1"/>
  <c r="H143" i="1"/>
  <c r="H135" i="1"/>
  <c r="H99" i="1"/>
  <c r="H86" i="1"/>
  <c r="H63" i="1"/>
  <c r="H51" i="1"/>
  <c r="H40" i="1"/>
  <c r="H31" i="1"/>
  <c r="H19" i="1"/>
  <c r="H23" i="1"/>
  <c r="H72" i="1"/>
  <c r="H79" i="1"/>
  <c r="H98" i="1"/>
  <c r="H110" i="1"/>
  <c r="H102" i="1"/>
  <c r="H189" i="1"/>
  <c r="H181" i="1"/>
  <c r="H173" i="1"/>
  <c r="H165" i="1"/>
  <c r="H157" i="1"/>
  <c r="H149" i="1"/>
  <c r="H141" i="1"/>
  <c r="H133" i="1"/>
  <c r="H96" i="1"/>
  <c r="H84" i="1"/>
  <c r="H62" i="1"/>
  <c r="H50" i="1"/>
  <c r="H39" i="1"/>
  <c r="H30" i="1"/>
  <c r="H18" i="1"/>
  <c r="H29" i="1"/>
  <c r="H71" i="1"/>
  <c r="H78" i="1"/>
  <c r="H97" i="1"/>
  <c r="H109" i="1"/>
  <c r="H101" i="1"/>
  <c r="H188" i="1"/>
  <c r="H180" i="1"/>
  <c r="H172" i="1"/>
  <c r="H164" i="1"/>
  <c r="H156" i="1"/>
  <c r="H148" i="1"/>
  <c r="H140" i="1"/>
  <c r="H132" i="1"/>
  <c r="G75" i="12"/>
  <c r="G62" i="12"/>
  <c r="G51" i="12"/>
  <c r="G41" i="12"/>
  <c r="G32" i="12"/>
  <c r="G20" i="12"/>
  <c r="I181" i="2"/>
  <c r="F125" i="13" s="1"/>
  <c r="I173" i="2"/>
  <c r="I165" i="2"/>
  <c r="I157" i="2"/>
  <c r="I149" i="2"/>
  <c r="F93" i="13" s="1"/>
  <c r="I141" i="2"/>
  <c r="I133" i="2"/>
  <c r="I124" i="2"/>
  <c r="I113" i="2"/>
  <c r="I105" i="2"/>
  <c r="F56" i="13" s="1"/>
  <c r="I97" i="2"/>
  <c r="I89" i="2"/>
  <c r="I80" i="2"/>
  <c r="I72" i="2"/>
  <c r="I63" i="2"/>
  <c r="I55" i="2"/>
  <c r="I46" i="2"/>
  <c r="I38" i="2"/>
  <c r="I29" i="2"/>
  <c r="I20" i="2"/>
  <c r="F16" i="13" s="1"/>
  <c r="I12" i="2"/>
  <c r="F13" i="13" s="1"/>
  <c r="I158" i="2"/>
  <c r="G73" i="12"/>
  <c r="G60" i="12"/>
  <c r="G50" i="12"/>
  <c r="G40" i="12"/>
  <c r="G30" i="12"/>
  <c r="G19" i="12"/>
  <c r="I180" i="2"/>
  <c r="F124" i="13" s="1"/>
  <c r="I172" i="2"/>
  <c r="I164" i="2"/>
  <c r="I156" i="2"/>
  <c r="I148" i="2"/>
  <c r="I140" i="2"/>
  <c r="F84" i="13" s="1"/>
  <c r="I132" i="2"/>
  <c r="F76" i="13" s="1"/>
  <c r="I123" i="2"/>
  <c r="I112" i="2"/>
  <c r="F63" i="13" s="1"/>
  <c r="I104" i="2"/>
  <c r="I96" i="2"/>
  <c r="I88" i="2"/>
  <c r="I79" i="2"/>
  <c r="I71" i="2"/>
  <c r="I62" i="2"/>
  <c r="F27" i="13" s="1"/>
  <c r="I54" i="2"/>
  <c r="I45" i="2"/>
  <c r="I36" i="2"/>
  <c r="I28" i="2"/>
  <c r="I19" i="2"/>
  <c r="I11" i="2"/>
  <c r="I134" i="2"/>
  <c r="I21" i="2"/>
  <c r="G71" i="12"/>
  <c r="G58" i="12"/>
  <c r="G49" i="12"/>
  <c r="G39" i="12"/>
  <c r="G29" i="12"/>
  <c r="G17" i="12"/>
  <c r="I179" i="2"/>
  <c r="I171" i="2"/>
  <c r="F115" i="13" s="1"/>
  <c r="I163" i="2"/>
  <c r="F107" i="13" s="1"/>
  <c r="I155" i="2"/>
  <c r="F99" i="13" s="1"/>
  <c r="I147" i="2"/>
  <c r="I139" i="2"/>
  <c r="I131" i="2"/>
  <c r="I121" i="2"/>
  <c r="I111" i="2"/>
  <c r="I103" i="2"/>
  <c r="F54" i="13" s="1"/>
  <c r="I95" i="2"/>
  <c r="I87" i="2"/>
  <c r="I78" i="2"/>
  <c r="I70" i="2"/>
  <c r="I61" i="2"/>
  <c r="I52" i="2"/>
  <c r="I44" i="2"/>
  <c r="I35" i="2"/>
  <c r="I27" i="2"/>
  <c r="I18" i="2"/>
  <c r="I10" i="2"/>
  <c r="F12" i="13" s="1"/>
  <c r="I174" i="2"/>
  <c r="G18" i="12"/>
  <c r="G69" i="12"/>
  <c r="G56" i="12"/>
  <c r="G46" i="12"/>
  <c r="G38" i="12"/>
  <c r="G28" i="12"/>
  <c r="I9" i="2"/>
  <c r="I178" i="2"/>
  <c r="F122" i="13" s="1"/>
  <c r="I170" i="2"/>
  <c r="F114" i="13" s="1"/>
  <c r="I162" i="2"/>
  <c r="F106" i="13" s="1"/>
  <c r="I154" i="2"/>
  <c r="F98" i="13" s="1"/>
  <c r="I146" i="2"/>
  <c r="F90" i="13" s="1"/>
  <c r="I138" i="2"/>
  <c r="F82" i="13" s="1"/>
  <c r="I130" i="2"/>
  <c r="F74" i="13" s="1"/>
  <c r="I120" i="2"/>
  <c r="I110" i="2"/>
  <c r="I102" i="2"/>
  <c r="I94" i="2"/>
  <c r="I86" i="2"/>
  <c r="I77" i="2"/>
  <c r="F38" i="13" s="1"/>
  <c r="I68" i="2"/>
  <c r="F33" i="13" s="1"/>
  <c r="I60" i="2"/>
  <c r="I51" i="2"/>
  <c r="F25" i="13" s="1"/>
  <c r="I43" i="2"/>
  <c r="I34" i="2"/>
  <c r="F19" i="13" s="1"/>
  <c r="I26" i="2"/>
  <c r="I17" i="2"/>
  <c r="G81" i="12"/>
  <c r="G68" i="12"/>
  <c r="G55" i="12"/>
  <c r="G45" i="12"/>
  <c r="G36" i="12"/>
  <c r="G27" i="12"/>
  <c r="I185" i="2"/>
  <c r="I177" i="2"/>
  <c r="F121" i="13" s="1"/>
  <c r="I169" i="2"/>
  <c r="F113" i="13" s="1"/>
  <c r="I161" i="2"/>
  <c r="F105" i="13" s="1"/>
  <c r="I153" i="2"/>
  <c r="F97" i="13" s="1"/>
  <c r="I145" i="2"/>
  <c r="I137" i="2"/>
  <c r="I129" i="2"/>
  <c r="I119" i="2"/>
  <c r="F65" i="13" s="1"/>
  <c r="I109" i="2"/>
  <c r="I101" i="2"/>
  <c r="F52" i="13" s="1"/>
  <c r="I93" i="2"/>
  <c r="I85" i="2"/>
  <c r="I76" i="2"/>
  <c r="I67" i="2"/>
  <c r="I59" i="2"/>
  <c r="I50" i="2"/>
  <c r="F24" i="13" s="1"/>
  <c r="I42" i="2"/>
  <c r="I33" i="2"/>
  <c r="I25" i="2"/>
  <c r="F18" i="13" s="1"/>
  <c r="I16" i="2"/>
  <c r="I182" i="2"/>
  <c r="G80" i="12"/>
  <c r="G67" i="12"/>
  <c r="G54" i="12"/>
  <c r="G44" i="12"/>
  <c r="G35" i="12"/>
  <c r="G26" i="12"/>
  <c r="I184" i="2"/>
  <c r="F128" i="13" s="1"/>
  <c r="I176" i="2"/>
  <c r="I168" i="2"/>
  <c r="I160" i="2"/>
  <c r="F104" i="13" s="1"/>
  <c r="I152" i="2"/>
  <c r="I144" i="2"/>
  <c r="I136" i="2"/>
  <c r="F80" i="13" s="1"/>
  <c r="I128" i="2"/>
  <c r="I118" i="2"/>
  <c r="I108" i="2"/>
  <c r="I100" i="2"/>
  <c r="I92" i="2"/>
  <c r="I84" i="2"/>
  <c r="I75" i="2"/>
  <c r="I66" i="2"/>
  <c r="F31" i="13" s="1"/>
  <c r="I58" i="2"/>
  <c r="I49" i="2"/>
  <c r="F23" i="13" s="1"/>
  <c r="I41" i="2"/>
  <c r="I32" i="2"/>
  <c r="I24" i="2"/>
  <c r="I15" i="2"/>
  <c r="G78" i="12"/>
  <c r="G65" i="12"/>
  <c r="G53" i="12"/>
  <c r="G43" i="12"/>
  <c r="G34" i="12"/>
  <c r="G25" i="12"/>
  <c r="I183" i="2"/>
  <c r="I175" i="2"/>
  <c r="I167" i="2"/>
  <c r="I159" i="2"/>
  <c r="I151" i="2"/>
  <c r="F95" i="13" s="1"/>
  <c r="I143" i="2"/>
  <c r="I135" i="2"/>
  <c r="I126" i="2"/>
  <c r="F70" i="13" s="1"/>
  <c r="I117" i="2"/>
  <c r="I107" i="2"/>
  <c r="F58" i="13" s="1"/>
  <c r="I99" i="2"/>
  <c r="I91" i="2"/>
  <c r="F44" i="13" s="1"/>
  <c r="I83" i="2"/>
  <c r="I74" i="2"/>
  <c r="F36" i="13" s="1"/>
  <c r="I65" i="2"/>
  <c r="I57" i="2"/>
  <c r="I48" i="2"/>
  <c r="I40" i="2"/>
  <c r="F21" i="13" s="1"/>
  <c r="I31" i="2"/>
  <c r="I23" i="2"/>
  <c r="I14" i="2"/>
  <c r="I150" i="2"/>
  <c r="G77" i="12"/>
  <c r="G64" i="12"/>
  <c r="G52" i="12"/>
  <c r="G42" i="12"/>
  <c r="G33" i="12"/>
  <c r="G22" i="12"/>
  <c r="I166" i="2"/>
  <c r="F110" i="13" s="1"/>
  <c r="I142" i="2"/>
  <c r="F86" i="13" s="1"/>
  <c r="I125" i="2"/>
  <c r="I115" i="2"/>
  <c r="I106" i="2"/>
  <c r="F57" i="13" s="1"/>
  <c r="I98" i="2"/>
  <c r="I90" i="2"/>
  <c r="I82" i="2"/>
  <c r="I73" i="2"/>
  <c r="I64" i="2"/>
  <c r="F29" i="13" s="1"/>
  <c r="I56" i="2"/>
  <c r="I47" i="2"/>
  <c r="I39" i="2"/>
  <c r="I30" i="2"/>
  <c r="I13" i="2"/>
  <c r="H128" i="1"/>
  <c r="H94" i="1"/>
  <c r="H80" i="1"/>
  <c r="H61" i="1"/>
  <c r="H49" i="1"/>
  <c r="H37" i="1"/>
  <c r="H28" i="1"/>
  <c r="H15" i="1"/>
  <c r="H38" i="1"/>
  <c r="H70" i="1"/>
  <c r="H83" i="1"/>
  <c r="H116" i="1"/>
  <c r="H108" i="1"/>
  <c r="H100" i="1"/>
  <c r="H187" i="1"/>
  <c r="H179" i="1"/>
  <c r="H171" i="1"/>
  <c r="H163" i="1"/>
  <c r="H155" i="1"/>
  <c r="H147" i="1"/>
  <c r="H139" i="1"/>
  <c r="F127" i="13"/>
  <c r="F119" i="13"/>
  <c r="F111" i="13"/>
  <c r="F103" i="13"/>
  <c r="F87" i="13"/>
  <c r="F79" i="13"/>
  <c r="F35" i="13"/>
  <c r="F32" i="13"/>
  <c r="F15" i="13"/>
  <c r="F100" i="13"/>
  <c r="F59" i="13"/>
  <c r="F43" i="13"/>
  <c r="F40" i="13"/>
  <c r="F116" i="13"/>
  <c r="F108" i="13"/>
  <c r="F92" i="13"/>
  <c r="H122" i="1"/>
  <c r="H90" i="1"/>
  <c r="H75" i="1"/>
  <c r="H59" i="1"/>
  <c r="H47" i="1"/>
  <c r="H35" i="1"/>
  <c r="H25" i="1"/>
  <c r="H14" i="1"/>
  <c r="H44" i="1"/>
  <c r="H68" i="1"/>
  <c r="H81" i="1"/>
  <c r="H114" i="1"/>
  <c r="H106" i="1"/>
  <c r="H124" i="1"/>
  <c r="H185" i="1"/>
  <c r="H177" i="1"/>
  <c r="H169" i="1"/>
  <c r="H161" i="1"/>
  <c r="H153" i="1"/>
  <c r="H145" i="1"/>
  <c r="H137" i="1"/>
  <c r="F129" i="13"/>
  <c r="F89" i="13"/>
  <c r="F81" i="13"/>
  <c r="F67" i="13"/>
  <c r="F48" i="13"/>
  <c r="F37" i="13"/>
  <c r="F126" i="13"/>
  <c r="F118" i="13"/>
  <c r="F102" i="13"/>
  <c r="F78" i="13"/>
  <c r="F61" i="13"/>
  <c r="F53" i="13"/>
  <c r="F14" i="13"/>
  <c r="F75" i="13"/>
  <c r="F39" i="13"/>
  <c r="F28" i="13"/>
  <c r="F123" i="13"/>
  <c r="F91" i="13"/>
  <c r="F83" i="13"/>
  <c r="H117" i="1"/>
  <c r="H87" i="1"/>
  <c r="H64" i="1"/>
  <c r="H52" i="1"/>
  <c r="H42" i="1"/>
  <c r="H32" i="1"/>
  <c r="H20" i="1"/>
  <c r="H24" i="1"/>
  <c r="H53" i="1"/>
  <c r="H76" i="1"/>
  <c r="H95" i="1"/>
  <c r="H111" i="1"/>
  <c r="H103" i="1"/>
  <c r="H129" i="1"/>
  <c r="H182" i="1"/>
  <c r="H174" i="1"/>
  <c r="H166" i="1"/>
  <c r="H158" i="1"/>
  <c r="H150" i="1"/>
  <c r="H142" i="1"/>
  <c r="H134" i="1"/>
  <c r="F120" i="13"/>
  <c r="F112" i="13"/>
  <c r="F96" i="13"/>
  <c r="F88" i="13"/>
  <c r="F69" i="13"/>
  <c r="F66" i="13"/>
  <c r="F55" i="13"/>
  <c r="F117" i="13"/>
  <c r="F109" i="13"/>
  <c r="F101" i="13"/>
  <c r="F85" i="13"/>
  <c r="F77" i="13"/>
  <c r="F60" i="13"/>
  <c r="F30" i="13"/>
  <c r="E81" i="8"/>
  <c r="G81" i="8"/>
  <c r="G89" i="8"/>
  <c r="C46" i="6"/>
  <c r="G12" i="4" s="1"/>
  <c r="G19" i="4" s="1"/>
  <c r="H46" i="6"/>
  <c r="J49" i="3" s="1"/>
  <c r="G76" i="8"/>
  <c r="E76" i="8"/>
  <c r="E77" i="8"/>
  <c r="G77" i="8"/>
  <c r="G87" i="8"/>
  <c r="E87" i="8"/>
  <c r="E90" i="8"/>
  <c r="E91" i="8"/>
  <c r="G90" i="8"/>
  <c r="G91" i="8"/>
  <c r="E82" i="8"/>
  <c r="E83" i="8"/>
  <c r="G82" i="8"/>
  <c r="G88" i="8"/>
  <c r="E88" i="8"/>
  <c r="E89" i="8"/>
  <c r="G79" i="8"/>
  <c r="E79" i="8"/>
  <c r="E74" i="8"/>
  <c r="F74" i="8" s="1"/>
  <c r="E75" i="8"/>
  <c r="G74" i="8"/>
  <c r="G84" i="8"/>
  <c r="E84" i="8"/>
  <c r="E85" i="8"/>
  <c r="G85" i="8"/>
  <c r="G86" i="8"/>
  <c r="E78" i="8"/>
  <c r="E86" i="8"/>
  <c r="E80" i="8"/>
  <c r="F80" i="8" s="1"/>
  <c r="F81" i="8" l="1"/>
  <c r="G26" i="4"/>
  <c r="G17" i="4"/>
  <c r="G20" i="4"/>
  <c r="G21" i="4"/>
  <c r="G22" i="4"/>
  <c r="G23" i="4"/>
  <c r="G13" i="4"/>
  <c r="G24" i="4"/>
  <c r="G14" i="4"/>
  <c r="G25" i="4"/>
  <c r="G15" i="4"/>
  <c r="G16" i="4"/>
  <c r="G18" i="4"/>
  <c r="F75" i="8"/>
  <c r="F76" i="8" s="1"/>
  <c r="F77" i="8" s="1"/>
  <c r="F78" i="8" s="1"/>
  <c r="F79" i="8" s="1"/>
  <c r="F82" i="8"/>
  <c r="F83" i="8" s="1"/>
  <c r="F84" i="8" s="1"/>
  <c r="F85" i="8" s="1"/>
  <c r="F86" i="8" s="1"/>
  <c r="F87" i="8" s="1"/>
  <c r="F88" i="8" s="1"/>
  <c r="F89" i="8" s="1"/>
  <c r="F90" i="8" s="1"/>
  <c r="F91" i="8" s="1"/>
  <c r="H31" i="4" l="1"/>
  <c r="H33" i="4" s="1"/>
  <c r="H30" i="4"/>
  <c r="F31" i="4"/>
  <c r="H29" i="4"/>
  <c r="H28" i="4"/>
  <c r="F33" i="4"/>
  <c r="H24" i="4"/>
  <c r="H21" i="4"/>
  <c r="H20" i="4"/>
  <c r="H14" i="4"/>
  <c r="H13" i="4"/>
  <c r="H12" i="4"/>
  <c r="I12" i="4" s="1"/>
  <c r="G31" i="4"/>
  <c r="G33" i="4" s="1"/>
  <c r="I5" i="4" a="1"/>
  <c r="I5" i="4" s="1"/>
  <c r="L46" i="3"/>
  <c r="L42" i="3"/>
  <c r="L34" i="3"/>
  <c r="L41" i="3"/>
  <c r="L29" i="3"/>
  <c r="L28" i="3"/>
  <c r="L26" i="3"/>
  <c r="L25" i="3"/>
  <c r="L24" i="3"/>
  <c r="L23" i="3"/>
  <c r="L11" i="3"/>
  <c r="H6" i="3"/>
  <c r="AG185" i="2"/>
  <c r="AD185" i="2"/>
  <c r="AA185" i="2"/>
  <c r="X185" i="2"/>
  <c r="U185" i="2"/>
  <c r="R185" i="2"/>
  <c r="O185" i="2"/>
  <c r="L185" i="2"/>
  <c r="AG184" i="2"/>
  <c r="AD184" i="2"/>
  <c r="AA184" i="2"/>
  <c r="X184" i="2"/>
  <c r="U184" i="2"/>
  <c r="R184" i="2"/>
  <c r="O184" i="2"/>
  <c r="L184" i="2"/>
  <c r="AG183" i="2"/>
  <c r="AD183" i="2"/>
  <c r="AA183" i="2"/>
  <c r="X183" i="2"/>
  <c r="U183" i="2"/>
  <c r="R183" i="2"/>
  <c r="O183" i="2"/>
  <c r="L183" i="2"/>
  <c r="AG182" i="2"/>
  <c r="AD182" i="2"/>
  <c r="AA182" i="2"/>
  <c r="X182" i="2"/>
  <c r="U182" i="2"/>
  <c r="R182" i="2"/>
  <c r="O182" i="2"/>
  <c r="L182" i="2"/>
  <c r="AG181" i="2"/>
  <c r="AD181" i="2"/>
  <c r="AA181" i="2"/>
  <c r="X181" i="2"/>
  <c r="U181" i="2"/>
  <c r="R181" i="2"/>
  <c r="O181" i="2"/>
  <c r="L181" i="2"/>
  <c r="AG180" i="2"/>
  <c r="AD180" i="2"/>
  <c r="AA180" i="2"/>
  <c r="X180" i="2"/>
  <c r="U180" i="2"/>
  <c r="R180" i="2"/>
  <c r="O180" i="2"/>
  <c r="L180" i="2"/>
  <c r="AG179" i="2"/>
  <c r="AD179" i="2"/>
  <c r="AA179" i="2"/>
  <c r="X179" i="2"/>
  <c r="U179" i="2"/>
  <c r="R179" i="2"/>
  <c r="O179" i="2"/>
  <c r="L179" i="2"/>
  <c r="AG178" i="2"/>
  <c r="AD178" i="2"/>
  <c r="AA178" i="2"/>
  <c r="X178" i="2"/>
  <c r="U178" i="2"/>
  <c r="R178" i="2"/>
  <c r="O178" i="2"/>
  <c r="L178" i="2"/>
  <c r="AG177" i="2"/>
  <c r="AD177" i="2"/>
  <c r="AA177" i="2"/>
  <c r="X177" i="2"/>
  <c r="U177" i="2"/>
  <c r="R177" i="2"/>
  <c r="O177" i="2"/>
  <c r="L177" i="2"/>
  <c r="AG176" i="2"/>
  <c r="AD176" i="2"/>
  <c r="AA176" i="2"/>
  <c r="X176" i="2"/>
  <c r="U176" i="2"/>
  <c r="R176" i="2"/>
  <c r="O176" i="2"/>
  <c r="L176" i="2"/>
  <c r="AG175" i="2"/>
  <c r="AD175" i="2"/>
  <c r="AA175" i="2"/>
  <c r="X175" i="2"/>
  <c r="U175" i="2"/>
  <c r="R175" i="2"/>
  <c r="O175" i="2"/>
  <c r="L175" i="2"/>
  <c r="AG174" i="2"/>
  <c r="AD174" i="2"/>
  <c r="AA174" i="2"/>
  <c r="X174" i="2"/>
  <c r="U174" i="2"/>
  <c r="R174" i="2"/>
  <c r="O174" i="2"/>
  <c r="L174" i="2"/>
  <c r="AG173" i="2"/>
  <c r="AD173" i="2"/>
  <c r="AA173" i="2"/>
  <c r="X173" i="2"/>
  <c r="U173" i="2"/>
  <c r="R173" i="2"/>
  <c r="O173" i="2"/>
  <c r="L173" i="2"/>
  <c r="AG172" i="2"/>
  <c r="AD172" i="2"/>
  <c r="AA172" i="2"/>
  <c r="X172" i="2"/>
  <c r="U172" i="2"/>
  <c r="R172" i="2"/>
  <c r="O172" i="2"/>
  <c r="L172" i="2"/>
  <c r="AG171" i="2"/>
  <c r="AD171" i="2"/>
  <c r="AA171" i="2"/>
  <c r="X171" i="2"/>
  <c r="U171" i="2"/>
  <c r="R171" i="2"/>
  <c r="O171" i="2"/>
  <c r="L171" i="2"/>
  <c r="AG170" i="2"/>
  <c r="AD170" i="2"/>
  <c r="AA170" i="2"/>
  <c r="X170" i="2"/>
  <c r="U170" i="2"/>
  <c r="R170" i="2"/>
  <c r="O170" i="2"/>
  <c r="L170" i="2"/>
  <c r="AG169" i="2"/>
  <c r="AD169" i="2"/>
  <c r="AA169" i="2"/>
  <c r="X169" i="2"/>
  <c r="U169" i="2"/>
  <c r="R169" i="2"/>
  <c r="O169" i="2"/>
  <c r="L169" i="2"/>
  <c r="AG168" i="2"/>
  <c r="AD168" i="2"/>
  <c r="AA168" i="2"/>
  <c r="X168" i="2"/>
  <c r="U168" i="2"/>
  <c r="R168" i="2"/>
  <c r="O168" i="2"/>
  <c r="L168" i="2"/>
  <c r="AG167" i="2"/>
  <c r="AD167" i="2"/>
  <c r="AA167" i="2"/>
  <c r="X167" i="2"/>
  <c r="U167" i="2"/>
  <c r="R167" i="2"/>
  <c r="O167" i="2"/>
  <c r="L167" i="2"/>
  <c r="AG166" i="2"/>
  <c r="AD166" i="2"/>
  <c r="AA166" i="2"/>
  <c r="X166" i="2"/>
  <c r="U166" i="2"/>
  <c r="R166" i="2"/>
  <c r="O166" i="2"/>
  <c r="L166" i="2"/>
  <c r="AG165" i="2"/>
  <c r="AD165" i="2"/>
  <c r="AA165" i="2"/>
  <c r="X165" i="2"/>
  <c r="U165" i="2"/>
  <c r="R165" i="2"/>
  <c r="O165" i="2"/>
  <c r="L165" i="2"/>
  <c r="AG164" i="2"/>
  <c r="AD164" i="2"/>
  <c r="AA164" i="2"/>
  <c r="X164" i="2"/>
  <c r="U164" i="2"/>
  <c r="R164" i="2"/>
  <c r="O164" i="2"/>
  <c r="L164" i="2"/>
  <c r="AG163" i="2"/>
  <c r="AD163" i="2"/>
  <c r="AA163" i="2"/>
  <c r="X163" i="2"/>
  <c r="U163" i="2"/>
  <c r="R163" i="2"/>
  <c r="O163" i="2"/>
  <c r="L163" i="2"/>
  <c r="AG162" i="2"/>
  <c r="AD162" i="2"/>
  <c r="AA162" i="2"/>
  <c r="X162" i="2"/>
  <c r="U162" i="2"/>
  <c r="R162" i="2"/>
  <c r="O162" i="2"/>
  <c r="L162" i="2"/>
  <c r="AG161" i="2"/>
  <c r="AD161" i="2"/>
  <c r="AA161" i="2"/>
  <c r="X161" i="2"/>
  <c r="U161" i="2"/>
  <c r="R161" i="2"/>
  <c r="O161" i="2"/>
  <c r="L161" i="2"/>
  <c r="AG160" i="2"/>
  <c r="AD160" i="2"/>
  <c r="AA160" i="2"/>
  <c r="X160" i="2"/>
  <c r="U160" i="2"/>
  <c r="R160" i="2"/>
  <c r="O160" i="2"/>
  <c r="L160" i="2"/>
  <c r="AG159" i="2"/>
  <c r="AD159" i="2"/>
  <c r="AA159" i="2"/>
  <c r="X159" i="2"/>
  <c r="U159" i="2"/>
  <c r="R159" i="2"/>
  <c r="O159" i="2"/>
  <c r="L159" i="2"/>
  <c r="AG158" i="2"/>
  <c r="AD158" i="2"/>
  <c r="AA158" i="2"/>
  <c r="X158" i="2"/>
  <c r="U158" i="2"/>
  <c r="R158" i="2"/>
  <c r="O158" i="2"/>
  <c r="L158" i="2"/>
  <c r="AG157" i="2"/>
  <c r="AD157" i="2"/>
  <c r="AA157" i="2"/>
  <c r="X157" i="2"/>
  <c r="U157" i="2"/>
  <c r="R157" i="2"/>
  <c r="O157" i="2"/>
  <c r="L157" i="2"/>
  <c r="AG156" i="2"/>
  <c r="AD156" i="2"/>
  <c r="AA156" i="2"/>
  <c r="X156" i="2"/>
  <c r="U156" i="2"/>
  <c r="R156" i="2"/>
  <c r="O156" i="2"/>
  <c r="L156" i="2"/>
  <c r="AG155" i="2"/>
  <c r="AD155" i="2"/>
  <c r="AA155" i="2"/>
  <c r="X155" i="2"/>
  <c r="U155" i="2"/>
  <c r="R155" i="2"/>
  <c r="O155" i="2"/>
  <c r="L155" i="2"/>
  <c r="AG154" i="2"/>
  <c r="AD154" i="2"/>
  <c r="AA154" i="2"/>
  <c r="X154" i="2"/>
  <c r="U154" i="2"/>
  <c r="R154" i="2"/>
  <c r="O154" i="2"/>
  <c r="L154" i="2"/>
  <c r="AG153" i="2"/>
  <c r="AD153" i="2"/>
  <c r="AA153" i="2"/>
  <c r="X153" i="2"/>
  <c r="U153" i="2"/>
  <c r="R153" i="2"/>
  <c r="O153" i="2"/>
  <c r="L153" i="2"/>
  <c r="AG152" i="2"/>
  <c r="AD152" i="2"/>
  <c r="AA152" i="2"/>
  <c r="X152" i="2"/>
  <c r="U152" i="2"/>
  <c r="R152" i="2"/>
  <c r="O152" i="2"/>
  <c r="L152" i="2"/>
  <c r="AG151" i="2"/>
  <c r="AD151" i="2"/>
  <c r="AA151" i="2"/>
  <c r="X151" i="2"/>
  <c r="U151" i="2"/>
  <c r="R151" i="2"/>
  <c r="O151" i="2"/>
  <c r="L151" i="2"/>
  <c r="AG150" i="2"/>
  <c r="AD150" i="2"/>
  <c r="AA150" i="2"/>
  <c r="X150" i="2"/>
  <c r="U150" i="2"/>
  <c r="R150" i="2"/>
  <c r="O150" i="2"/>
  <c r="L150" i="2"/>
  <c r="AG149" i="2"/>
  <c r="AD149" i="2"/>
  <c r="AA149" i="2"/>
  <c r="X149" i="2"/>
  <c r="U149" i="2"/>
  <c r="R149" i="2"/>
  <c r="O149" i="2"/>
  <c r="L149" i="2"/>
  <c r="AG148" i="2"/>
  <c r="AD148" i="2"/>
  <c r="AA148" i="2"/>
  <c r="X148" i="2"/>
  <c r="U148" i="2"/>
  <c r="R148" i="2"/>
  <c r="O148" i="2"/>
  <c r="L148" i="2"/>
  <c r="AG147" i="2"/>
  <c r="AD147" i="2"/>
  <c r="AA147" i="2"/>
  <c r="X147" i="2"/>
  <c r="U147" i="2"/>
  <c r="R147" i="2"/>
  <c r="O147" i="2"/>
  <c r="L147" i="2"/>
  <c r="AG146" i="2"/>
  <c r="AD146" i="2"/>
  <c r="AA146" i="2"/>
  <c r="X146" i="2"/>
  <c r="U146" i="2"/>
  <c r="R146" i="2"/>
  <c r="O146" i="2"/>
  <c r="L146" i="2"/>
  <c r="AG145" i="2"/>
  <c r="AD145" i="2"/>
  <c r="AA145" i="2"/>
  <c r="X145" i="2"/>
  <c r="U145" i="2"/>
  <c r="R145" i="2"/>
  <c r="O145" i="2"/>
  <c r="L145" i="2"/>
  <c r="AG144" i="2"/>
  <c r="AD144" i="2"/>
  <c r="AA144" i="2"/>
  <c r="X144" i="2"/>
  <c r="U144" i="2"/>
  <c r="R144" i="2"/>
  <c r="O144" i="2"/>
  <c r="L144" i="2"/>
  <c r="AG143" i="2"/>
  <c r="AD143" i="2"/>
  <c r="AA143" i="2"/>
  <c r="X143" i="2"/>
  <c r="U143" i="2"/>
  <c r="R143" i="2"/>
  <c r="O143" i="2"/>
  <c r="L143" i="2"/>
  <c r="AG142" i="2"/>
  <c r="AD142" i="2"/>
  <c r="AA142" i="2"/>
  <c r="X142" i="2"/>
  <c r="U142" i="2"/>
  <c r="R142" i="2"/>
  <c r="O142" i="2"/>
  <c r="L142" i="2"/>
  <c r="AG141" i="2"/>
  <c r="AD141" i="2"/>
  <c r="AA141" i="2"/>
  <c r="X141" i="2"/>
  <c r="U141" i="2"/>
  <c r="R141" i="2"/>
  <c r="O141" i="2"/>
  <c r="L141" i="2"/>
  <c r="AG140" i="2"/>
  <c r="AD140" i="2"/>
  <c r="AA140" i="2"/>
  <c r="X140" i="2"/>
  <c r="U140" i="2"/>
  <c r="R140" i="2"/>
  <c r="O140" i="2"/>
  <c r="L140" i="2"/>
  <c r="AG139" i="2"/>
  <c r="AD139" i="2"/>
  <c r="AA139" i="2"/>
  <c r="X139" i="2"/>
  <c r="U139" i="2"/>
  <c r="R139" i="2"/>
  <c r="O139" i="2"/>
  <c r="L139" i="2"/>
  <c r="AG138" i="2"/>
  <c r="AD138" i="2"/>
  <c r="AA138" i="2"/>
  <c r="X138" i="2"/>
  <c r="U138" i="2"/>
  <c r="R138" i="2"/>
  <c r="O138" i="2"/>
  <c r="L138" i="2"/>
  <c r="AG137" i="2"/>
  <c r="AD137" i="2"/>
  <c r="AA137" i="2"/>
  <c r="X137" i="2"/>
  <c r="U137" i="2"/>
  <c r="R137" i="2"/>
  <c r="O137" i="2"/>
  <c r="L137" i="2"/>
  <c r="AG136" i="2"/>
  <c r="AD136" i="2"/>
  <c r="AA136" i="2"/>
  <c r="X136" i="2"/>
  <c r="U136" i="2"/>
  <c r="R136" i="2"/>
  <c r="O136" i="2"/>
  <c r="L136" i="2"/>
  <c r="AG135" i="2"/>
  <c r="AD135" i="2"/>
  <c r="AA135" i="2"/>
  <c r="X135" i="2"/>
  <c r="U135" i="2"/>
  <c r="R135" i="2"/>
  <c r="O135" i="2"/>
  <c r="L135" i="2"/>
  <c r="AG134" i="2"/>
  <c r="AD134" i="2"/>
  <c r="AA134" i="2"/>
  <c r="X134" i="2"/>
  <c r="U134" i="2"/>
  <c r="R134" i="2"/>
  <c r="O134" i="2"/>
  <c r="L134" i="2"/>
  <c r="AG133" i="2"/>
  <c r="AD133" i="2"/>
  <c r="AA133" i="2"/>
  <c r="X133" i="2"/>
  <c r="U133" i="2"/>
  <c r="R133" i="2"/>
  <c r="O133" i="2"/>
  <c r="L133" i="2"/>
  <c r="AG132" i="2"/>
  <c r="AD132" i="2"/>
  <c r="AA132" i="2"/>
  <c r="X132" i="2"/>
  <c r="U132" i="2"/>
  <c r="R132" i="2"/>
  <c r="O132" i="2"/>
  <c r="L132" i="2"/>
  <c r="AG131" i="2"/>
  <c r="AD131" i="2"/>
  <c r="AA131" i="2"/>
  <c r="X131" i="2"/>
  <c r="U131" i="2"/>
  <c r="R131" i="2"/>
  <c r="O131" i="2"/>
  <c r="L131" i="2"/>
  <c r="AG130" i="2"/>
  <c r="AD130" i="2"/>
  <c r="AA130" i="2"/>
  <c r="X130" i="2"/>
  <c r="U130" i="2"/>
  <c r="R130" i="2"/>
  <c r="O130" i="2"/>
  <c r="L130" i="2"/>
  <c r="AG129" i="2"/>
  <c r="AD129" i="2"/>
  <c r="AA129" i="2"/>
  <c r="X129" i="2"/>
  <c r="U129" i="2"/>
  <c r="R129" i="2"/>
  <c r="O129" i="2"/>
  <c r="L129" i="2"/>
  <c r="AG128" i="2"/>
  <c r="AD128" i="2"/>
  <c r="AA128" i="2"/>
  <c r="X128" i="2"/>
  <c r="U128" i="2"/>
  <c r="R128" i="2"/>
  <c r="O128" i="2"/>
  <c r="L128" i="2"/>
  <c r="F127" i="2"/>
  <c r="AG126" i="2"/>
  <c r="AD126" i="2"/>
  <c r="AA126" i="2"/>
  <c r="X126" i="2"/>
  <c r="U126" i="2"/>
  <c r="R126" i="2"/>
  <c r="O126" i="2"/>
  <c r="L126" i="2"/>
  <c r="AG125" i="2"/>
  <c r="AD125" i="2"/>
  <c r="AA125" i="2"/>
  <c r="X125" i="2"/>
  <c r="U125" i="2"/>
  <c r="R125" i="2"/>
  <c r="O125" i="2"/>
  <c r="L125" i="2"/>
  <c r="AG124" i="2"/>
  <c r="AD124" i="2"/>
  <c r="AA124" i="2"/>
  <c r="X124" i="2"/>
  <c r="U124" i="2"/>
  <c r="R124" i="2"/>
  <c r="O124" i="2"/>
  <c r="L124" i="2"/>
  <c r="AG123" i="2"/>
  <c r="AD123" i="2"/>
  <c r="AA123" i="2"/>
  <c r="X123" i="2"/>
  <c r="U123" i="2"/>
  <c r="R123" i="2"/>
  <c r="O123" i="2"/>
  <c r="L123" i="2"/>
  <c r="F122" i="2"/>
  <c r="AG121" i="2"/>
  <c r="AD121" i="2"/>
  <c r="AA121" i="2"/>
  <c r="X121" i="2"/>
  <c r="U121" i="2"/>
  <c r="R121" i="2"/>
  <c r="O121" i="2"/>
  <c r="L121" i="2"/>
  <c r="AG120" i="2"/>
  <c r="AD120" i="2"/>
  <c r="AA120" i="2"/>
  <c r="X120" i="2"/>
  <c r="U120" i="2"/>
  <c r="R120" i="2"/>
  <c r="O120" i="2"/>
  <c r="L120" i="2"/>
  <c r="AG119" i="2"/>
  <c r="AD119" i="2"/>
  <c r="AA119" i="2"/>
  <c r="X119" i="2"/>
  <c r="U119" i="2"/>
  <c r="R119" i="2"/>
  <c r="O119" i="2"/>
  <c r="L119" i="2"/>
  <c r="AG118" i="2"/>
  <c r="AD118" i="2"/>
  <c r="AA118" i="2"/>
  <c r="X118" i="2"/>
  <c r="U118" i="2"/>
  <c r="R118" i="2"/>
  <c r="O118" i="2"/>
  <c r="L118" i="2"/>
  <c r="AG117" i="2"/>
  <c r="AD117" i="2"/>
  <c r="AA117" i="2"/>
  <c r="X117" i="2"/>
  <c r="U117" i="2"/>
  <c r="R117" i="2"/>
  <c r="O117" i="2"/>
  <c r="L117" i="2"/>
  <c r="F116" i="2"/>
  <c r="AG115" i="2"/>
  <c r="AD115" i="2"/>
  <c r="AA115" i="2"/>
  <c r="X115" i="2"/>
  <c r="U115" i="2"/>
  <c r="R115" i="2"/>
  <c r="O115" i="2"/>
  <c r="L115" i="2"/>
  <c r="F114" i="2"/>
  <c r="AG113" i="2"/>
  <c r="AD113" i="2"/>
  <c r="AA113" i="2"/>
  <c r="X113" i="2"/>
  <c r="U113" i="2"/>
  <c r="R113" i="2"/>
  <c r="O113" i="2"/>
  <c r="L113" i="2"/>
  <c r="AG112" i="2"/>
  <c r="AD112" i="2"/>
  <c r="AA112" i="2"/>
  <c r="X112" i="2"/>
  <c r="U112" i="2"/>
  <c r="R112" i="2"/>
  <c r="O112" i="2"/>
  <c r="L112" i="2"/>
  <c r="AG111" i="2"/>
  <c r="AD111" i="2"/>
  <c r="AA111" i="2"/>
  <c r="X111" i="2"/>
  <c r="U111" i="2"/>
  <c r="R111" i="2"/>
  <c r="O111" i="2"/>
  <c r="L111" i="2"/>
  <c r="AG110" i="2"/>
  <c r="AD110" i="2"/>
  <c r="AA110" i="2"/>
  <c r="X110" i="2"/>
  <c r="U110" i="2"/>
  <c r="R110" i="2"/>
  <c r="O110" i="2"/>
  <c r="L110" i="2"/>
  <c r="AG109" i="2"/>
  <c r="AD109" i="2"/>
  <c r="AA109" i="2"/>
  <c r="X109" i="2"/>
  <c r="U109" i="2"/>
  <c r="R109" i="2"/>
  <c r="O109" i="2"/>
  <c r="L109" i="2"/>
  <c r="AG108" i="2"/>
  <c r="AD108" i="2"/>
  <c r="AA108" i="2"/>
  <c r="X108" i="2"/>
  <c r="U108" i="2"/>
  <c r="R108" i="2"/>
  <c r="O108" i="2"/>
  <c r="L108" i="2"/>
  <c r="AG107" i="2"/>
  <c r="AD107" i="2"/>
  <c r="AA107" i="2"/>
  <c r="X107" i="2"/>
  <c r="U107" i="2"/>
  <c r="R107" i="2"/>
  <c r="O107" i="2"/>
  <c r="L107" i="2"/>
  <c r="AG106" i="2"/>
  <c r="AD106" i="2"/>
  <c r="AA106" i="2"/>
  <c r="X106" i="2"/>
  <c r="U106" i="2"/>
  <c r="R106" i="2"/>
  <c r="O106" i="2"/>
  <c r="L106" i="2"/>
  <c r="AG105" i="2"/>
  <c r="AD105" i="2"/>
  <c r="AA105" i="2"/>
  <c r="X105" i="2"/>
  <c r="U105" i="2"/>
  <c r="R105" i="2"/>
  <c r="O105" i="2"/>
  <c r="L105" i="2"/>
  <c r="AG104" i="2"/>
  <c r="AD104" i="2"/>
  <c r="AA104" i="2"/>
  <c r="X104" i="2"/>
  <c r="U104" i="2"/>
  <c r="R104" i="2"/>
  <c r="O104" i="2"/>
  <c r="L104" i="2"/>
  <c r="AG103" i="2"/>
  <c r="AD103" i="2"/>
  <c r="AA103" i="2"/>
  <c r="X103" i="2"/>
  <c r="U103" i="2"/>
  <c r="R103" i="2"/>
  <c r="O103" i="2"/>
  <c r="L103" i="2"/>
  <c r="AG102" i="2"/>
  <c r="AD102" i="2"/>
  <c r="AA102" i="2"/>
  <c r="X102" i="2"/>
  <c r="U102" i="2"/>
  <c r="R102" i="2"/>
  <c r="O102" i="2"/>
  <c r="L102" i="2"/>
  <c r="AG101" i="2"/>
  <c r="AD101" i="2"/>
  <c r="AA101" i="2"/>
  <c r="X101" i="2"/>
  <c r="U101" i="2"/>
  <c r="R101" i="2"/>
  <c r="O101" i="2"/>
  <c r="L101" i="2"/>
  <c r="AG100" i="2"/>
  <c r="AD100" i="2"/>
  <c r="AA100" i="2"/>
  <c r="X100" i="2"/>
  <c r="U100" i="2"/>
  <c r="R100" i="2"/>
  <c r="O100" i="2"/>
  <c r="L100" i="2"/>
  <c r="AG99" i="2"/>
  <c r="AD99" i="2"/>
  <c r="AA99" i="2"/>
  <c r="X99" i="2"/>
  <c r="U99" i="2"/>
  <c r="R99" i="2"/>
  <c r="O99" i="2"/>
  <c r="L99" i="2"/>
  <c r="AG98" i="2"/>
  <c r="AD98" i="2"/>
  <c r="AA98" i="2"/>
  <c r="X98" i="2"/>
  <c r="U98" i="2"/>
  <c r="R98" i="2"/>
  <c r="O98" i="2"/>
  <c r="L98" i="2"/>
  <c r="AG97" i="2"/>
  <c r="AD97" i="2"/>
  <c r="AA97" i="2"/>
  <c r="X97" i="2"/>
  <c r="U97" i="2"/>
  <c r="R97" i="2"/>
  <c r="O97" i="2"/>
  <c r="L97" i="2"/>
  <c r="AG96" i="2"/>
  <c r="AD96" i="2"/>
  <c r="AA96" i="2"/>
  <c r="X96" i="2"/>
  <c r="U96" i="2"/>
  <c r="R96" i="2"/>
  <c r="O96" i="2"/>
  <c r="L96" i="2"/>
  <c r="AG95" i="2"/>
  <c r="AD95" i="2"/>
  <c r="AA95" i="2"/>
  <c r="X95" i="2"/>
  <c r="U95" i="2"/>
  <c r="R95" i="2"/>
  <c r="O95" i="2"/>
  <c r="L95" i="2"/>
  <c r="AG94" i="2"/>
  <c r="AD94" i="2"/>
  <c r="AA94" i="2"/>
  <c r="X94" i="2"/>
  <c r="U94" i="2"/>
  <c r="R94" i="2"/>
  <c r="O94" i="2"/>
  <c r="L94" i="2"/>
  <c r="AG93" i="2"/>
  <c r="AD93" i="2"/>
  <c r="AA93" i="2"/>
  <c r="X93" i="2"/>
  <c r="U93" i="2"/>
  <c r="R93" i="2"/>
  <c r="O93" i="2"/>
  <c r="L93" i="2"/>
  <c r="AG92" i="2"/>
  <c r="AD92" i="2"/>
  <c r="AA92" i="2"/>
  <c r="X92" i="2"/>
  <c r="U92" i="2"/>
  <c r="R92" i="2"/>
  <c r="O92" i="2"/>
  <c r="L92" i="2"/>
  <c r="AG91" i="2"/>
  <c r="AD91" i="2"/>
  <c r="AA91" i="2"/>
  <c r="X91" i="2"/>
  <c r="U91" i="2"/>
  <c r="R91" i="2"/>
  <c r="O91" i="2"/>
  <c r="L91" i="2"/>
  <c r="AG90" i="2"/>
  <c r="AD90" i="2"/>
  <c r="AA90" i="2"/>
  <c r="X90" i="2"/>
  <c r="U90" i="2"/>
  <c r="R90" i="2"/>
  <c r="O90" i="2"/>
  <c r="L90" i="2"/>
  <c r="AG89" i="2"/>
  <c r="AD89" i="2"/>
  <c r="AA89" i="2"/>
  <c r="X89" i="2"/>
  <c r="U89" i="2"/>
  <c r="R89" i="2"/>
  <c r="O89" i="2"/>
  <c r="L89" i="2"/>
  <c r="AG88" i="2"/>
  <c r="AD88" i="2"/>
  <c r="AA88" i="2"/>
  <c r="X88" i="2"/>
  <c r="U88" i="2"/>
  <c r="R88" i="2"/>
  <c r="O88" i="2"/>
  <c r="L88" i="2"/>
  <c r="AG87" i="2"/>
  <c r="AD87" i="2"/>
  <c r="AA87" i="2"/>
  <c r="X87" i="2"/>
  <c r="U87" i="2"/>
  <c r="R87" i="2"/>
  <c r="O87" i="2"/>
  <c r="L87" i="2"/>
  <c r="AG86" i="2"/>
  <c r="AD86" i="2"/>
  <c r="AA86" i="2"/>
  <c r="X86" i="2"/>
  <c r="U86" i="2"/>
  <c r="R86" i="2"/>
  <c r="O86" i="2"/>
  <c r="L86" i="2"/>
  <c r="AG85" i="2"/>
  <c r="AD85" i="2"/>
  <c r="AA85" i="2"/>
  <c r="X85" i="2"/>
  <c r="U85" i="2"/>
  <c r="R85" i="2"/>
  <c r="O85" i="2"/>
  <c r="L85" i="2"/>
  <c r="AG84" i="2"/>
  <c r="AD84" i="2"/>
  <c r="AA84" i="2"/>
  <c r="X84" i="2"/>
  <c r="U84" i="2"/>
  <c r="R84" i="2"/>
  <c r="O84" i="2"/>
  <c r="L84" i="2"/>
  <c r="AG83" i="2"/>
  <c r="AD83" i="2"/>
  <c r="AA83" i="2"/>
  <c r="X83" i="2"/>
  <c r="U83" i="2"/>
  <c r="R83" i="2"/>
  <c r="O83" i="2"/>
  <c r="L83" i="2"/>
  <c r="AG82" i="2"/>
  <c r="AD82" i="2"/>
  <c r="AA82" i="2"/>
  <c r="X82" i="2"/>
  <c r="U82" i="2"/>
  <c r="R82" i="2"/>
  <c r="O82" i="2"/>
  <c r="L82" i="2"/>
  <c r="F81" i="2"/>
  <c r="AG80" i="2"/>
  <c r="AD80" i="2"/>
  <c r="AA80" i="2"/>
  <c r="X80" i="2"/>
  <c r="U80" i="2"/>
  <c r="R80" i="2"/>
  <c r="O80" i="2"/>
  <c r="L80" i="2"/>
  <c r="AG79" i="2"/>
  <c r="AD79" i="2"/>
  <c r="AA79" i="2"/>
  <c r="X79" i="2"/>
  <c r="U79" i="2"/>
  <c r="R79" i="2"/>
  <c r="O79" i="2"/>
  <c r="L79" i="2"/>
  <c r="AG78" i="2"/>
  <c r="AD78" i="2"/>
  <c r="AA78" i="2"/>
  <c r="X78" i="2"/>
  <c r="U78" i="2"/>
  <c r="R78" i="2"/>
  <c r="O78" i="2"/>
  <c r="L78" i="2"/>
  <c r="AG77" i="2"/>
  <c r="AD77" i="2"/>
  <c r="AA77" i="2"/>
  <c r="X77" i="2"/>
  <c r="U77" i="2"/>
  <c r="R77" i="2"/>
  <c r="O77" i="2"/>
  <c r="L77" i="2"/>
  <c r="AG76" i="2"/>
  <c r="AD76" i="2"/>
  <c r="AA76" i="2"/>
  <c r="X76" i="2"/>
  <c r="U76" i="2"/>
  <c r="R76" i="2"/>
  <c r="O76" i="2"/>
  <c r="L76" i="2"/>
  <c r="AG75" i="2"/>
  <c r="AD75" i="2"/>
  <c r="AA75" i="2"/>
  <c r="X75" i="2"/>
  <c r="U75" i="2"/>
  <c r="R75" i="2"/>
  <c r="O75" i="2"/>
  <c r="L75" i="2"/>
  <c r="AG74" i="2"/>
  <c r="AD74" i="2"/>
  <c r="AA74" i="2"/>
  <c r="X74" i="2"/>
  <c r="U74" i="2"/>
  <c r="R74" i="2"/>
  <c r="O74" i="2"/>
  <c r="L74" i="2"/>
  <c r="AG73" i="2"/>
  <c r="AD73" i="2"/>
  <c r="AA73" i="2"/>
  <c r="X73" i="2"/>
  <c r="U73" i="2"/>
  <c r="R73" i="2"/>
  <c r="O73" i="2"/>
  <c r="L73" i="2"/>
  <c r="AG72" i="2"/>
  <c r="AD72" i="2"/>
  <c r="AA72" i="2"/>
  <c r="X72" i="2"/>
  <c r="U72" i="2"/>
  <c r="R72" i="2"/>
  <c r="O72" i="2"/>
  <c r="L72" i="2"/>
  <c r="AG71" i="2"/>
  <c r="AD71" i="2"/>
  <c r="AA71" i="2"/>
  <c r="X71" i="2"/>
  <c r="U71" i="2"/>
  <c r="R71" i="2"/>
  <c r="O71" i="2"/>
  <c r="L71" i="2"/>
  <c r="AG70" i="2"/>
  <c r="AD70" i="2"/>
  <c r="AA70" i="2"/>
  <c r="X70" i="2"/>
  <c r="U70" i="2"/>
  <c r="R70" i="2"/>
  <c r="O70" i="2"/>
  <c r="L70" i="2"/>
  <c r="F69" i="2"/>
  <c r="AG68" i="2"/>
  <c r="AD68" i="2"/>
  <c r="AA68" i="2"/>
  <c r="X68" i="2"/>
  <c r="U68" i="2"/>
  <c r="R68" i="2"/>
  <c r="O68" i="2"/>
  <c r="L68" i="2"/>
  <c r="AG67" i="2"/>
  <c r="AD67" i="2"/>
  <c r="AA67" i="2"/>
  <c r="X67" i="2"/>
  <c r="U67" i="2"/>
  <c r="R67" i="2"/>
  <c r="O67" i="2"/>
  <c r="L67" i="2"/>
  <c r="AG66" i="2"/>
  <c r="AD66" i="2"/>
  <c r="AA66" i="2"/>
  <c r="X66" i="2"/>
  <c r="U66" i="2"/>
  <c r="R66" i="2"/>
  <c r="O66" i="2"/>
  <c r="L66" i="2"/>
  <c r="AG65" i="2"/>
  <c r="AD65" i="2"/>
  <c r="AA65" i="2"/>
  <c r="X65" i="2"/>
  <c r="U65" i="2"/>
  <c r="R65" i="2"/>
  <c r="O65" i="2"/>
  <c r="L65" i="2"/>
  <c r="AG64" i="2"/>
  <c r="AD64" i="2"/>
  <c r="AA64" i="2"/>
  <c r="X64" i="2"/>
  <c r="U64" i="2"/>
  <c r="R64" i="2"/>
  <c r="O64" i="2"/>
  <c r="L64" i="2"/>
  <c r="AG63" i="2"/>
  <c r="AD63" i="2"/>
  <c r="AA63" i="2"/>
  <c r="X63" i="2"/>
  <c r="U63" i="2"/>
  <c r="R63" i="2"/>
  <c r="O63" i="2"/>
  <c r="L63" i="2"/>
  <c r="AG62" i="2"/>
  <c r="AD62" i="2"/>
  <c r="AA62" i="2"/>
  <c r="X62" i="2"/>
  <c r="U62" i="2"/>
  <c r="R62" i="2"/>
  <c r="O62" i="2"/>
  <c r="L62" i="2"/>
  <c r="AG61" i="2"/>
  <c r="AD61" i="2"/>
  <c r="AA61" i="2"/>
  <c r="X61" i="2"/>
  <c r="U61" i="2"/>
  <c r="R61" i="2"/>
  <c r="O61" i="2"/>
  <c r="L61" i="2"/>
  <c r="AG60" i="2"/>
  <c r="AD60" i="2"/>
  <c r="AA60" i="2"/>
  <c r="X60" i="2"/>
  <c r="U60" i="2"/>
  <c r="R60" i="2"/>
  <c r="O60" i="2"/>
  <c r="L60" i="2"/>
  <c r="AG59" i="2"/>
  <c r="AD59" i="2"/>
  <c r="AA59" i="2"/>
  <c r="X59" i="2"/>
  <c r="U59" i="2"/>
  <c r="R59" i="2"/>
  <c r="O59" i="2"/>
  <c r="L59" i="2"/>
  <c r="AG58" i="2"/>
  <c r="AD58" i="2"/>
  <c r="AA58" i="2"/>
  <c r="X58" i="2"/>
  <c r="U58" i="2"/>
  <c r="R58" i="2"/>
  <c r="O58" i="2"/>
  <c r="L58" i="2"/>
  <c r="AG57" i="2"/>
  <c r="AD57" i="2"/>
  <c r="AA57" i="2"/>
  <c r="X57" i="2"/>
  <c r="U57" i="2"/>
  <c r="R57" i="2"/>
  <c r="O57" i="2"/>
  <c r="L57" i="2"/>
  <c r="AG56" i="2"/>
  <c r="AD56" i="2"/>
  <c r="AA56" i="2"/>
  <c r="X56" i="2"/>
  <c r="U56" i="2"/>
  <c r="R56" i="2"/>
  <c r="O56" i="2"/>
  <c r="L56" i="2"/>
  <c r="AG55" i="2"/>
  <c r="AD55" i="2"/>
  <c r="AA55" i="2"/>
  <c r="X55" i="2"/>
  <c r="U55" i="2"/>
  <c r="R55" i="2"/>
  <c r="O55" i="2"/>
  <c r="L55" i="2"/>
  <c r="AG54" i="2"/>
  <c r="AD54" i="2"/>
  <c r="AA54" i="2"/>
  <c r="X54" i="2"/>
  <c r="U54" i="2"/>
  <c r="R54" i="2"/>
  <c r="O54" i="2"/>
  <c r="L54" i="2"/>
  <c r="F53" i="2"/>
  <c r="AG52" i="2"/>
  <c r="AD52" i="2"/>
  <c r="AA52" i="2"/>
  <c r="X52" i="2"/>
  <c r="U52" i="2"/>
  <c r="R52" i="2"/>
  <c r="O52" i="2"/>
  <c r="L52" i="2"/>
  <c r="AG51" i="2"/>
  <c r="AD51" i="2"/>
  <c r="AA51" i="2"/>
  <c r="X51" i="2"/>
  <c r="U51" i="2"/>
  <c r="R51" i="2"/>
  <c r="O51" i="2"/>
  <c r="L51" i="2"/>
  <c r="AG50" i="2"/>
  <c r="AD50" i="2"/>
  <c r="AA50" i="2"/>
  <c r="X50" i="2"/>
  <c r="U50" i="2"/>
  <c r="R50" i="2"/>
  <c r="O50" i="2"/>
  <c r="L50" i="2"/>
  <c r="AG49" i="2"/>
  <c r="AD49" i="2"/>
  <c r="AA49" i="2"/>
  <c r="X49" i="2"/>
  <c r="U49" i="2"/>
  <c r="R49" i="2"/>
  <c r="O49" i="2"/>
  <c r="L49" i="2"/>
  <c r="AG48" i="2"/>
  <c r="AD48" i="2"/>
  <c r="AA48" i="2"/>
  <c r="X48" i="2"/>
  <c r="U48" i="2"/>
  <c r="R48" i="2"/>
  <c r="O48" i="2"/>
  <c r="L48" i="2"/>
  <c r="AG47" i="2"/>
  <c r="AD47" i="2"/>
  <c r="AA47" i="2"/>
  <c r="X47" i="2"/>
  <c r="U47" i="2"/>
  <c r="R47" i="2"/>
  <c r="O47" i="2"/>
  <c r="L47" i="2"/>
  <c r="AG46" i="2"/>
  <c r="AD46" i="2"/>
  <c r="AA46" i="2"/>
  <c r="X46" i="2"/>
  <c r="U46" i="2"/>
  <c r="R46" i="2"/>
  <c r="O46" i="2"/>
  <c r="L46" i="2"/>
  <c r="AG45" i="2"/>
  <c r="AD45" i="2"/>
  <c r="AA45" i="2"/>
  <c r="X45" i="2"/>
  <c r="U45" i="2"/>
  <c r="R45" i="2"/>
  <c r="O45" i="2"/>
  <c r="L45" i="2"/>
  <c r="AG44" i="2"/>
  <c r="AD44" i="2"/>
  <c r="AA44" i="2"/>
  <c r="X44" i="2"/>
  <c r="U44" i="2"/>
  <c r="R44" i="2"/>
  <c r="O44" i="2"/>
  <c r="L44" i="2"/>
  <c r="AG43" i="2"/>
  <c r="AD43" i="2"/>
  <c r="AA43" i="2"/>
  <c r="X43" i="2"/>
  <c r="U43" i="2"/>
  <c r="R43" i="2"/>
  <c r="O43" i="2"/>
  <c r="L43" i="2"/>
  <c r="AG42" i="2"/>
  <c r="AD42" i="2"/>
  <c r="AA42" i="2"/>
  <c r="X42" i="2"/>
  <c r="U42" i="2"/>
  <c r="R42" i="2"/>
  <c r="O42" i="2"/>
  <c r="L42" i="2"/>
  <c r="AG41" i="2"/>
  <c r="AD41" i="2"/>
  <c r="AA41" i="2"/>
  <c r="X41" i="2"/>
  <c r="U41" i="2"/>
  <c r="R41" i="2"/>
  <c r="O41" i="2"/>
  <c r="L41" i="2"/>
  <c r="AG40" i="2"/>
  <c r="AD40" i="2"/>
  <c r="AA40" i="2"/>
  <c r="X40" i="2"/>
  <c r="U40" i="2"/>
  <c r="R40" i="2"/>
  <c r="O40" i="2"/>
  <c r="L40" i="2"/>
  <c r="AG39" i="2"/>
  <c r="AD39" i="2"/>
  <c r="AA39" i="2"/>
  <c r="X39" i="2"/>
  <c r="U39" i="2"/>
  <c r="R39" i="2"/>
  <c r="O39" i="2"/>
  <c r="L39" i="2"/>
  <c r="AG38" i="2"/>
  <c r="AD38" i="2"/>
  <c r="AA38" i="2"/>
  <c r="X38" i="2"/>
  <c r="U38" i="2"/>
  <c r="R38" i="2"/>
  <c r="O38" i="2"/>
  <c r="L38" i="2"/>
  <c r="F37" i="2"/>
  <c r="AG36" i="2"/>
  <c r="AD36" i="2"/>
  <c r="AA36" i="2"/>
  <c r="X36" i="2"/>
  <c r="U36" i="2"/>
  <c r="R36" i="2"/>
  <c r="O36" i="2"/>
  <c r="L36" i="2"/>
  <c r="AG35" i="2"/>
  <c r="AD35" i="2"/>
  <c r="AA35" i="2"/>
  <c r="X35" i="2"/>
  <c r="U35" i="2"/>
  <c r="R35" i="2"/>
  <c r="O35" i="2"/>
  <c r="L35" i="2"/>
  <c r="AG34" i="2"/>
  <c r="AD34" i="2"/>
  <c r="AA34" i="2"/>
  <c r="X34" i="2"/>
  <c r="U34" i="2"/>
  <c r="R34" i="2"/>
  <c r="O34" i="2"/>
  <c r="L34" i="2"/>
  <c r="AG33" i="2"/>
  <c r="AD33" i="2"/>
  <c r="AA33" i="2"/>
  <c r="X33" i="2"/>
  <c r="U33" i="2"/>
  <c r="R33" i="2"/>
  <c r="O33" i="2"/>
  <c r="L33" i="2"/>
  <c r="AG32" i="2"/>
  <c r="AD32" i="2"/>
  <c r="AA32" i="2"/>
  <c r="X32" i="2"/>
  <c r="U32" i="2"/>
  <c r="R32" i="2"/>
  <c r="O32" i="2"/>
  <c r="L32" i="2"/>
  <c r="AG31" i="2"/>
  <c r="AD31" i="2"/>
  <c r="AA31" i="2"/>
  <c r="X31" i="2"/>
  <c r="U31" i="2"/>
  <c r="R31" i="2"/>
  <c r="O31" i="2"/>
  <c r="L31" i="2"/>
  <c r="AG30" i="2"/>
  <c r="AD30" i="2"/>
  <c r="AA30" i="2"/>
  <c r="X30" i="2"/>
  <c r="U30" i="2"/>
  <c r="R30" i="2"/>
  <c r="O30" i="2"/>
  <c r="L30" i="2"/>
  <c r="AG29" i="2"/>
  <c r="AD29" i="2"/>
  <c r="AA29" i="2"/>
  <c r="X29" i="2"/>
  <c r="U29" i="2"/>
  <c r="R29" i="2"/>
  <c r="O29" i="2"/>
  <c r="L29" i="2"/>
  <c r="AG28" i="2"/>
  <c r="AD28" i="2"/>
  <c r="AA28" i="2"/>
  <c r="X28" i="2"/>
  <c r="U28" i="2"/>
  <c r="R28" i="2"/>
  <c r="O28" i="2"/>
  <c r="L28" i="2"/>
  <c r="AG27" i="2"/>
  <c r="AD27" i="2"/>
  <c r="AA27" i="2"/>
  <c r="X27" i="2"/>
  <c r="U27" i="2"/>
  <c r="R27" i="2"/>
  <c r="O27" i="2"/>
  <c r="L27" i="2"/>
  <c r="AG26" i="2"/>
  <c r="AD26" i="2"/>
  <c r="AA26" i="2"/>
  <c r="X26" i="2"/>
  <c r="U26" i="2"/>
  <c r="R26" i="2"/>
  <c r="O26" i="2"/>
  <c r="L26" i="2"/>
  <c r="AG25" i="2"/>
  <c r="AD25" i="2"/>
  <c r="AA25" i="2"/>
  <c r="X25" i="2"/>
  <c r="U25" i="2"/>
  <c r="R25" i="2"/>
  <c r="O25" i="2"/>
  <c r="L25" i="2"/>
  <c r="AG24" i="2"/>
  <c r="AD24" i="2"/>
  <c r="AA24" i="2"/>
  <c r="X24" i="2"/>
  <c r="U24" i="2"/>
  <c r="R24" i="2"/>
  <c r="O24" i="2"/>
  <c r="L24" i="2"/>
  <c r="AG23" i="2"/>
  <c r="AD23" i="2"/>
  <c r="AA23" i="2"/>
  <c r="X23" i="2"/>
  <c r="U23" i="2"/>
  <c r="R23" i="2"/>
  <c r="O23" i="2"/>
  <c r="L23" i="2"/>
  <c r="F22" i="2"/>
  <c r="AG21" i="2"/>
  <c r="AD21" i="2"/>
  <c r="AA21" i="2"/>
  <c r="X21" i="2"/>
  <c r="U21" i="2"/>
  <c r="R21" i="2"/>
  <c r="O21" i="2"/>
  <c r="L21" i="2"/>
  <c r="AG20" i="2"/>
  <c r="AD20" i="2"/>
  <c r="AA20" i="2"/>
  <c r="X20" i="2"/>
  <c r="U20" i="2"/>
  <c r="R20" i="2"/>
  <c r="O20" i="2"/>
  <c r="L20" i="2"/>
  <c r="AG19" i="2"/>
  <c r="AD19" i="2"/>
  <c r="AA19" i="2"/>
  <c r="X19" i="2"/>
  <c r="U19" i="2"/>
  <c r="R19" i="2"/>
  <c r="O19" i="2"/>
  <c r="L19" i="2"/>
  <c r="AG18" i="2"/>
  <c r="AD18" i="2"/>
  <c r="AA18" i="2"/>
  <c r="X18" i="2"/>
  <c r="U18" i="2"/>
  <c r="R18" i="2"/>
  <c r="O18" i="2"/>
  <c r="L18" i="2"/>
  <c r="AG17" i="2"/>
  <c r="AD17" i="2"/>
  <c r="AA17" i="2"/>
  <c r="X17" i="2"/>
  <c r="U17" i="2"/>
  <c r="R17" i="2"/>
  <c r="O17" i="2"/>
  <c r="L17" i="2"/>
  <c r="G17" i="2"/>
  <c r="AG16" i="2"/>
  <c r="AD16" i="2"/>
  <c r="AA16" i="2"/>
  <c r="X16" i="2"/>
  <c r="U16" i="2"/>
  <c r="R16" i="2"/>
  <c r="O16" i="2"/>
  <c r="L16" i="2"/>
  <c r="AG15" i="2"/>
  <c r="AD15" i="2"/>
  <c r="AA15" i="2"/>
  <c r="X15" i="2"/>
  <c r="U15" i="2"/>
  <c r="R15" i="2"/>
  <c r="O15" i="2"/>
  <c r="L15" i="2"/>
  <c r="AG14" i="2"/>
  <c r="AD14" i="2"/>
  <c r="AA14" i="2"/>
  <c r="X14" i="2"/>
  <c r="U14" i="2"/>
  <c r="R14" i="2"/>
  <c r="O14" i="2"/>
  <c r="L14" i="2"/>
  <c r="AG13" i="2"/>
  <c r="AD13" i="2"/>
  <c r="AA13" i="2"/>
  <c r="X13" i="2"/>
  <c r="U13" i="2"/>
  <c r="R13" i="2"/>
  <c r="O13" i="2"/>
  <c r="L13" i="2"/>
  <c r="AG12" i="2"/>
  <c r="AD12" i="2"/>
  <c r="AA12" i="2"/>
  <c r="X12" i="2"/>
  <c r="U12" i="2"/>
  <c r="R12" i="2"/>
  <c r="O12" i="2"/>
  <c r="L12" i="2"/>
  <c r="AG11" i="2"/>
  <c r="AD11" i="2"/>
  <c r="AA11" i="2"/>
  <c r="X11" i="2"/>
  <c r="U11" i="2"/>
  <c r="R11" i="2"/>
  <c r="O11" i="2"/>
  <c r="L11" i="2"/>
  <c r="AG10" i="2"/>
  <c r="AD10" i="2"/>
  <c r="AA10" i="2"/>
  <c r="X10" i="2"/>
  <c r="U10" i="2"/>
  <c r="R10" i="2"/>
  <c r="O10" i="2"/>
  <c r="L10" i="2"/>
  <c r="AG9" i="2"/>
  <c r="AD9" i="2"/>
  <c r="AA9" i="2"/>
  <c r="X9" i="2"/>
  <c r="U9" i="2"/>
  <c r="R9" i="2"/>
  <c r="O9" i="2"/>
  <c r="L9" i="2"/>
  <c r="F8" i="2"/>
  <c r="F21" i="1" l="1"/>
  <c r="G92" i="2"/>
  <c r="F21" i="12"/>
  <c r="G155" i="2"/>
  <c r="G68" i="2"/>
  <c r="G115" i="2"/>
  <c r="F126" i="2"/>
  <c r="G44" i="2"/>
  <c r="F43" i="2"/>
  <c r="G24" i="2"/>
  <c r="F35" i="2"/>
  <c r="I31" i="4"/>
  <c r="F71" i="12"/>
  <c r="H71" i="12" s="1"/>
  <c r="F94" i="2"/>
  <c r="F50" i="2"/>
  <c r="F74" i="2"/>
  <c r="G107" i="2"/>
  <c r="F10" i="2"/>
  <c r="F38" i="2"/>
  <c r="F34" i="2"/>
  <c r="F63" i="2"/>
  <c r="G64" i="2"/>
  <c r="G131" i="2"/>
  <c r="G147" i="2"/>
  <c r="F150" i="2"/>
  <c r="F155" i="2"/>
  <c r="L43" i="3"/>
  <c r="G28" i="2"/>
  <c r="G59" i="2"/>
  <c r="G123" i="2"/>
  <c r="G139" i="2"/>
  <c r="G163" i="2"/>
  <c r="G171" i="2"/>
  <c r="L44" i="3"/>
  <c r="F14" i="2"/>
  <c r="G23" i="2"/>
  <c r="G39" i="2"/>
  <c r="G48" i="2"/>
  <c r="G72" i="2"/>
  <c r="F79" i="2"/>
  <c r="F98" i="2"/>
  <c r="L45" i="3"/>
  <c r="I25" i="4"/>
  <c r="G15" i="2"/>
  <c r="G56" i="2"/>
  <c r="F87" i="2"/>
  <c r="G88" i="2"/>
  <c r="F134" i="2"/>
  <c r="F158" i="2"/>
  <c r="F19" i="2"/>
  <c r="G83" i="2"/>
  <c r="F99" i="2"/>
  <c r="F103" i="2"/>
  <c r="G179" i="2"/>
  <c r="I21" i="1"/>
  <c r="F110" i="2"/>
  <c r="F131" i="2"/>
  <c r="F162" i="2"/>
  <c r="F171" i="2"/>
  <c r="F182" i="2"/>
  <c r="G12" i="2"/>
  <c r="F102" i="2"/>
  <c r="F104" i="2"/>
  <c r="F107" i="2"/>
  <c r="F130" i="2"/>
  <c r="F142" i="2"/>
  <c r="G159" i="2"/>
  <c r="F170" i="2"/>
  <c r="F179" i="2"/>
  <c r="F15" i="2"/>
  <c r="F59" i="2"/>
  <c r="G63" i="2"/>
  <c r="F83" i="2"/>
  <c r="G87" i="2"/>
  <c r="G96" i="2"/>
  <c r="F106" i="2"/>
  <c r="F139" i="2"/>
  <c r="G167" i="2"/>
  <c r="F178" i="2"/>
  <c r="G35" i="2"/>
  <c r="G14" i="2"/>
  <c r="G19" i="2"/>
  <c r="F58" i="2"/>
  <c r="G76" i="2"/>
  <c r="F82" i="2"/>
  <c r="F115" i="2"/>
  <c r="F118" i="2"/>
  <c r="F138" i="2"/>
  <c r="F147" i="2"/>
  <c r="G175" i="2"/>
  <c r="F78" i="2"/>
  <c r="G20" i="2"/>
  <c r="G32" i="2"/>
  <c r="F39" i="2"/>
  <c r="G43" i="2"/>
  <c r="F62" i="2"/>
  <c r="G80" i="2"/>
  <c r="F86" i="2"/>
  <c r="G111" i="2"/>
  <c r="G135" i="2"/>
  <c r="F146" i="2"/>
  <c r="F23" i="2"/>
  <c r="F30" i="2"/>
  <c r="G84" i="2"/>
  <c r="G99" i="2"/>
  <c r="G118" i="2"/>
  <c r="F123" i="2"/>
  <c r="F154" i="2"/>
  <c r="F166" i="2"/>
  <c r="F42" i="2"/>
  <c r="F11" i="2"/>
  <c r="F54" i="2"/>
  <c r="G79" i="2"/>
  <c r="G103" i="2"/>
  <c r="G151" i="2"/>
  <c r="F163" i="2"/>
  <c r="F174" i="2"/>
  <c r="L37" i="3"/>
  <c r="L38" i="3"/>
  <c r="L40" i="3"/>
  <c r="G33" i="2"/>
  <c r="F33" i="2"/>
  <c r="F46" i="2"/>
  <c r="G47" i="2"/>
  <c r="F47" i="2"/>
  <c r="G49" i="2"/>
  <c r="F49" i="2"/>
  <c r="G55" i="2"/>
  <c r="F55" i="2"/>
  <c r="F66" i="2"/>
  <c r="G67" i="2"/>
  <c r="F67" i="2"/>
  <c r="G100" i="2"/>
  <c r="G128" i="2"/>
  <c r="F128" i="2"/>
  <c r="M51" i="3"/>
  <c r="G75" i="2"/>
  <c r="F75" i="2"/>
  <c r="G97" i="2"/>
  <c r="F97" i="2"/>
  <c r="G31" i="2"/>
  <c r="F31" i="2"/>
  <c r="L33" i="3"/>
  <c r="L14" i="3"/>
  <c r="L32" i="3"/>
  <c r="L17" i="3"/>
  <c r="L13" i="3"/>
  <c r="L22" i="3"/>
  <c r="L12" i="3"/>
  <c r="L21" i="3"/>
  <c r="L15" i="3"/>
  <c r="L20" i="3"/>
  <c r="G9" i="2"/>
  <c r="F9" i="2"/>
  <c r="G136" i="2"/>
  <c r="F136" i="2"/>
  <c r="L16" i="3"/>
  <c r="F24" i="2"/>
  <c r="F20" i="2"/>
  <c r="F72" i="2"/>
  <c r="G95" i="2"/>
  <c r="F95" i="2"/>
  <c r="F88" i="2"/>
  <c r="G119" i="2"/>
  <c r="F119" i="2"/>
  <c r="F28" i="2"/>
  <c r="G40" i="2"/>
  <c r="F44" i="2"/>
  <c r="G52" i="2"/>
  <c r="G60" i="2"/>
  <c r="F64" i="2"/>
  <c r="F70" i="2"/>
  <c r="G71" i="2"/>
  <c r="F71" i="2"/>
  <c r="G73" i="2"/>
  <c r="F73" i="2"/>
  <c r="G176" i="2"/>
  <c r="F176" i="2"/>
  <c r="G51" i="2"/>
  <c r="F51" i="2"/>
  <c r="F26" i="2"/>
  <c r="G27" i="2"/>
  <c r="F27" i="2"/>
  <c r="G29" i="2"/>
  <c r="F29" i="2"/>
  <c r="F92" i="2"/>
  <c r="F18" i="2"/>
  <c r="G57" i="2"/>
  <c r="F57" i="2"/>
  <c r="G11" i="2"/>
  <c r="G16" i="2"/>
  <c r="G36" i="2"/>
  <c r="F48" i="2"/>
  <c r="F68" i="2"/>
  <c r="G77" i="2"/>
  <c r="F77" i="2"/>
  <c r="F90" i="2"/>
  <c r="G91" i="2"/>
  <c r="F91" i="2"/>
  <c r="G93" i="2"/>
  <c r="F93" i="2"/>
  <c r="G104" i="2"/>
  <c r="G143" i="2"/>
  <c r="G152" i="2"/>
  <c r="F152" i="2"/>
  <c r="F16" i="2"/>
  <c r="G21" i="2"/>
  <c r="F21" i="2"/>
  <c r="G25" i="2"/>
  <c r="F25" i="2"/>
  <c r="G45" i="2"/>
  <c r="F45" i="2"/>
  <c r="G65" i="2"/>
  <c r="F65" i="2"/>
  <c r="G89" i="2"/>
  <c r="F89" i="2"/>
  <c r="G105" i="2"/>
  <c r="F105" i="2"/>
  <c r="G134" i="2"/>
  <c r="G160" i="2"/>
  <c r="F160" i="2"/>
  <c r="F36" i="2"/>
  <c r="F40" i="2"/>
  <c r="F60" i="2"/>
  <c r="F80" i="2"/>
  <c r="F84" i="2"/>
  <c r="F100" i="2"/>
  <c r="G184" i="2"/>
  <c r="F184" i="2"/>
  <c r="F12" i="2"/>
  <c r="F17" i="2"/>
  <c r="G41" i="2"/>
  <c r="F41" i="2"/>
  <c r="G61" i="2"/>
  <c r="F61" i="2"/>
  <c r="G85" i="2"/>
  <c r="F85" i="2"/>
  <c r="G101" i="2"/>
  <c r="F101" i="2"/>
  <c r="G112" i="2"/>
  <c r="F112" i="2"/>
  <c r="G144" i="2"/>
  <c r="F144" i="2"/>
  <c r="I33" i="4"/>
  <c r="G13" i="2"/>
  <c r="F13" i="2"/>
  <c r="F32" i="2"/>
  <c r="F52" i="2"/>
  <c r="F56" i="2"/>
  <c r="F76" i="2"/>
  <c r="F96" i="2"/>
  <c r="G120" i="2"/>
  <c r="F120" i="2"/>
  <c r="G168" i="2"/>
  <c r="F168" i="2"/>
  <c r="G183" i="2"/>
  <c r="G10" i="2"/>
  <c r="G18" i="2"/>
  <c r="G26" i="2"/>
  <c r="G34" i="2"/>
  <c r="G42" i="2"/>
  <c r="G50" i="2"/>
  <c r="G58" i="2"/>
  <c r="G66" i="2"/>
  <c r="G74" i="2"/>
  <c r="G82" i="2"/>
  <c r="G90" i="2"/>
  <c r="G98" i="2"/>
  <c r="G106" i="2"/>
  <c r="F109" i="2"/>
  <c r="F117" i="2"/>
  <c r="F125" i="2"/>
  <c r="G130" i="2"/>
  <c r="F133" i="2"/>
  <c r="G138" i="2"/>
  <c r="F141" i="2"/>
  <c r="G146" i="2"/>
  <c r="F149" i="2"/>
  <c r="G154" i="2"/>
  <c r="F157" i="2"/>
  <c r="G162" i="2"/>
  <c r="F165" i="2"/>
  <c r="G170" i="2"/>
  <c r="F173" i="2"/>
  <c r="G178" i="2"/>
  <c r="F181" i="2"/>
  <c r="L39" i="3"/>
  <c r="I14" i="4"/>
  <c r="I26" i="4"/>
  <c r="G109" i="2"/>
  <c r="G117" i="2"/>
  <c r="G125" i="2"/>
  <c r="G133" i="2"/>
  <c r="G141" i="2"/>
  <c r="G149" i="2"/>
  <c r="G157" i="2"/>
  <c r="G165" i="2"/>
  <c r="G173" i="2"/>
  <c r="G181" i="2"/>
  <c r="I17" i="4"/>
  <c r="I20" i="4"/>
  <c r="I22" i="4"/>
  <c r="G28" i="4"/>
  <c r="I28" i="4" s="1"/>
  <c r="G30" i="4"/>
  <c r="I30" i="4" s="1"/>
  <c r="G30" i="2"/>
  <c r="G38" i="2"/>
  <c r="G46" i="2"/>
  <c r="G54" i="2"/>
  <c r="G62" i="2"/>
  <c r="G70" i="2"/>
  <c r="G78" i="2"/>
  <c r="G86" i="2"/>
  <c r="G94" i="2"/>
  <c r="G102" i="2"/>
  <c r="G110" i="2"/>
  <c r="F113" i="2"/>
  <c r="F121" i="2"/>
  <c r="G126" i="2"/>
  <c r="F129" i="2"/>
  <c r="F137" i="2"/>
  <c r="G142" i="2"/>
  <c r="F145" i="2"/>
  <c r="G150" i="2"/>
  <c r="F153" i="2"/>
  <c r="G158" i="2"/>
  <c r="F161" i="2"/>
  <c r="G166" i="2"/>
  <c r="F169" i="2"/>
  <c r="G174" i="2"/>
  <c r="F177" i="2"/>
  <c r="G182" i="2"/>
  <c r="F185" i="2"/>
  <c r="I13" i="4"/>
  <c r="I15" i="4"/>
  <c r="F108" i="2"/>
  <c r="G113" i="2"/>
  <c r="G121" i="2"/>
  <c r="F124" i="2"/>
  <c r="G129" i="2"/>
  <c r="F132" i="2"/>
  <c r="G137" i="2"/>
  <c r="F140" i="2"/>
  <c r="G145" i="2"/>
  <c r="F148" i="2"/>
  <c r="G153" i="2"/>
  <c r="F156" i="2"/>
  <c r="G161" i="2"/>
  <c r="F164" i="2"/>
  <c r="G169" i="2"/>
  <c r="F172" i="2"/>
  <c r="G177" i="2"/>
  <c r="F180" i="2"/>
  <c r="G185" i="2"/>
  <c r="G108" i="2"/>
  <c r="F111" i="2"/>
  <c r="G124" i="2"/>
  <c r="G132" i="2"/>
  <c r="F135" i="2"/>
  <c r="G140" i="2"/>
  <c r="F143" i="2"/>
  <c r="G148" i="2"/>
  <c r="F151" i="2"/>
  <c r="G156" i="2"/>
  <c r="F159" i="2"/>
  <c r="G164" i="2"/>
  <c r="F167" i="2"/>
  <c r="G172" i="2"/>
  <c r="F175" i="2"/>
  <c r="G180" i="2"/>
  <c r="F183" i="2"/>
  <c r="L27" i="3"/>
  <c r="I16" i="4"/>
  <c r="I21" i="4"/>
  <c r="I23" i="4"/>
  <c r="G29" i="4"/>
  <c r="F28" i="1" l="1"/>
  <c r="I28" i="1" s="1"/>
  <c r="F42" i="12"/>
  <c r="H42" i="12" s="1"/>
  <c r="F96" i="1"/>
  <c r="I96" i="1" s="1"/>
  <c r="F48" i="1"/>
  <c r="I48" i="1" s="1"/>
  <c r="F26" i="12"/>
  <c r="H26" i="12" s="1"/>
  <c r="F165" i="1"/>
  <c r="I165" i="1" s="1"/>
  <c r="F55" i="1"/>
  <c r="I55" i="1" s="1"/>
  <c r="F71" i="1"/>
  <c r="I71" i="1" s="1"/>
  <c r="F163" i="1"/>
  <c r="I163" i="1" s="1"/>
  <c r="F130" i="1"/>
  <c r="I130" i="1" s="1"/>
  <c r="F145" i="1"/>
  <c r="I145" i="1" s="1"/>
  <c r="F54" i="1"/>
  <c r="I54" i="1" s="1"/>
  <c r="F172" i="1"/>
  <c r="I172" i="1" s="1"/>
  <c r="F105" i="1"/>
  <c r="I105" i="1" s="1"/>
  <c r="F95" i="1"/>
  <c r="I95" i="1" s="1"/>
  <c r="F132" i="1"/>
  <c r="I132" i="1" s="1"/>
  <c r="F53" i="1"/>
  <c r="I53" i="1" s="1"/>
  <c r="F171" i="1"/>
  <c r="I171" i="1" s="1"/>
  <c r="F75" i="12"/>
  <c r="F167" i="1"/>
  <c r="I167" i="1" s="1"/>
  <c r="F151" i="1"/>
  <c r="I151" i="1" s="1"/>
  <c r="F102" i="1"/>
  <c r="I102" i="1" s="1"/>
  <c r="F188" i="1"/>
  <c r="I188" i="1" s="1"/>
  <c r="F160" i="1"/>
  <c r="I160" i="1" s="1"/>
  <c r="F186" i="1"/>
  <c r="I186" i="1" s="1"/>
  <c r="F142" i="1"/>
  <c r="I142" i="1" s="1"/>
  <c r="F138" i="1"/>
  <c r="I138" i="1" s="1"/>
  <c r="F81" i="1"/>
  <c r="I81" i="1" s="1"/>
  <c r="F140" i="1"/>
  <c r="I140" i="1" s="1"/>
  <c r="F155" i="1"/>
  <c r="I155" i="1" s="1"/>
  <c r="F168" i="1"/>
  <c r="I168" i="1" s="1"/>
  <c r="F136" i="1"/>
  <c r="I136" i="1" s="1"/>
  <c r="F173" i="1"/>
  <c r="I173" i="1" s="1"/>
  <c r="F141" i="1"/>
  <c r="I141" i="1" s="1"/>
  <c r="F162" i="1"/>
  <c r="I162" i="1" s="1"/>
  <c r="F66" i="1"/>
  <c r="I66" i="1" s="1"/>
  <c r="F137" i="1"/>
  <c r="I137" i="1" s="1"/>
  <c r="F182" i="1"/>
  <c r="I182" i="1" s="1"/>
  <c r="F150" i="1"/>
  <c r="I150" i="1" s="1"/>
  <c r="F110" i="1"/>
  <c r="I110" i="1" s="1"/>
  <c r="F17" i="1"/>
  <c r="I17" i="1" s="1"/>
  <c r="F69" i="1"/>
  <c r="I69" i="1" s="1"/>
  <c r="F104" i="1"/>
  <c r="I104" i="1" s="1"/>
  <c r="F16" i="1"/>
  <c r="I16" i="1" s="1"/>
  <c r="F119" i="1"/>
  <c r="I119" i="1" s="1"/>
  <c r="I118" i="1" s="1"/>
  <c r="F143" i="1"/>
  <c r="I143" i="1" s="1"/>
  <c r="F135" i="1"/>
  <c r="I135" i="1" s="1"/>
  <c r="F129" i="1"/>
  <c r="I129" i="1" s="1"/>
  <c r="F156" i="1"/>
  <c r="I156" i="1" s="1"/>
  <c r="F123" i="1"/>
  <c r="I123" i="1" s="1"/>
  <c r="F139" i="1"/>
  <c r="I139" i="1" s="1"/>
  <c r="F24" i="1"/>
  <c r="I24" i="1" s="1"/>
  <c r="F68" i="1"/>
  <c r="I68" i="1" s="1"/>
  <c r="F124" i="1"/>
  <c r="I124" i="1" s="1"/>
  <c r="F114" i="1"/>
  <c r="I114" i="1" s="1"/>
  <c r="F115" i="1"/>
  <c r="I115" i="1" s="1"/>
  <c r="F100" i="1"/>
  <c r="I100" i="1" s="1"/>
  <c r="F92" i="1"/>
  <c r="I92" i="1" s="1"/>
  <c r="F177" i="1"/>
  <c r="I177" i="1" s="1"/>
  <c r="F76" i="1"/>
  <c r="I76" i="1" s="1"/>
  <c r="F179" i="1"/>
  <c r="I179" i="1" s="1"/>
  <c r="F72" i="1"/>
  <c r="I72" i="1" s="1"/>
  <c r="F184" i="1"/>
  <c r="I184" i="1" s="1"/>
  <c r="F152" i="1"/>
  <c r="I152" i="1" s="1"/>
  <c r="F189" i="1"/>
  <c r="I189" i="1" s="1"/>
  <c r="F157" i="1"/>
  <c r="I157" i="1" s="1"/>
  <c r="F125" i="1"/>
  <c r="I125" i="1" s="1"/>
  <c r="F178" i="1"/>
  <c r="I178" i="1" s="1"/>
  <c r="F146" i="1"/>
  <c r="I146" i="1" s="1"/>
  <c r="F98" i="1"/>
  <c r="I98" i="1" s="1"/>
  <c r="F169" i="1"/>
  <c r="I169" i="1" s="1"/>
  <c r="F166" i="1"/>
  <c r="I166" i="1" s="1"/>
  <c r="F134" i="1"/>
  <c r="I134" i="1" s="1"/>
  <c r="F78" i="1"/>
  <c r="I78" i="1" s="1"/>
  <c r="F14" i="1"/>
  <c r="I14" i="1" s="1"/>
  <c r="F109" i="1"/>
  <c r="I109" i="1" s="1"/>
  <c r="F29" i="1"/>
  <c r="I29" i="1" s="1"/>
  <c r="F180" i="1"/>
  <c r="I180" i="1" s="1"/>
  <c r="F79" i="1"/>
  <c r="I79" i="1" s="1"/>
  <c r="F83" i="1"/>
  <c r="I83" i="1" s="1"/>
  <c r="F103" i="1"/>
  <c r="I103" i="1" s="1"/>
  <c r="F159" i="1"/>
  <c r="I159" i="1" s="1"/>
  <c r="F107" i="1"/>
  <c r="I107" i="1" s="1"/>
  <c r="F91" i="1"/>
  <c r="I91" i="1" s="1"/>
  <c r="F183" i="1"/>
  <c r="I183" i="1" s="1"/>
  <c r="F161" i="1"/>
  <c r="I161" i="1" s="1"/>
  <c r="F70" i="1"/>
  <c r="I70" i="1" s="1"/>
  <c r="F187" i="1"/>
  <c r="I187" i="1" s="1"/>
  <c r="F116" i="1"/>
  <c r="I116" i="1" s="1"/>
  <c r="F45" i="1"/>
  <c r="I45" i="1" s="1"/>
  <c r="F97" i="1"/>
  <c r="I97" i="1" s="1"/>
  <c r="F67" i="1"/>
  <c r="I67" i="1" s="1"/>
  <c r="F38" i="1"/>
  <c r="I38" i="1" s="1"/>
  <c r="F164" i="1"/>
  <c r="I164" i="1" s="1"/>
  <c r="F133" i="1"/>
  <c r="I133" i="1" s="1"/>
  <c r="F154" i="1"/>
  <c r="I154" i="1" s="1"/>
  <c r="F185" i="1"/>
  <c r="I185" i="1" s="1"/>
  <c r="F174" i="1"/>
  <c r="I174" i="1" s="1"/>
  <c r="F147" i="1"/>
  <c r="I147" i="1" s="1"/>
  <c r="F101" i="1"/>
  <c r="I101" i="1" s="1"/>
  <c r="F112" i="1"/>
  <c r="I112" i="1" s="1"/>
  <c r="F106" i="1"/>
  <c r="I106" i="1" s="1"/>
  <c r="F113" i="1"/>
  <c r="I113" i="1" s="1"/>
  <c r="F148" i="1"/>
  <c r="I148" i="1" s="1"/>
  <c r="F108" i="1"/>
  <c r="I108" i="1" s="1"/>
  <c r="F23" i="1"/>
  <c r="I23" i="1" s="1"/>
  <c r="F176" i="1"/>
  <c r="I176" i="1" s="1"/>
  <c r="F144" i="1"/>
  <c r="I144" i="1" s="1"/>
  <c r="F181" i="1"/>
  <c r="I181" i="1" s="1"/>
  <c r="F149" i="1"/>
  <c r="I149" i="1" s="1"/>
  <c r="F170" i="1"/>
  <c r="I170" i="1" s="1"/>
  <c r="F82" i="1"/>
  <c r="I82" i="1" s="1"/>
  <c r="F153" i="1"/>
  <c r="I153" i="1" s="1"/>
  <c r="F158" i="1"/>
  <c r="I158" i="1" s="1"/>
  <c r="F44" i="1"/>
  <c r="I44" i="1" s="1"/>
  <c r="F175" i="1"/>
  <c r="I175" i="1" s="1"/>
  <c r="F111" i="1"/>
  <c r="I111" i="1" s="1"/>
  <c r="I29" i="4"/>
  <c r="M31" i="3"/>
  <c r="F27" i="1"/>
  <c r="I27" i="1" s="1"/>
  <c r="F25" i="12"/>
  <c r="H25" i="12" s="1"/>
  <c r="F90" i="1"/>
  <c r="I90" i="1" s="1"/>
  <c r="F68" i="12"/>
  <c r="H68" i="12" s="1"/>
  <c r="F94" i="1"/>
  <c r="I94" i="1" s="1"/>
  <c r="F70" i="12"/>
  <c r="F30" i="1"/>
  <c r="I30" i="1" s="1"/>
  <c r="F27" i="12"/>
  <c r="H27" i="12" s="1"/>
  <c r="F61" i="1"/>
  <c r="I61" i="1" s="1"/>
  <c r="F52" i="12"/>
  <c r="H52" i="12" s="1"/>
  <c r="F51" i="1"/>
  <c r="I51" i="1" s="1"/>
  <c r="F45" i="12"/>
  <c r="H45" i="12" s="1"/>
  <c r="F80" i="1"/>
  <c r="I80" i="1" s="1"/>
  <c r="F61" i="12"/>
  <c r="F36" i="1"/>
  <c r="I36" i="1" s="1"/>
  <c r="F33" i="12"/>
  <c r="H33" i="12" s="1"/>
  <c r="F89" i="1"/>
  <c r="I89" i="1" s="1"/>
  <c r="F67" i="12"/>
  <c r="H67" i="12" s="1"/>
  <c r="F75" i="1"/>
  <c r="I75" i="1" s="1"/>
  <c r="F59" i="12"/>
  <c r="F22" i="1"/>
  <c r="I22" i="1" s="1"/>
  <c r="F22" i="12"/>
  <c r="H22" i="12" s="1"/>
  <c r="F74" i="1"/>
  <c r="I74" i="1" s="1"/>
  <c r="F58" i="12"/>
  <c r="H58" i="12" s="1"/>
  <c r="F64" i="1"/>
  <c r="I64" i="1" s="1"/>
  <c r="F55" i="12"/>
  <c r="H55" i="12" s="1"/>
  <c r="F122" i="1"/>
  <c r="I122" i="1" s="1"/>
  <c r="F78" i="12"/>
  <c r="H78" i="12" s="1"/>
  <c r="F99" i="1"/>
  <c r="I99" i="1" s="1"/>
  <c r="F72" i="12"/>
  <c r="F84" i="1"/>
  <c r="I84" i="1" s="1"/>
  <c r="F62" i="12"/>
  <c r="H62" i="12" s="1"/>
  <c r="F18" i="1"/>
  <c r="I18" i="1" s="1"/>
  <c r="F18" i="12"/>
  <c r="H18" i="12" s="1"/>
  <c r="F127" i="1"/>
  <c r="I127" i="1" s="1"/>
  <c r="F80" i="12"/>
  <c r="H80" i="12" s="1"/>
  <c r="F117" i="1"/>
  <c r="I117" i="1" s="1"/>
  <c r="F73" i="12"/>
  <c r="H73" i="12" s="1"/>
  <c r="F34" i="1"/>
  <c r="I34" i="1" s="1"/>
  <c r="F31" i="12"/>
  <c r="F86" i="1"/>
  <c r="I86" i="1" s="1"/>
  <c r="F64" i="12"/>
  <c r="H64" i="12" s="1"/>
  <c r="F128" i="1"/>
  <c r="I128" i="1" s="1"/>
  <c r="F81" i="12"/>
  <c r="H81" i="12" s="1"/>
  <c r="F56" i="1"/>
  <c r="I56" i="1" s="1"/>
  <c r="F47" i="12"/>
  <c r="F58" i="1"/>
  <c r="I58" i="1" s="1"/>
  <c r="F49" i="12"/>
  <c r="H49" i="12" s="1"/>
  <c r="F62" i="1"/>
  <c r="I62" i="1" s="1"/>
  <c r="F53" i="12"/>
  <c r="H53" i="12" s="1"/>
  <c r="F40" i="1"/>
  <c r="I40" i="1" s="1"/>
  <c r="F36" i="12"/>
  <c r="H36" i="12" s="1"/>
  <c r="F33" i="1"/>
  <c r="I33" i="1" s="1"/>
  <c r="F30" i="12"/>
  <c r="H30" i="12" s="1"/>
  <c r="F59" i="1"/>
  <c r="I59" i="1" s="1"/>
  <c r="F50" i="12"/>
  <c r="H50" i="12" s="1"/>
  <c r="F88" i="1"/>
  <c r="I88" i="1" s="1"/>
  <c r="F66" i="12"/>
  <c r="F39" i="1"/>
  <c r="I39" i="1" s="1"/>
  <c r="F35" i="12"/>
  <c r="H35" i="12" s="1"/>
  <c r="F63" i="1"/>
  <c r="I63" i="1" s="1"/>
  <c r="F54" i="12"/>
  <c r="H54" i="12" s="1"/>
  <c r="F35" i="1"/>
  <c r="I35" i="1" s="1"/>
  <c r="F32" i="12"/>
  <c r="H32" i="12" s="1"/>
  <c r="F65" i="1"/>
  <c r="I65" i="1" s="1"/>
  <c r="F56" i="12"/>
  <c r="H56" i="12" s="1"/>
  <c r="F49" i="1"/>
  <c r="I49" i="1" s="1"/>
  <c r="F43" i="12"/>
  <c r="H43" i="12" s="1"/>
  <c r="F13" i="1"/>
  <c r="I13" i="1" s="1"/>
  <c r="F16" i="12"/>
  <c r="F37" i="1"/>
  <c r="I37" i="1" s="1"/>
  <c r="F34" i="12"/>
  <c r="H34" i="12" s="1"/>
  <c r="F50" i="1"/>
  <c r="I50" i="1" s="1"/>
  <c r="F44" i="12"/>
  <c r="H44" i="12" s="1"/>
  <c r="F93" i="1"/>
  <c r="I93" i="1" s="1"/>
  <c r="F69" i="12"/>
  <c r="H69" i="12" s="1"/>
  <c r="F25" i="1"/>
  <c r="I25" i="1" s="1"/>
  <c r="F23" i="12"/>
  <c r="F20" i="1"/>
  <c r="I20" i="1" s="1"/>
  <c r="F20" i="12"/>
  <c r="H20" i="12" s="1"/>
  <c r="F77" i="1"/>
  <c r="I77" i="1" s="1"/>
  <c r="F60" i="12"/>
  <c r="H60" i="12" s="1"/>
  <c r="F47" i="1"/>
  <c r="I47" i="1" s="1"/>
  <c r="F41" i="12"/>
  <c r="H41" i="12" s="1"/>
  <c r="F60" i="1"/>
  <c r="I60" i="1" s="1"/>
  <c r="F51" i="12"/>
  <c r="H51" i="12" s="1"/>
  <c r="F52" i="1"/>
  <c r="I52" i="1" s="1"/>
  <c r="F46" i="12"/>
  <c r="H46" i="12" s="1"/>
  <c r="F32" i="1"/>
  <c r="I32" i="1" s="1"/>
  <c r="F29" i="12"/>
  <c r="H29" i="12" s="1"/>
  <c r="F42" i="1"/>
  <c r="I42" i="1" s="1"/>
  <c r="F38" i="12"/>
  <c r="H38" i="12" s="1"/>
  <c r="F121" i="1"/>
  <c r="I121" i="1" s="1"/>
  <c r="F77" i="12"/>
  <c r="H77" i="12" s="1"/>
  <c r="F46" i="1"/>
  <c r="I46" i="1" s="1"/>
  <c r="F40" i="12"/>
  <c r="H40" i="12" s="1"/>
  <c r="F15" i="1"/>
  <c r="I15" i="1" s="1"/>
  <c r="F17" i="12"/>
  <c r="H17" i="12" s="1"/>
  <c r="F31" i="1"/>
  <c r="I31" i="1" s="1"/>
  <c r="F28" i="12"/>
  <c r="H28" i="12" s="1"/>
  <c r="F87" i="1"/>
  <c r="I87" i="1" s="1"/>
  <c r="F65" i="12"/>
  <c r="H65" i="12" s="1"/>
  <c r="F19" i="1"/>
  <c r="I19" i="1" s="1"/>
  <c r="F19" i="12"/>
  <c r="H19" i="12" s="1"/>
  <c r="F43" i="1"/>
  <c r="I43" i="1" s="1"/>
  <c r="F39" i="12"/>
  <c r="H39" i="12" s="1"/>
  <c r="M10" i="3"/>
  <c r="M36" i="3"/>
  <c r="I19" i="4"/>
  <c r="I18" i="4"/>
  <c r="M19" i="3"/>
  <c r="I24" i="4"/>
  <c r="I34" i="4" l="1"/>
  <c r="I37" i="4" s="1"/>
  <c r="I131" i="1"/>
  <c r="I126" i="1"/>
  <c r="I120" i="1"/>
  <c r="H75" i="12"/>
  <c r="H74" i="12" s="1"/>
  <c r="I85" i="1"/>
  <c r="I73" i="1"/>
  <c r="I57" i="1"/>
  <c r="I41" i="1"/>
  <c r="I26" i="1"/>
  <c r="I12" i="1"/>
  <c r="H79" i="12"/>
  <c r="H48" i="12"/>
  <c r="H76" i="12"/>
  <c r="K49" i="3"/>
  <c r="L49" i="3" l="1"/>
  <c r="M48" i="3" s="1"/>
  <c r="M59" i="3" s="1"/>
  <c r="M60" i="3" l="1"/>
  <c r="M61" i="3" s="1"/>
  <c r="G13" i="12" s="1"/>
  <c r="H13" i="12" s="1"/>
  <c r="H12" i="12" s="1"/>
  <c r="H94" i="12" s="1"/>
  <c r="K94" i="12" s="1"/>
  <c r="H31" i="12" l="1"/>
  <c r="H24" i="12" s="1"/>
  <c r="H70" i="12" l="1"/>
  <c r="H23" i="12"/>
  <c r="H21" i="12"/>
  <c r="H16" i="12"/>
  <c r="H59" i="12"/>
  <c r="H47" i="12"/>
  <c r="H37" i="12" s="1"/>
  <c r="H61" i="12"/>
  <c r="H72" i="12"/>
  <c r="H66" i="12"/>
  <c r="H63" i="12" l="1"/>
  <c r="H15" i="12"/>
  <c r="H57" i="12"/>
  <c r="G83" i="12" l="1"/>
  <c r="H83" i="12" s="1"/>
  <c r="H82" i="12" s="1"/>
  <c r="H87" i="12" s="1"/>
  <c r="H90" i="12" s="1"/>
  <c r="H89" i="12" l="1"/>
  <c r="E6" i="4"/>
  <c r="I41" i="4" s="1"/>
  <c r="H91" i="12"/>
  <c r="I39" i="4"/>
  <c r="H37" i="4"/>
  <c r="I43" i="4" l="1"/>
  <c r="G88" i="12"/>
  <c r="H88" i="12" s="1"/>
  <c r="H92" i="12" s="1"/>
  <c r="H43" i="4"/>
  <c r="H96" i="12" l="1"/>
  <c r="K96" i="12" s="1"/>
  <c r="K92"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Erika Velandia</author>
  </authors>
  <commentList>
    <comment ref="B5" authorId="0" shapeId="0" xr:uid="{162E7B36-46B1-704F-B48F-86404153B2DF}">
      <text>
        <r>
          <rPr>
            <b/>
            <sz val="9"/>
            <color indexed="81"/>
            <rFont val="Tahoma"/>
            <family val="2"/>
          </rPr>
          <t>Erika Velandia:</t>
        </r>
        <r>
          <rPr>
            <sz val="9"/>
            <color indexed="81"/>
            <rFont val="Tahoma"/>
            <family val="2"/>
          </rPr>
          <t xml:space="preserve">
Fuente: DANE - ICOCIV
Nota:
* La diferencia en la suma de las variables obedece al sistema de aproximación en el nivel de dígitos trabajados en el índice.
Actualizado el 28 de marzo de 2025</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<sst xmlns="http://schemas.openxmlformats.org/spreadsheetml/2006/main" count="1845" uniqueCount="725">
  <si>
    <t>INTERVENCIONES INTEGRALES DEL HÁBITAT</t>
  </si>
  <si>
    <t xml:space="preserve">PROYECTO DIAGNÓSTICO, ACTUALIZACIÓN ESTUDIOS, DISEÑOS Y CULMINACIÓN DE OBRAS EN ESPACIO PÚBLICO PARA EL MEJORAMIENTO INTEGRAL DEL BARRIO ALPES QUE HACE PARTE DEL TERRITORIO PRORIZADO POR LA SECRETARIA DISTRITAL EN LA LOCALIDAD DE CIUDAD BOLIVAR </t>
  </si>
  <si>
    <t>DIRECCIÓN DE HABITAT Y ENTORNOS-LLAVE EN MANO 
SUBSECRETARÍA DE INTERVENCIONES INTEGRALES</t>
  </si>
  <si>
    <t>OBJETO: REALIZAR EL DIAGNÓSTICO, ACTUALIZACIÓN DE ESTUDIOS Y DISEÑOS Y CULMINACIÓN DE LAS OBRAS EN ESPACIO PÚBLICO PARA EL MEJORAMIENTO INTEGRAL DEL BARRIO LOS ALPES QUE HACE PARTE DEL TERRITORIO PRORIZADO POR LA SECRETARIA DISTRITAL EN LA LOCALIDAD DE CIUDAD BOLIVAR BAJO LA MODALIDAD DE PRECIOS UNITARIOS FIJOS Y SIN FORMULA DE REAJUSTE.</t>
  </si>
  <si>
    <t>PRESUPUESTO OBRA LOS ALPES</t>
  </si>
  <si>
    <t>ÍTEM</t>
  </si>
  <si>
    <t>ACTIVIDAD</t>
  </si>
  <si>
    <t>UNIDAD</t>
  </si>
  <si>
    <t>PENDIENTE
EJECUCIÓN</t>
  </si>
  <si>
    <t>VALOR 
PARCIAL</t>
  </si>
  <si>
    <t>ETAPA 1 ACTUALIZACIÓN ESTUDIOS Y DISEÑOS</t>
  </si>
  <si>
    <t>DIAGNÓSTICO Y ACTUALIZACIÓN - ESTUDIOS Y DISEÑOS</t>
  </si>
  <si>
    <t>GL</t>
  </si>
  <si>
    <t>ETAPA 2 CULMINACIÓN DE OBRAS</t>
  </si>
  <si>
    <t>REPLANTEO, DEMOLICIONES Y EXCAVACIONES</t>
  </si>
  <si>
    <t>1.1</t>
  </si>
  <si>
    <t xml:space="preserve">REPLANTEO GENERAL </t>
  </si>
  <si>
    <t>1.2</t>
  </si>
  <si>
    <t>1.3</t>
  </si>
  <si>
    <t>1.4</t>
  </si>
  <si>
    <t>1.5</t>
  </si>
  <si>
    <t>1.6</t>
  </si>
  <si>
    <t xml:space="preserve">DEMOLICION DE POZOS, CAJAS Y CAMARAS DE EMPRESAS DE SERVICIOS PÚBLICOS (INCLUYE MARTILLO NEUMÁTICO DE 60 LB, COMPRESOR Y CARGUE). </t>
  </si>
  <si>
    <t>1.7</t>
  </si>
  <si>
    <t>1.8</t>
  </si>
  <si>
    <t>1.9</t>
  </si>
  <si>
    <t>1.10</t>
  </si>
  <si>
    <t>EXCAVACIÓN MANUAL EN MATERIAL COMÚN (INCL CARGUE, TRANSPORTE Y DISPOSICION FINAL)</t>
  </si>
  <si>
    <t>1.11</t>
  </si>
  <si>
    <t>1.12</t>
  </si>
  <si>
    <t>1.13</t>
  </si>
  <si>
    <t>RELLENOS Y PAVIMENTOS</t>
  </si>
  <si>
    <t>2.1</t>
  </si>
  <si>
    <t>NIVELACION Y COMPACTACIÓN DE SUBRASANTE</t>
  </si>
  <si>
    <t>2.2</t>
  </si>
  <si>
    <t xml:space="preserve">ESTABILIZACIÓN DE SUBRASANTE CON RAJÓN, INCLUYE EQUIPO DE COMPACTACIÓN (SUMINISTRO, EXTENDIDO, NIVELACIÓN Y COMPACTACIÓN CON EQUIPO MECÁNICO) </t>
  </si>
  <si>
    <t>2.3</t>
  </si>
  <si>
    <t>2.4</t>
  </si>
  <si>
    <t>2.5</t>
  </si>
  <si>
    <t>2.6</t>
  </si>
  <si>
    <t>2.7</t>
  </si>
  <si>
    <t>2.8</t>
  </si>
  <si>
    <t>2.9</t>
  </si>
  <si>
    <t xml:space="preserve">CORTE Y AMPLIACIÓN DE JUNTA EN PAVIMENTO DE CONCRETO HIDRÁULICO. </t>
  </si>
  <si>
    <t>2.10</t>
  </si>
  <si>
    <t>2.11</t>
  </si>
  <si>
    <t xml:space="preserve">ESTAMPADO PARA CONCRETO MR DE POMPEYANOS, ACCESOS VEHICULARES A PREDIOS Y VÍAS (ACABADO Y CURADO, SUMINISTRO Y MANO DE OBRA, INCLUYE JUEGO DE MOLDES, COLOR ENDURECEDOR DE CUARZO, DESMOLDANTE EN POLVO COLOR, SELLADOR ACRÍLICO TRANSPARENTE SEMILUSTRE). </t>
  </si>
  <si>
    <t>2.12</t>
  </si>
  <si>
    <t>2.13</t>
  </si>
  <si>
    <t>2.14</t>
  </si>
  <si>
    <t>ACABADOS DE PISOS Y PREFABRICADOS</t>
  </si>
  <si>
    <t>3.1</t>
  </si>
  <si>
    <t>3.2</t>
  </si>
  <si>
    <t>3.3</t>
  </si>
  <si>
    <t>3.4</t>
  </si>
  <si>
    <t>SARDINEL TIPO A-10 (SUMINISTRO E INSTALACIÓN, INCLUYE 3 CM MORTERO 1:5)</t>
  </si>
  <si>
    <t>3.5</t>
  </si>
  <si>
    <t>PISOS EN LOSETA PREFABRICADA TÁCTIL ALERTA Y /O GUÍA (SUMINISTRO E INSTALACIÓN INCLUYE 4 CM DE MORTERO 1:5 HECHO EN OBRA)</t>
  </si>
  <si>
    <t>3.6</t>
  </si>
  <si>
    <t>ADOQUIN DEMARCADOR VISUAL A-26</t>
  </si>
  <si>
    <t>3.7</t>
  </si>
  <si>
    <t>3.8</t>
  </si>
  <si>
    <t>CONCRETO DE 4000 PSI PARA RAMPAS ACCESOS Y ESCALERAS (PREMEZCLADO INCLUYE SUMINISTRO, FORMALETA, COLOCACIÓN, NO INCLUYE REFUERZO NI CURADO</t>
  </si>
  <si>
    <t>3.9</t>
  </si>
  <si>
    <t>3.10</t>
  </si>
  <si>
    <t>LADRILLO PRENSADO (SUMINISTRO E INSTALACION)</t>
  </si>
  <si>
    <t>3.11</t>
  </si>
  <si>
    <t>3.12</t>
  </si>
  <si>
    <t>3.13</t>
  </si>
  <si>
    <t>3.14</t>
  </si>
  <si>
    <t>3.15</t>
  </si>
  <si>
    <t>MUROS ESTRUCTURALES</t>
  </si>
  <si>
    <t>4.1</t>
  </si>
  <si>
    <t>4.2</t>
  </si>
  <si>
    <t>4.3</t>
  </si>
  <si>
    <t>4.4</t>
  </si>
  <si>
    <t>4.5</t>
  </si>
  <si>
    <t>4.6</t>
  </si>
  <si>
    <t>4.7</t>
  </si>
  <si>
    <t>4.8</t>
  </si>
  <si>
    <t>4.9</t>
  </si>
  <si>
    <t>4.10</t>
  </si>
  <si>
    <t>4.11</t>
  </si>
  <si>
    <t>4.12</t>
  </si>
  <si>
    <t>4.13</t>
  </si>
  <si>
    <t>GEODREN PLANAR H=1.0 M. SUMINISTRO E INSTALACION.</t>
  </si>
  <si>
    <t>4.14</t>
  </si>
  <si>
    <t>4.15</t>
  </si>
  <si>
    <t>MOBILIARIO URBANO</t>
  </si>
  <si>
    <t>5.1</t>
  </si>
  <si>
    <t>5.2</t>
  </si>
  <si>
    <t>BOLARDO EN HIERRO TIPO M-62 (SUMINISTRO E INSTALACIÓN, INCLUYE BASE EN CONCRETO 1500 PSI, PREMEZCLADO)</t>
  </si>
  <si>
    <t>5.3</t>
  </si>
  <si>
    <t>5.4</t>
  </si>
  <si>
    <t>CANECA DE ACERO INOXIDABLE TIPO BARCELONA (SUMINISTRO E INSTALACIÓN. INCLUYE CONCRETO PARA ANCLAJE DE 3000 PSI PREMEZCLADO GRAVA COMÚN..</t>
  </si>
  <si>
    <t>5.5</t>
  </si>
  <si>
    <t xml:space="preserve">CONTENEDOR DE RAÍCES, INCLUYE MUROS EN CONCRETO GRAVA COMÚN 300 PSI (210 KG/CM2), SUMINISTRO Y CONSTRUCCIÓN Y FILTRO EN GRAVILLA ½”, FORMALETA Y REFUERZO NO INCLUYE TIERRA NEGRA. </t>
  </si>
  <si>
    <t>5.6</t>
  </si>
  <si>
    <t>BORDE CONTENEDOR DE RAÍCES A-70 (INCLUYE SUMINISTRO E INSTALACIÓN, INCLUYE BASE DE 3CM EN MORTERO 1:3 HECHO EN OBRA</t>
  </si>
  <si>
    <t>5.7</t>
  </si>
  <si>
    <t>RELLENO EN TIERRA NEGRA PARA EMPRADIZACIÓN (SUMINISTRO Y EXTENDIDO).</t>
  </si>
  <si>
    <t>5.8</t>
  </si>
  <si>
    <t>5.9</t>
  </si>
  <si>
    <t>5.10</t>
  </si>
  <si>
    <t>MANGUE TIERRA FRIA H= 1.5M DE ALTURA (INCLUYE TIERRA, ABONO, TUTOR, TRANSPORTE Y DISPOSICIÓN FINAL DE ESCOMBROS A 28 KM) SUMINISTRO Y PLANTACIÓN</t>
  </si>
  <si>
    <t>5.11</t>
  </si>
  <si>
    <t xml:space="preserve">HIEDRA UÑA DE GATO (SUMINISTRO E INSTALACION). </t>
  </si>
  <si>
    <t>REDES HIDRAULICAS</t>
  </si>
  <si>
    <t>6.1</t>
  </si>
  <si>
    <t>6.2</t>
  </si>
  <si>
    <t>6.3</t>
  </si>
  <si>
    <t>POZO DE INSPECCION D=1.7 M (INCL. SUMINISTRO E INSTALACION). INCLUYE CILINDRO POZO DE INSPECCION EN MAMPOSTERIA, CONO PREFABRICADO, PLACA FONDO.</t>
  </si>
  <si>
    <t>6.4</t>
  </si>
  <si>
    <t>6.5</t>
  </si>
  <si>
    <t>SUMIDERO ALCANTARILLADO PLUVIAL EN VIA</t>
  </si>
  <si>
    <t>6.6</t>
  </si>
  <si>
    <t>6.7</t>
  </si>
  <si>
    <t>SUMINISTRO E INSTALACIÓN DE BOLSACRETO</t>
  </si>
  <si>
    <t>6.8</t>
  </si>
  <si>
    <t>6.9</t>
  </si>
  <si>
    <t>6.10</t>
  </si>
  <si>
    <t>RELLENO CON GRAVA ENTRE 3/4" Y 1/2" PARA FILTROS (RELACIÓN 1:1) SUMINISTRO Y COLOCACIÓN. (INCLUYE TRANSPORTE, SUMINISTRO, EXTENDIDO MANUAL Y COLOCACIÓN)</t>
  </si>
  <si>
    <t>6.11</t>
  </si>
  <si>
    <t>6.12</t>
  </si>
  <si>
    <t xml:space="preserve">ENTIBADO EC-2 CONTÍNUO MADERA CON PERFILES METÁLICOS Y PARALES TELESCÓPICOS. SUMINISTRO E INSTALACIÓN.    </t>
  </si>
  <si>
    <t>6.13</t>
  </si>
  <si>
    <t>6.14</t>
  </si>
  <si>
    <t>6.15</t>
  </si>
  <si>
    <t>6.16</t>
  </si>
  <si>
    <t>6.17</t>
  </si>
  <si>
    <t>6.18</t>
  </si>
  <si>
    <t>6.19</t>
  </si>
  <si>
    <t>6.20</t>
  </si>
  <si>
    <t>6.21</t>
  </si>
  <si>
    <t>6.22</t>
  </si>
  <si>
    <t>6.23</t>
  </si>
  <si>
    <t>6.24</t>
  </si>
  <si>
    <t>6.25</t>
  </si>
  <si>
    <t>6.26</t>
  </si>
  <si>
    <t>6.27</t>
  </si>
  <si>
    <t>6.28</t>
  </si>
  <si>
    <t>6.29</t>
  </si>
  <si>
    <t>6.30</t>
  </si>
  <si>
    <t>6.31</t>
  </si>
  <si>
    <t>6.32</t>
  </si>
  <si>
    <t>SUMIDERO ALCANTARILLADO PLUVIAL EN VIA NS-047-1V4 EAAB</t>
  </si>
  <si>
    <t>SEÑALIZACION Y DEMARCACION VIAL</t>
  </si>
  <si>
    <t>7.1</t>
  </si>
  <si>
    <t>REDES ELECTRICAS</t>
  </si>
  <si>
    <t>8.1</t>
  </si>
  <si>
    <t>TENDIDO DE CABLE RED TRENZADA 2X2+2 ACSR XLPE SIÓN (BT) (INCLUYE CUADRILLA, EQUIPOS Y HERRAMIENTA MENOR)</t>
  </si>
  <si>
    <t>8.2</t>
  </si>
  <si>
    <t>REUBICACIÓN DE LUMINARIA EN POSTE DE CONCRETO 12M 1050 KG (INCLUYE CUADRILLA, EQUIPOS Y HERRAMIENTA MENOR)</t>
  </si>
  <si>
    <t>8.3</t>
  </si>
  <si>
    <t>INSTALACIÓN DE ESTRUCTURA PARA RED DE BAJA TENSIÓN (INCLUYE CUADRILLA, EQUIPOS, ACCESORIOS Y HERRAMIENTA MENOR)</t>
  </si>
  <si>
    <t>8.4</t>
  </si>
  <si>
    <t>REUBICACIÓN POSTE DE CONCRETO 12M 1050 KG  (INCLUYE CUADRILLA, GRÚA Y HERRAMIENTA MENOR)</t>
  </si>
  <si>
    <t>8.5</t>
  </si>
  <si>
    <t>PAGO POR SERVICIO DE ENERGÍA NO PRESTADO</t>
  </si>
  <si>
    <t>REDES TELECOMUNICACIONES</t>
  </si>
  <si>
    <t>9.1</t>
  </si>
  <si>
    <t>TENDIDO DE CABLE RED MULTIPAR (INCLUYE CUADRILLA, EQUIPOS Y HERRAMIENTA MENOR)</t>
  </si>
  <si>
    <t>9.2</t>
  </si>
  <si>
    <t>INSTALACIÓN DE ESTRUCTURA PARA RED DE TELECOMUNICACIONES INCLUYE CUADRILLA, EQUIPOS, ACCESORIOS Y HERRAMIENTA MENOR)</t>
  </si>
  <si>
    <t>9.3</t>
  </si>
  <si>
    <t>REUBICACIÓN POSTE DE CONCRETO 10M  - DE PASO O TERMINAL (INCLUYE CUADRILLA, GRÚA Y HERRAMIENTA MENOR)</t>
  </si>
  <si>
    <t>9.4</t>
  </si>
  <si>
    <t>PAGO POR SERVICIO DE TELECOMUNICACIONES NO PRESTADO</t>
  </si>
  <si>
    <t>OTROS</t>
  </si>
  <si>
    <t>10.01</t>
  </si>
  <si>
    <t>INSPECCIÓN DE REDES DE ALCANTARILLADO CON SISTEMAS CCTV PARA DIÁMETROS ENTRE 6" A 36"</t>
  </si>
  <si>
    <t>ML</t>
  </si>
  <si>
    <t>10.02</t>
  </si>
  <si>
    <t>LAVADO Y SONDEO DE REDES DE ALCANTARILLADO ENTRE 6" Y 18" DE DIÁMETRO Y CON GRADO DE COLMATACIÓN MENOR DEL 30%. INCL MANO DE OBRA IDÓNEA, SEÑALIZACIÓN BÁSICA, SUMIN DE COMBUSTIBLE Y AGUA. INCL. IVA</t>
  </si>
  <si>
    <t>10.03</t>
  </si>
  <si>
    <t>PLACA CUBIERTA D=1.00M POZO INSPEC. (PREFABRICADA. INCLUYE SUMINISTRO E INSTALACIÓN. INCLUYE TAPA EN CONCRETO)</t>
  </si>
  <si>
    <t>UN</t>
  </si>
  <si>
    <t>10.04</t>
  </si>
  <si>
    <t>DEMOLICION DE TUBERIAS DE ACUEDUCTO Y ALCANTARILLADO Ø &lt; 36" (INCLUYE MARTILLO NEUMÁTICO DE 60 LB Y CARGUE).</t>
  </si>
  <si>
    <t>10.05</t>
  </si>
  <si>
    <t>CÁMARA DE CAIDA D=8" H=1.86M (INCLUYE SUMINISTRO E INSTALACIÓN)</t>
  </si>
  <si>
    <t>10.06</t>
  </si>
  <si>
    <t>CONCRETO 3000 PSI HECHO EN OBRA PARA REDES (SUMINISTRO Y COLOCACIÓN)</t>
  </si>
  <si>
    <t>M3</t>
  </si>
  <si>
    <t>10.07</t>
  </si>
  <si>
    <t>RELLENO CON MEZCLA DE GRAVILLA DE 3/4" Y ARENA DE RIO (RELACIÓN 1:1) SUMINISTRO Y COLOCACIÓN. (INCLUYE TRANSPORTE, SUMINISTRO, EXTENDIDO MANUAL Y COLOCACIÓN).</t>
  </si>
  <si>
    <t>10.08</t>
  </si>
  <si>
    <t>GEOTEXTIL NT 2500 PARA SUBDRENES/FILTROS (INCLUYE SUMINISTRO E INSTALACIÓN)</t>
  </si>
  <si>
    <t>M2</t>
  </si>
  <si>
    <t>10.09</t>
  </si>
  <si>
    <t>GEOTEXTIL T, RESIST. ULTIMA (TIRA ANCHA)=30 KN/M PARA SEPARACION SUBRASANTE/CAPAS GRANULARES (INC. SUMIN. E INSTALACIÓN)</t>
  </si>
  <si>
    <t>10.10</t>
  </si>
  <si>
    <t>CONCRETO 2500 PSI HECHO EN OBRA PARA REDES (SUMINISTRO Y COLOCACIÓN)</t>
  </si>
  <si>
    <t>10.11</t>
  </si>
  <si>
    <t>SUMINISTRO E INSTALACIÓN DE FILTRO FRANCÉS</t>
  </si>
  <si>
    <t>10.12</t>
  </si>
  <si>
    <t>10.13</t>
  </si>
  <si>
    <t>10.14</t>
  </si>
  <si>
    <t>VIGA CORONA EN MUROS DE MAMPOSTERIA ESTRUCTURAL</t>
  </si>
  <si>
    <t>10.15</t>
  </si>
  <si>
    <t xml:space="preserve">DEMOLICIÓN EN ROCA CON MARTILLO NEUMATICO </t>
  </si>
  <si>
    <t>10.16</t>
  </si>
  <si>
    <t>PAÑETE 1:4 PARA MUROS</t>
  </si>
  <si>
    <t>10.17</t>
  </si>
  <si>
    <t>CAÑUELA EN CAJA DE INSPECCIÓN</t>
  </si>
  <si>
    <t>10.18</t>
  </si>
  <si>
    <t>CONSTRUCCIÓN DE SUMIDERO CONVENCIONAL EN MAMPOSTERIA. L=0,70M A=0,40M, H=1,00M  CON MURO DOBLE (INCLUYE REJILLA)</t>
  </si>
  <si>
    <t>10.19</t>
  </si>
  <si>
    <t>LIMPIEZA DE POZOS DE INSPECCION</t>
  </si>
  <si>
    <t>10.20</t>
  </si>
  <si>
    <t>CONO DE REDUCCION PARA POZO DE INSPECCION</t>
  </si>
  <si>
    <t>10.21</t>
  </si>
  <si>
    <t xml:space="preserve">POZO DE INSPECCION PREFABRICADO D=1.20 M  (INCL. SUMINISTRO E INSTALACION). INCLUYE CILINDRO POZO CON PASOS, CONO PREFABRICADO, CARGUE, TAPA Y PASOS </t>
  </si>
  <si>
    <t>10.22</t>
  </si>
  <si>
    <t xml:space="preserve">PASO PLASTICO PARA POZO DE INSPECCION </t>
  </si>
  <si>
    <t>10.23</t>
  </si>
  <si>
    <t>NIVELACIÓN DE POZO (HASTA RASANTE EN CONCRETO 3000 PSI HECHO EN OBRA, H=0.15M. INCLUYE SUMINISTRO Y CONSTRUCCIÓN)</t>
  </si>
  <si>
    <t>10.24</t>
  </si>
  <si>
    <t xml:space="preserve">TRASIEGO EN OBRA DE RECEBO COMÚN </t>
  </si>
  <si>
    <t>10.25</t>
  </si>
  <si>
    <t>TRASIEGO EN OBRA DE SUBBASE</t>
  </si>
  <si>
    <t>10.26</t>
  </si>
  <si>
    <t xml:space="preserve">TRASIEGO EN OBRA DE CONCRETO 2500 PSI </t>
  </si>
  <si>
    <t>10.27</t>
  </si>
  <si>
    <t>TRASIEGO EN OBRA DE ACERO</t>
  </si>
  <si>
    <t>10.28</t>
  </si>
  <si>
    <t>TRASIEGO EN OBRA DE LOSETA</t>
  </si>
  <si>
    <t>10.29</t>
  </si>
  <si>
    <t>TRASIEGO EN OBRA DE BORDILLO</t>
  </si>
  <si>
    <t>10.30</t>
  </si>
  <si>
    <t>10.31</t>
  </si>
  <si>
    <t>UNION DE REPARACION HD EL D=3" (SUMINISTRO E INSTALACIÓN)</t>
  </si>
  <si>
    <t>10.32</t>
  </si>
  <si>
    <t>10.33</t>
  </si>
  <si>
    <t>BOLARDO EN HIERRO TIPO M63 (SUMINISTRO E INSTALACIÓN. INCLUYE BASE EN CONCRETO 2500 PSI, HECHO EN OBRA)</t>
  </si>
  <si>
    <t>10.34</t>
  </si>
  <si>
    <t>DESCAPOTE A MANO EN MATERIAL COMUN (E=0.1M.)</t>
  </si>
  <si>
    <t>10.35</t>
  </si>
  <si>
    <t>10.36</t>
  </si>
  <si>
    <t>10.37</t>
  </si>
  <si>
    <t>10.38</t>
  </si>
  <si>
    <t>VALVULA COMPUERTA ELASTICA VASTAGO NO ASCENDENTE EXTREMO LISO D=4" (SUMINISTRO E INSTALACIÓN)</t>
  </si>
  <si>
    <t>10.39</t>
  </si>
  <si>
    <t>10.40</t>
  </si>
  <si>
    <t>UNION DE REPARACION PVC D=3" (SUMINISTRO E INSTALACIÓN)</t>
  </si>
  <si>
    <t>10.41</t>
  </si>
  <si>
    <t>TAPON HD EXTREMO LISO D=4" (SUMINISTRO E INSTALACIÓN)</t>
  </si>
  <si>
    <t>10.42</t>
  </si>
  <si>
    <t>CODO HD 90° EXTREMO LISO PARA PVC D=4" (SUMINISTRO E INSTALACIÓN)</t>
  </si>
  <si>
    <t>10.43</t>
  </si>
  <si>
    <t>TEE HD EXTREMO LISO 4"X4" (SUMINISTRO E INSTALACIÓN)</t>
  </si>
  <si>
    <t>10.44</t>
  </si>
  <si>
    <t>TUBERIA PVC D=4" TIPO U.M. RDE 21 (SUMINISTRO E INSTALACIÓN)</t>
  </si>
  <si>
    <t>10.45</t>
  </si>
  <si>
    <t>ACOPLE UNIVERSAL, UNION ALFA O MULTIUSOS D=4" (SUMINISTRO E INSTALACIÓN)</t>
  </si>
  <si>
    <t>10.46</t>
  </si>
  <si>
    <t>CODO G.RAD. PVC 90º TIPO U.M. D=4" (SUMINISTRO E INSTALACIÓN)</t>
  </si>
  <si>
    <t>10.47</t>
  </si>
  <si>
    <t>CODO G.RAD. PVC 45º TIPO U.M. D=4" (SUMINISTRO E INSTALACIÓN)</t>
  </si>
  <si>
    <t>10.48</t>
  </si>
  <si>
    <t>CODO HD 45° EXTREMO LISO PARA PVC D=4" (SUMINISTRO E INSTALACIÓN)</t>
  </si>
  <si>
    <t>10.49</t>
  </si>
  <si>
    <t xml:space="preserve">COLLAR DE DERIVACIÓN DE 4" X 1/2". SUMINISTRO E INSTALACION. </t>
  </si>
  <si>
    <t>10.50</t>
  </si>
  <si>
    <t>SUBBASE GRANULAR CON RECICLADO DE CONCRETO HIDRAULICO (SUMINISTRO, EXTENDIDO,
HUMEDECIMIENTO Y COMPACTACIÓN)</t>
  </si>
  <si>
    <t>10.51</t>
  </si>
  <si>
    <t>ACOMETIDA DOMICILIARIA DE 1/2" CON COLLAR DE DERIVACION DE 4" X 1/2". SUMINISTRO E
INSTALACION. (INCLUYE TUBERIA PF, REGISTROS Y ACCESORIOS (REGISTRO DE INCORPORACIÓN,
REGISTRO DE BOLA, REGISTRO ANTIFRAUDE, UNION MACHO PF), LONGITUD PROMEDIO DE 3M,
INCLUYE CAJILLA EN POLIPROPILENO PARA MEDIDOR)</t>
  </si>
  <si>
    <t>UND</t>
  </si>
  <si>
    <t>10.52</t>
  </si>
  <si>
    <t>ESCALERAS EN CONCRETO A LA VISTA</t>
  </si>
  <si>
    <t>10.53</t>
  </si>
  <si>
    <t>UNION PVC U.M. NORMA NTC 382 D=4" (SUMINISTRO E INSTLACIÓN)</t>
  </si>
  <si>
    <t>10.54</t>
  </si>
  <si>
    <t>UNION Z DE 4 PVC (SUMINISTRO E INSTALACIÓN)</t>
  </si>
  <si>
    <t>10.55</t>
  </si>
  <si>
    <t>UNION Z DE 3 PVC (SUMINISTRO E INSTALACIÓN)</t>
  </si>
  <si>
    <t>10.56</t>
  </si>
  <si>
    <t>CODO G.RAD. PVC 22,5" TIPO U.M D=4" (SUMINISTRO E INSTALACION)</t>
  </si>
  <si>
    <t>10.57</t>
  </si>
  <si>
    <t>10.58</t>
  </si>
  <si>
    <t>CONCRETO 3000 PSI PARA MUROS</t>
  </si>
  <si>
    <t>RUBROS PARA SOSTENIBILIDAD SUDS</t>
  </si>
  <si>
    <t>RUBRO PROYECTADO PARA SUDS - INTERVENCIÓN SEGÚN ARTICULO 126-184 Y 185 DEL POT
(10% DEL ÁREA TOTAL)</t>
  </si>
  <si>
    <t>REEMBOLSABLES (RUBRO PARA LABORATORIOS, PRUEBAS DEL PROYECTO POR DISEÑOS Y OBRAS SEGÚN APRUEBE LA INTERVENTORÍA, VALLA, ETC.</t>
  </si>
  <si>
    <t>COSTO DIRECTO OBRA</t>
  </si>
  <si>
    <t>ADMINISTRACIÓN</t>
  </si>
  <si>
    <t>IMPREVISTOS</t>
  </si>
  <si>
    <t>UTILIDAD</t>
  </si>
  <si>
    <t>SECRETARÍA DISTRITAL DEL HABITAT</t>
  </si>
  <si>
    <t>CUADRO CANTIDADES</t>
  </si>
  <si>
    <t>CANTIDAD
PENDIENTE 
EJECUCIÓN</t>
  </si>
  <si>
    <t>TOTAL CANTIDAD
PENDIENTE POSITIVA</t>
  </si>
  <si>
    <t>VR. UNITARIO</t>
  </si>
  <si>
    <t>CIV 
19010897</t>
  </si>
  <si>
    <t>CIV
19010949</t>
  </si>
  <si>
    <t>CIV
19010956</t>
  </si>
  <si>
    <t>CIV 
19010836</t>
  </si>
  <si>
    <t>CIV
19010951</t>
  </si>
  <si>
    <t>CIV
19011027</t>
  </si>
  <si>
    <t>CIV
19011016</t>
  </si>
  <si>
    <t>CIV
19010555</t>
  </si>
  <si>
    <t>CANTIDAD
OFERTA 
ECONÓMICA</t>
  </si>
  <si>
    <t/>
  </si>
  <si>
    <t>NO PREVISTOS</t>
  </si>
  <si>
    <t>SALARIO MÍNIMO</t>
  </si>
  <si>
    <r>
      <t xml:space="preserve">TIEMPO DE EJECUCIÓN: 5 </t>
    </r>
    <r>
      <rPr>
        <b/>
        <sz val="11"/>
        <rFont val="Arial Narrow"/>
        <family val="2"/>
      </rPr>
      <t>meses</t>
    </r>
  </si>
  <si>
    <t>DESCRIPCIÓN</t>
  </si>
  <si>
    <t>ESPECIALISTA</t>
  </si>
  <si>
    <t>AÑOS DE EXPERIENCIA</t>
  </si>
  <si>
    <t>%</t>
  </si>
  <si>
    <t xml:space="preserve">VR. PARCIAL </t>
  </si>
  <si>
    <t>VR. TOTAL</t>
  </si>
  <si>
    <t>SI</t>
  </si>
  <si>
    <t>NO</t>
  </si>
  <si>
    <t>PROF</t>
  </si>
  <si>
    <t>ESPEC</t>
  </si>
  <si>
    <t>PROFESIONAL MÍNIMO CALIFICABLE</t>
  </si>
  <si>
    <t>PROFESIÓN</t>
  </si>
  <si>
    <t>MESES</t>
  </si>
  <si>
    <t>DEDICACIÓN</t>
  </si>
  <si>
    <t>SALARIO</t>
  </si>
  <si>
    <t>SUBTOTAL</t>
  </si>
  <si>
    <t>Director de la Consultoría</t>
  </si>
  <si>
    <t>Ingeniería Civil o Arquitectura</t>
  </si>
  <si>
    <t>x</t>
  </si>
  <si>
    <t>Especialista en diseño arquitectónico</t>
  </si>
  <si>
    <t>Arquitectura</t>
  </si>
  <si>
    <t>Especialista en paisajismo</t>
  </si>
  <si>
    <t xml:space="preserve">Especialista en Vías </t>
  </si>
  <si>
    <t xml:space="preserve">Ingeniería Civil o de vías </t>
  </si>
  <si>
    <t>Especialista en Transporte y Movilidad</t>
  </si>
  <si>
    <t>Ingeniería de Transporte</t>
  </si>
  <si>
    <t>Especialista en redes eléctricas y Energía Solar</t>
  </si>
  <si>
    <t>Ingeniero Eléctrico</t>
  </si>
  <si>
    <t>Especialista en redes hidrosanitarias. Suds y saneamiento básico</t>
  </si>
  <si>
    <t>Ingeniería Civil o Sanitaria</t>
  </si>
  <si>
    <t>PROFESIONALES DE APOYO</t>
  </si>
  <si>
    <t>20.01</t>
  </si>
  <si>
    <t>Especialista en Estructuras</t>
  </si>
  <si>
    <t xml:space="preserve">Ingeniería Civil  </t>
  </si>
  <si>
    <t>20.02</t>
  </si>
  <si>
    <t>Especialista en geotecnia</t>
  </si>
  <si>
    <t>20.03</t>
  </si>
  <si>
    <t>Especialista en gestión ambiental  (construcción sostenible)</t>
  </si>
  <si>
    <t>Ingeniería Ambiental o Afines</t>
  </si>
  <si>
    <t>20.04</t>
  </si>
  <si>
    <t>Ingeniero forestal</t>
  </si>
  <si>
    <t>Ingeniería Forestal</t>
  </si>
  <si>
    <t>20.05</t>
  </si>
  <si>
    <t>Ingeniero Geologo</t>
  </si>
  <si>
    <t>Ingeniería gelógica</t>
  </si>
  <si>
    <t>20.06</t>
  </si>
  <si>
    <t>Ingeniero hidrolologo</t>
  </si>
  <si>
    <t>Ingeniería hidrologica</t>
  </si>
  <si>
    <t>20.07</t>
  </si>
  <si>
    <t>Arqueólogo</t>
  </si>
  <si>
    <t>Arqueología o afines</t>
  </si>
  <si>
    <t>20.08</t>
  </si>
  <si>
    <t>Profesional en presupuestos, especificaciones, cantidades, programación y APUS</t>
  </si>
  <si>
    <t xml:space="preserve">Ingeniero Civil </t>
  </si>
  <si>
    <t>20.09</t>
  </si>
  <si>
    <t>Profesional SST</t>
  </si>
  <si>
    <t>Ingeniero Industrial, SST o afines</t>
  </si>
  <si>
    <t>20.10</t>
  </si>
  <si>
    <t>Profesional en gestión social</t>
  </si>
  <si>
    <t>Trabajo Social, socióloga, psicóloga social, Antropóloga</t>
  </si>
  <si>
    <t>PROFESIONALES DE LEGALIZACIÓN Y GESTIÓN PREDIAL</t>
  </si>
  <si>
    <t>30.01</t>
  </si>
  <si>
    <t>Especialista en normatividad</t>
  </si>
  <si>
    <t>30.02</t>
  </si>
  <si>
    <t>Especialista derecho urbano</t>
  </si>
  <si>
    <t>Abogado</t>
  </si>
  <si>
    <t>30.03</t>
  </si>
  <si>
    <t>Técnico en manejo de registro fotográfico y topográfico</t>
  </si>
  <si>
    <t>Técnico en fotografía y dibujo</t>
  </si>
  <si>
    <t>OTRO PERSONAL</t>
  </si>
  <si>
    <t>FORMACIÓN</t>
  </si>
  <si>
    <t>40.01</t>
  </si>
  <si>
    <t>Gestor urbano y soporte SIG</t>
  </si>
  <si>
    <t>Ingeniero geógrafo o catastral</t>
  </si>
  <si>
    <t>40.02</t>
  </si>
  <si>
    <t>Representación arquitectónica 2D</t>
  </si>
  <si>
    <t>40.03</t>
  </si>
  <si>
    <t>Representación arquitectónica 3D</t>
  </si>
  <si>
    <t>40.04</t>
  </si>
  <si>
    <t>Coordinador arquitectónica BIM</t>
  </si>
  <si>
    <t>40.05</t>
  </si>
  <si>
    <t>Ingeniero topógrafo</t>
  </si>
  <si>
    <t>Ingeniero-Topografía</t>
  </si>
  <si>
    <t>40.06</t>
  </si>
  <si>
    <t>Operario dron</t>
  </si>
  <si>
    <t>40.07</t>
  </si>
  <si>
    <t>Cadenero 1</t>
  </si>
  <si>
    <t>40.08</t>
  </si>
  <si>
    <t>Cadenero 2</t>
  </si>
  <si>
    <t>Aforador 1 para estudio de movilidad</t>
  </si>
  <si>
    <t>Aforador 2 para estudio de movilidad</t>
  </si>
  <si>
    <t>PERSONAL + FACTOR MULTIPLICADOR</t>
  </si>
  <si>
    <t>50.01</t>
  </si>
  <si>
    <t>FM</t>
  </si>
  <si>
    <t>EQUIPOS</t>
  </si>
  <si>
    <t>TIPO</t>
  </si>
  <si>
    <t>VALOR MENSUAL</t>
  </si>
  <si>
    <t>60.01</t>
  </si>
  <si>
    <t>Alquiler Equipo completo de topografía</t>
  </si>
  <si>
    <t>Estación completa</t>
  </si>
  <si>
    <t>60.02</t>
  </si>
  <si>
    <t>Alquiler Dron</t>
  </si>
  <si>
    <t>60.03</t>
  </si>
  <si>
    <t>Alquiler Vehículo Hasta 2600 cc</t>
  </si>
  <si>
    <t>1500 a 2600 cc</t>
  </si>
  <si>
    <t>Camioneta+Conductor</t>
  </si>
  <si>
    <t>REEMBOLSABLES (No imputa pago total)</t>
  </si>
  <si>
    <t>Rubro específico para pagos, previa aprobación de interventoría sobre 3 cotizaciones. Ver anexo técnico</t>
  </si>
  <si>
    <t>TOTAL COSTOS ESTUDIOS Y DISEÑOS</t>
  </si>
  <si>
    <t>IVA DE ESTUDIOS Y DISEÑOS</t>
  </si>
  <si>
    <t>PRESUPUESTO OFICIAL</t>
  </si>
  <si>
    <t>SUBSECRETARÍA DE INTERVENCIONES INTEGRALES</t>
  </si>
  <si>
    <t>DIRECCIÓN DE HABITAT Y ENTORNOS</t>
  </si>
  <si>
    <t>COSTO DIRECTO ESTIMADO DE OBRA (CD)</t>
  </si>
  <si>
    <t>TIEMPO ESTIMADO EJECUCION  DE OBRA (MESES)</t>
  </si>
  <si>
    <t>A. ADMINISTRACION</t>
  </si>
  <si>
    <t>Cargo</t>
  </si>
  <si>
    <t>#</t>
  </si>
  <si>
    <t>Dedicación Mes</t>
  </si>
  <si>
    <t xml:space="preserve">Valor salario  mes </t>
  </si>
  <si>
    <t>Factor multiplicador</t>
  </si>
  <si>
    <t>Periodo en Obra</t>
  </si>
  <si>
    <t>Salario total + Prestaciones</t>
  </si>
  <si>
    <t>A</t>
  </si>
  <si>
    <t>B</t>
  </si>
  <si>
    <t>C</t>
  </si>
  <si>
    <t>D</t>
  </si>
  <si>
    <t>E</t>
  </si>
  <si>
    <t>E=((A*B*C*D)+C)*E</t>
  </si>
  <si>
    <t>1,1 PERSONAL PROFESIONAL</t>
  </si>
  <si>
    <t>CANT</t>
  </si>
  <si>
    <t>DIRECTOR DE OBRA ESPECIALISTA</t>
  </si>
  <si>
    <t>RESIDENTE DE OBRA</t>
  </si>
  <si>
    <t>PROFESIONAL EN INGENIERÍA AMBIENTAL</t>
  </si>
  <si>
    <t>PROFESIONAL EN INGENIERÍA FORESTAL</t>
  </si>
  <si>
    <t>ESPECIALISTA INGENIERO ELÉCTRICO</t>
  </si>
  <si>
    <t>ESPECIALISTA INGENIERO HIDRÁULICO</t>
  </si>
  <si>
    <t>ESPECIALISTA INGENIERO ESTRUCTURAL</t>
  </si>
  <si>
    <t>ESPECIALISTA INGENIERO VÍAS</t>
  </si>
  <si>
    <t xml:space="preserve">PROFESIONAL SOCIAL </t>
  </si>
  <si>
    <t>PROFESIONAL EN CALIDAD</t>
  </si>
  <si>
    <t>ESPECIALISTA GEOTECNISTA</t>
  </si>
  <si>
    <t xml:space="preserve">PROFESIONAL EN PRESUPUESTO Y PROGRAMACIÓN </t>
  </si>
  <si>
    <t>PROFESIONAL SST</t>
  </si>
  <si>
    <t>ARQUEOLOGO</t>
  </si>
  <si>
    <t>PROFESIONAL JURIDICO</t>
  </si>
  <si>
    <t>1,2 PERSONAL TECNICO Y AUXILIAR TECNICO</t>
  </si>
  <si>
    <t>INSPECTOR DE OBRA</t>
  </si>
  <si>
    <t>PROFESIONAL TOPOGRAFO</t>
  </si>
  <si>
    <t xml:space="preserve">TARIFA MES - PERSONAL AUXILIAR TÉCNICO - CADENERO </t>
  </si>
  <si>
    <t xml:space="preserve">TARIFA MES - PERSONAL ADMINISTRATIVO - AUXILIAR ADMINISTRATIVO-ALMACENISTA </t>
  </si>
  <si>
    <t>1,3 PERSONAL ADMINISTRATIVO</t>
  </si>
  <si>
    <t>TARIFA MES - VIGILANTE</t>
  </si>
  <si>
    <t>SUBTOTAL COSTOS DE PERSONAL</t>
  </si>
  <si>
    <t>B. A.I.U</t>
  </si>
  <si>
    <t>A.</t>
  </si>
  <si>
    <t>% TOTAL ADMINISTRACIÓN MÁXIMO</t>
  </si>
  <si>
    <t>B.</t>
  </si>
  <si>
    <t>C.</t>
  </si>
  <si>
    <t>MÁXIMO TOTAL A.I.U. (Administración, Imprevistos y Utilidad)</t>
  </si>
  <si>
    <r>
      <rPr>
        <b/>
        <sz val="10"/>
        <color rgb="FF000000"/>
        <rFont val="Arial"/>
        <family val="2"/>
      </rPr>
      <t>Nota</t>
    </r>
    <r>
      <rPr>
        <sz val="10"/>
        <color rgb="FF000000"/>
        <rFont val="Arial"/>
        <family val="2"/>
      </rPr>
      <t xml:space="preserve">: En ningún caso el Proponente podrá ofertar un porcentaje menor al establecido para imprevistos por parte de la Entidad y el porcentaje integral de AIU no podrá superar el establecido por la Entidad. </t>
    </r>
  </si>
  <si>
    <t>FACTOR MULTIPLICADOR OBRA</t>
  </si>
  <si>
    <t>FACTOR MULTIPLICADOR CONSULTORIA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</si>
  <si>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</si>
  <si>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</si>
  <si>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</si>
  <si>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</si>
  <si>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</si>
  <si>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</si>
  <si>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</si>
  <si>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</si>
  <si>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</si>
  <si>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</si>
  <si>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</si>
  <si>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</si>
  <si>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</si>
  <si>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</si>
  <si>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</si>
  <si>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de campamento y obra</t>
  </si>
  <si>
    <t>Servicios públicos y oficina consultor</t>
  </si>
  <si>
    <t>Papelería oficina constructor</t>
  </si>
  <si>
    <t>Papelería oficina consultor</t>
  </si>
  <si>
    <t xml:space="preserve">Personal administrativo no facturado </t>
  </si>
  <si>
    <t>Personal profesional no facturado</t>
  </si>
  <si>
    <t>Implementación y programa preventivo de protección recursos hídricos, fauna, especies  verdes, manejo de vertimientos, etc.</t>
  </si>
  <si>
    <t>Equipos de oficina y campamento</t>
  </si>
  <si>
    <t>Equipos de plotter, escaneo y fotografía. Incluye impresiones</t>
  </si>
  <si>
    <t>Alquiler de vehículo y combustibles</t>
  </si>
  <si>
    <t>Combustibles</t>
  </si>
  <si>
    <t>Papelería para entrega de Informes semanales, mensuales y finales en original (planos récord, manual de mantenimiento, Etc) y 2 copias en físico</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</si>
  <si>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</si>
  <si>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</si>
  <si>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</si>
  <si>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Aerofotografías, software de seguimiento CAD- BIM</t>
  </si>
  <si>
    <t>Implementación en obra de todos los programas y gestión integral de residuos, calidad del aire y aseo permanente de obra.</t>
  </si>
  <si>
    <t>Pruebas y laboratorios</t>
  </si>
  <si>
    <t>Trámite PMT e implementación con todos los requerimientos de seguridad, durante toda la ejecución de obra. Incluye personal requerido como paleteros y otros</t>
  </si>
  <si>
    <t>Trámites y aprobaciones ante entidades por cada especialidad de diseños y obras terminadas Incluye acompañamientos, papelería, etc.</t>
  </si>
  <si>
    <t>IMPUESTOS 3</t>
  </si>
  <si>
    <t>Plan de gestión social. Incluye Alquiler de salones, Afiches, volantes, pendones, carteleras, papelería, refrigerios y todo lo necesario para la socialización del proyecto</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</si>
  <si>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</si>
  <si>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</si>
  <si>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</si>
  <si>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</si>
  <si>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</si>
  <si>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</si>
  <si>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</si>
  <si>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</si>
  <si>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</si>
  <si>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</si>
  <si>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</si>
  <si>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Estabilidad y Calidad de obra</t>
  </si>
  <si>
    <t>Imprevistos</t>
  </si>
  <si>
    <t>Otras Polizas</t>
  </si>
  <si>
    <t>Utilidad</t>
  </si>
  <si>
    <t>TOTAL FACTOR MULTIPLICADOR (1+2+3+4)</t>
  </si>
  <si>
    <r>
      <rPr>
        <b/>
        <sz val="11"/>
        <color theme="1"/>
        <rFont val="Calibri"/>
        <family val="2"/>
        <scheme val="minor"/>
      </rPr>
      <t>Nota:</t>
    </r>
    <r>
      <rPr>
        <sz val="11"/>
        <color theme="1"/>
        <rFont val="Calibri"/>
        <family val="2"/>
        <scheme val="minor"/>
      </rPr>
      <t xml:space="preserve"> Estos porcentajes y valores son indicativos.</t>
    </r>
  </si>
  <si>
    <t xml:space="preserve">  </t>
  </si>
  <si>
    <t>Índice de Costos de la Construcción de Obras Civiles - ICOCIV</t>
  </si>
  <si>
    <t>A1. ICOCIV - Variación mensual, año corrido y anual del total
Febrero 2025</t>
  </si>
  <si>
    <t>Publicado DANE</t>
  </si>
  <si>
    <t>Polinómica grado 2</t>
  </si>
  <si>
    <t>Año</t>
  </si>
  <si>
    <t>Mes</t>
  </si>
  <si>
    <t>Índice</t>
  </si>
  <si>
    <t>Variación porcentual (%)</t>
  </si>
  <si>
    <t>ax^2+bx+c</t>
  </si>
  <si>
    <t>Mensual</t>
  </si>
  <si>
    <t>Año corrido</t>
  </si>
  <si>
    <t>Anual**</t>
  </si>
  <si>
    <t>ICOCIV</t>
  </si>
  <si>
    <t>a</t>
  </si>
  <si>
    <t>b</t>
  </si>
  <si>
    <t>c</t>
  </si>
  <si>
    <t>Enero</t>
  </si>
  <si>
    <t>-</t>
  </si>
  <si>
    <t>Febrero</t>
  </si>
  <si>
    <t>Marzo</t>
  </si>
  <si>
    <t>Abril</t>
  </si>
  <si>
    <t>Mayo</t>
  </si>
  <si>
    <t>Junio</t>
  </si>
  <si>
    <t>Julio</t>
  </si>
  <si>
    <t xml:space="preserve">Agosto </t>
  </si>
  <si>
    <t>Septiembre</t>
  </si>
  <si>
    <t>Octubre</t>
  </si>
  <si>
    <t>Noviembre</t>
  </si>
  <si>
    <t>Diciembre</t>
  </si>
  <si>
    <t xml:space="preserve"> </t>
  </si>
  <si>
    <t>Proyectado SDHT</t>
  </si>
  <si>
    <t>INDEXACIÓN SALARIOS</t>
  </si>
  <si>
    <t># CATEGORIA</t>
  </si>
  <si>
    <t>Cargos Categorías Profesionales</t>
  </si>
  <si>
    <t>EXPERIENCIA</t>
  </si>
  <si>
    <t>PRECIOS DE REFERENCIA (IDU) 2026
TARIFA MES POR CATEGORÍA (NO INCLUYE FACTOR DE PRESTACIONES)</t>
  </si>
  <si>
    <t>General</t>
  </si>
  <si>
    <t>Especifica</t>
  </si>
  <si>
    <t>CODIGO</t>
  </si>
  <si>
    <t>CATEGORIA 1</t>
  </si>
  <si>
    <t>Funciones del Director o Especialista de Proyectos</t>
  </si>
  <si>
    <t>&gt;= 12 años</t>
  </si>
  <si>
    <t>&gt;=10 años</t>
  </si>
  <si>
    <t>CATEGORIA 2</t>
  </si>
  <si>
    <t>&gt;= 10 años</t>
  </si>
  <si>
    <t>&gt;= 8 años</t>
  </si>
  <si>
    <t>CATEGORIA 3</t>
  </si>
  <si>
    <t xml:space="preserve">Experiencia técnica y administrativa para Especialista de Proyectos </t>
  </si>
  <si>
    <t>&gt;= 5 años</t>
  </si>
  <si>
    <t>CATEGORIA 4</t>
  </si>
  <si>
    <t>Experiencia técnica y administrativa para esp}</t>
  </si>
  <si>
    <t>&gt;= 6 años</t>
  </si>
  <si>
    <t>&gt;= 4 años</t>
  </si>
  <si>
    <t>CATEGORIA 5</t>
  </si>
  <si>
    <t>Experiencia técnica y administrativa para Residente de Proyectos</t>
  </si>
  <si>
    <t>&gt;= 3 años</t>
  </si>
  <si>
    <t>CATEGORIA 6</t>
  </si>
  <si>
    <t>Profesional</t>
  </si>
  <si>
    <t>&gt;= 1 años</t>
  </si>
  <si>
    <t>CATEGORIA 7</t>
  </si>
  <si>
    <t>&gt;= 2 años</t>
  </si>
  <si>
    <t>CATEGORIA 8</t>
  </si>
  <si>
    <t xml:space="preserve">Profesional técnio topógrado </t>
  </si>
  <si>
    <t>CATEGORIA 9</t>
  </si>
  <si>
    <t>Personal auxiliar técnico</t>
  </si>
  <si>
    <t>&lt; 2 años</t>
  </si>
  <si>
    <t>VALOR UNITARIO
INDEXADO
ENE 2022 - JUN 2027</t>
  </si>
  <si>
    <t>VALOR
UNITARIO INCIAL DEL CONTRATO</t>
  </si>
  <si>
    <t>VALOR TOTAL E Y D - OBRA</t>
  </si>
  <si>
    <t>MES</t>
  </si>
  <si>
    <t>JR</t>
  </si>
  <si>
    <t xml:space="preserve"> PERSONAL AUXILIAR TÉCNICO</t>
  </si>
  <si>
    <t>CATEGORIA 10</t>
  </si>
  <si>
    <t>CATEGORIA 11</t>
  </si>
  <si>
    <t>Técnico</t>
  </si>
  <si>
    <t>TARIFA MES - ALQUILER DE VEHICULO: CAMPERO, PICK-UP, CAMIONETA, CAMION O SIMILAR DE 1300cc A 2000cc DE CILINDRADA, MODELO 2026 A 2023. 100% DE LA TARIFA ESTABLECIDA. INCLUYE TODOS LOS COSTOS DE OPERACIÓN Y MANTENIMIENTO EXCEPTO EL SALARIO DEL CONDUCTOR</t>
  </si>
  <si>
    <t>EQUIPO DE TOPOGRAFÍA. ESTACION TOTAL, Precisión lineal ≤ (2 mm + 2 ppm x D), precisión angular ≤ 3".  Alcance: con un prisma hasta 2000 metros en buenas condiciones. (Accesorios: Trípodes, bastones, prismas, cintas metálicas, baterías, entre otros). TARIFA MES</t>
  </si>
  <si>
    <t>PERSONAL TÉCNICO - INSPECTOR 1</t>
  </si>
  <si>
    <t>CATEGORIA 12</t>
  </si>
  <si>
    <t>RUBROS PARA ACTIVIDADES RODUCTO DEL AJUSTE Y APROPIACIÓN DE LOS DISEÑOS</t>
  </si>
  <si>
    <t>RUBRO PROYECTADO PARA PRODUCTO DEL AJUSTE Y APROPIACIÓN DE LOS DISEÑOS</t>
  </si>
  <si>
    <t>FACTOR DE INDEXACIÓN</t>
  </si>
  <si>
    <t xml:space="preserve">FACTOR DE INDEXACIÓN </t>
  </si>
  <si>
    <t>CANTIDAD
EJECUTADA 
(ACTA NO: 12)
CTO 952/21</t>
  </si>
  <si>
    <t>DEMOLICION PAVIMENTO ASFALTICO (ESPESOR VARIABLE. INCLUYE CARGUE). NO INCLUYE TRANSPORTE Y DISPOSICIÓN FINAL DE SOBRANTES. RENDIMIENTO ESTIMADO PARA ESPESORES MÁX. 0.15M.</t>
  </si>
  <si>
    <t>DEMOLICIÓN PISOS DE CONCRETO (INCLUYE CARGUE). NO INCLUYE TRANSPORTE Y DISPOSICIÓN FINAL DE SOBRANTES. RENDIMIENTO ESTIMADO PARA ESPESORES DE 0.20M</t>
  </si>
  <si>
    <t>DEMOLICION MANUAL SARDINEL EXISTENTE (INCLUYE CARGUE). NO INCLUYE TRANSPORTE Y DISPOSICIÓN FINAL DE SOBRANTES.</t>
  </si>
  <si>
    <t>M</t>
  </si>
  <si>
    <t>DEMOLICION SUMIDERO EXISTENTE (INCLUYE CARGUE)</t>
  </si>
  <si>
    <t>DEMOLICION PISOS DE CONCRETO (ESPESOR VARIABLE. INCLUYE CARGUE). NO INCLUYE TRANSPORTE Y DISPOSICIÓN FINAL DE SOBRANTES. RENDIMIENTO ESTIMADO PARA UN ESPESOR DE 0.10M</t>
  </si>
  <si>
    <t xml:space="preserve">DEMOLICIÓN CONCRETO ESTRUCTURAL (INCLUYE CARGUE). NO INCLUYE TRANSPORTE Y DISPOSICIÓN FINAL DE SOBRANTES. </t>
  </si>
  <si>
    <t>EXCAVACION MECANICA EN MATERIAL COMUN (INCLUYE CARGUE)</t>
  </si>
  <si>
    <t>FRESADO PAVIMENTO ASFALTICO PROFUNDIDAD DE FRESADO 0 - 18 CM. (INCLUYE CARGUE)</t>
  </si>
  <si>
    <t>TALA DE ARBOLES CLASE I (H&lt;5M. INCLUYE DESENRAÍCE, RETIRO Y DISPOSICIÓN FINAL)</t>
  </si>
  <si>
    <t>TRANSPORTE Y DISPOSICION FINAL DE ESCOMBROS EN SITIO AUTORIZADO (DISTANCIA DE TRANSPORTE 21 KM). A DISTANCIA MAYOR DEL ACARREO LIBRE (90 M) EN SITIO AUTORIZADO POR LA ENTIDAD AMBIENTAL COMPETENTE.</t>
  </si>
  <si>
    <t>SUBBASE GRANULAR CLASE A (SBG_A) (SUMINISTRO, EXTENDIDO, NIVELACIÓN, HUMEDECIMIENTO Y COMPACTACIÓN CON VIBRO COMPACTADOR)</t>
  </si>
  <si>
    <t xml:space="preserve">SUBBASE GRANULAR CLASE C (SBG _ C) (SUMINISTRO, EXTENDIDO, NIVELACIÓN, HUMEDECIMIENTO Y COMPACTACIÓN CON VIBRO COMPACTADOR). </t>
  </si>
  <si>
    <t>IMPRIMACIÓN CON EMULSIÓN ASFÁLTICA CLR-0 (SUMINISTRO, BARRIDO, SUPERFICIE Y RIEGO).</t>
  </si>
  <si>
    <t>MEZCLA ASFÁLTICA EN CALIENTE TIPO DENSO MD12 ASFALTO CONVENCIONAL 80-100  (CEMENTO ASFÁLTICO 80-100) (SUMINISTRO, EXTENDIDO, NIVELACIÓN Y COMPACTACIÓN CON VIBROCOMPACTADOR Y COMPACTADOR DE LLANTAS)</t>
  </si>
  <si>
    <t>LOSA DE CONCRETO MR 43 (SUMINISTRO, FORMALETEADO, COLOCACIÓN Y ACABADO, NO INCLUYE ACERO, CURADO, JUNTAS)-TEXTURIZADO SIMILAR A A-20.</t>
  </si>
  <si>
    <t xml:space="preserve">CURADO DE LOSAS DE CONCRETO (SUMINISTRO Y APLICACIÓN) </t>
  </si>
  <si>
    <t xml:space="preserve">SELLADO DE JUNTAS EN PAVIMENTO DE CONCRETO HIDRÁULICO (INCLUYE LIMPIEZA, SUMINISTRO E INSTALACIÓN DE FONDO Y SELLANTE) </t>
  </si>
  <si>
    <t>ACERO DE REFUERZO (INCLUYE SUMINISTRO, FIGURADO Y FIJACIÓN)</t>
  </si>
  <si>
    <t>KG</t>
  </si>
  <si>
    <t>CANASTILLA PASAJUNTAS (INCLUYE SUMINISTRO Y FIJACIÓN)</t>
  </si>
  <si>
    <t>GEOTEXTIL NT 2000 PARA SEPARACION SUBRASANTE/CAPAS GRANULARES (INCLUYE SUMINISTRO E INSTALACIÓN)</t>
  </si>
  <si>
    <t>CAÑUELA TIPO A120 (SUMINISTRO E INSTALACIÓN. INCLUYE 3CM MORTERO 2000 PSI)</t>
  </si>
  <si>
    <t>BORDILLO PREFABRICADO A80 (SUMINISTRO E INSTALACIÓN. INCLUYE 3CM MORTERO DE NIVELACIÓN 2000 PSI)</t>
  </si>
  <si>
    <t>RAMPA VEHICULAR FUNDIDA EN EL SITIO EN CONCRETO PREMEZCLADO DE 3000 PSI (GRAVA COMUN) SUM, CONSTR. E INSTALACIÓN. INCLUYE ACABADO EN ADOQUIN DE ARCILLA TIPO TRÁFICO PESADO O SIMILAR, BASE DE 4CM EN MORTERO DE 2000 PSI.</t>
  </si>
  <si>
    <t>PISO EN LOSETA PREFABRICADA A30 (SUMINISTRO E INSTALACIÓN. INCLUYE BASE 4CM ARENA NIVELACIÓN Y ARENA DE SELLO)</t>
  </si>
  <si>
    <t>FRANJA DE AJUSTE EN CONCRETO 3000 PSI E= 10 CM  ANCHO ENTRE 12-20CM</t>
  </si>
  <si>
    <t>SIEMBRA DE GRAMA (INCLUYE SUMINISTRO E INSTALACIÓN. INCLUYE 10CM DE TIERRA NEGRA)</t>
  </si>
  <si>
    <t>PIEDRA RAJÓN E= 30 CM INCLUYE MORTERO 2500 PSI PARA PEGA E= 10 CM (INCLUYE SUMINISTRO E INSTALACIÓN)</t>
  </si>
  <si>
    <t>CAÑUELA TIPO C - FUNDIDA EN SITIO 2500 PSI</t>
  </si>
  <si>
    <t>MALLA ELECTROSOLDADA DE 0,15X0,15 M (∅=8MM) (INCLUYE SUMINISTRO, FIJACIÒN E INSTALACIÒN )</t>
  </si>
  <si>
    <t>MURO TIPO 1 - ZARPA EN CONCRETO DE 3000 PSI DE 2,20MX0,30M, DENTELLÓN DE 0,70MX0,30M- MURO DOBLE EN LADRILLO ESTRUCTURAL DE PERFORACIÓN VERTICAL H=3,30M, INCLUYE EXCAVACIÓN, RETIRO DE ESCOMBROS, MORTEROS, MATERIAL SELECCIONADO COMPACTADO, REFUERZO DE 60,000 PSI, GROUTING 2500 PSI, IMPERMEABILIZACIÓN FACHADA.</t>
  </si>
  <si>
    <t>MURO TIPO 2 - ZARPA EN CONCRETO DE 3000 PSI DE 2,00MX0,30M, DENTELLÓN DE 0,45MX0,30M- MURO DOBLE EN LADRILLO ESTRUCTURAL DE PERFORACIÓN VERTICAL H=2,75M, INCLUYE EXCAVACIÓN, RETIRO DE ESCOMBROS, MORTEROS, MATERIAL SELECCIONADO COMPACTADO, REFUERZO DE 60,000 PSI, GROUTING 2500 PSI, IMPERMEABILIZACIÓN FACHADA.</t>
  </si>
  <si>
    <t>MURO TIPO 3 - ZARPA EN CONCRETO DE 3000 PSI DE 1,80MX0,30M, DENTELLÓN DE 0,25MX0,30M- MURO DOBLE EN LADRILLO ESTRUCTURAL DE PERFORACIÓN VERTICAL H=2,35M, INCLUYE EXCAVACIÓN, RETIRO DE ESCOMBROS, MORTEROS, MATERIAL SELECCIONADO COMPACTADO, REFUERZO DE 60,000 PSI, GROUTING 2500 PSI, IMPERMEABILIZACIÓN FACHADA.</t>
  </si>
  <si>
    <t>MURO TIPO 4 - ZARPA EN CONCRETO DE 3000 PSI DE 2,60MX0,25M, MURO DOBLE EN LADRILLO ESTRUCTURAL DE PERFORACIÓN VERTICAL H=1,85M, INCLUYE EXCAVACIÓN, RETIRO DE ESCOMBROS, MORTEROS, MATERIAL SELECCIONADO COMPACTADO, REFUERZO DE 60,000 PSI, GROUTING 2500 PSI, IMPERMEABILIZACIÓN FACHADA.</t>
  </si>
  <si>
    <t>MURO TIPO 5 - ZARPA EN CONCRETO DE 3000 PSI DE 1,10MX0,25M, MURO SENCILLO EN LADRILLO ESTRUCTURAL DE PERFORACIÓN VERTICAL H=1,45M, INCLUYE EXCAVACIÓN, RETIRO DE ESCOMBROS, MORTEROS, MATERIAL SELECCIONADO COMPACTADO, REFUERZO DE 60,000 PSI, GROUTING 2500 PSI, IMPERMEABILIZACIÓN FACHADA.</t>
  </si>
  <si>
    <t>MURO TIPO 6- ZARPA EN CONCRETO DE 3000 PSI DE 1,00MX0,25M,MURO EN LADRILLO ESTRUCTURAL DE PERFORACIÓN VERTICAL H=1,25M, INCLUYE EXCAVACIÓN, RETIRO DE ESCOMBROS, MORTEROS, MATERIAL SELECCIONADO COMPACTADO, REFUERZO DE 60,000 PSI, GROUTING 2500 PSI, IMPERMEABILIZACIÓN FACHADA.</t>
  </si>
  <si>
    <t>MURO TIPO 7- ZARPA EN CONCRETO DE 3000 PSI DE 0,90MX0,25M, MURO EN LADRILLO ESTRUCTURAL DE PERFORACIÓN VERTICAL H=0,95M, INCLUYE EXCAVACIÓN, RETIRO DE ESCOMBROS, MORTEROS, MATERIAL SELECCIONADO COMPACTADO, REFUERZO DE 60,000 PSI, GROUTING 2500 PSI, IMPERMEABILIZACIÓN FACHADA.</t>
  </si>
  <si>
    <t>MURO TIPO 8- ZARPA EN CONCRETO DE 3000 PSI DE 0,80MX0,25M, MURO EN LADRILLO ESTRUCTURAL DE PERFORACIÓN VERTICAL H=0,75M, INCLUYE EXCAVACIÓN, RETIRO DE ESCOMBROS, MORTEROS, MATERIAL SELECCIONADO COMPACTADO, REFUERZO DE 60,000 PSI, GROUTING 2500 PSI, IMPERMEABILIZACIÓN FACHADA.</t>
  </si>
  <si>
    <t>CONCRETO 3500 PSI PARA MURO ESTRUCTURAL (PREMEZCLADO. INCL. SUMIN, FORMALETEO, BOMBEO Y COLOCACIÓN. NO INCL. REFUERZO, CURADO)</t>
  </si>
  <si>
    <t xml:space="preserve">CURADO DE CONCRETO (SUMINISTRO Y APLICACIÓN) </t>
  </si>
  <si>
    <t>CONCRETO 2000 PSI (HECHO EN OBRA 1:3:3 CON ARENA DE RÍO Y TRITURADO DE 3/4")</t>
  </si>
  <si>
    <t>TUBERIA PVC PARA DRENAJE D=4" SIN FILTRO (INCLUYE SUMINISTRO E INSTALACIÓN)</t>
  </si>
  <si>
    <t>TUBERIA PVC D=2" TIPO U.M. RDE 21 (SUMINISTRO E INSTALACIÓN)</t>
  </si>
  <si>
    <t>BARANDA METALICA M81 (SUMINISTRO, INSTALACIÓN Y PINTURA)</t>
  </si>
  <si>
    <t>BANCA EN CONCRETO TIPO M40 (SUMINISTRO E INSTALACIÓN)</t>
  </si>
  <si>
    <t>FUCCIA H=1.3MT (INCLUYE TIERRA, ABONO, TUTOR, TRANSPORTE Y DISPOSICIÓN FINAL DE ESCOMBROS A 28 KM). SUMINISTRO Y PLANTACION.</t>
  </si>
  <si>
    <t>CHICALA H=1.5MT (INCLUYE SIEMBRA, CAJA, TIERRA, ABONO, TUTOR, TRANSPORTE Y DISPOSICIÓN FINAL DE ESCOMBROS 28 KM).  SUMINISTRO Y PLANTACION.</t>
  </si>
  <si>
    <t>CAJA DE INSPECCIÓN DE 0.6X0.6M (H=0.6M. INCLUYE SUMINISTRO Y CONSTRUCCIÓN. INCLUYE MARCO Y TAPA. NO INC. BASE Y CAÑUELA)</t>
  </si>
  <si>
    <t xml:space="preserve">ACOMETIDA DOMICILIARIA DE 3" A 1/2". SUMINISTRO E INSTALACION. (INCLUYE TUBERÍA PF, REPOSICIÓN DE CAJILLA EN POLIPROPILENO PARA MEDIDOR, REGISTROS Y ACCESORIOS. LONGITUD PROMEDIO =6.5MT). </t>
  </si>
  <si>
    <t>PLACA CUBIERTA D=1.70M POZO INSPEC. (FUNDIDA EN SITIO. INC. SUM, FORMALET., REFUERZO E INST. INCL. TAPA EN POLIPROPILENO)</t>
  </si>
  <si>
    <t>CONSTRUCCION CANALETA DE AGUAS LLUVIAS DE 0.4 X 0.4 MT EN CONCRETO DE 3000PSI INCLUYE REJILLA PREFABRICADA.</t>
  </si>
  <si>
    <t xml:space="preserve">EXCAVACION MECANICA PARA REDES PROFUNDIDAD 0M - 3.5M (INCLUYE CARGUE) </t>
  </si>
  <si>
    <t>RELLENO EN RECEBO COMUN (SUMINISTRO E INSTALACIÓN  EXTENDIDO MANUAL, HUMEDECIMIENTO Y COMPACTACIÓN TRANSPORTE A 28 KM).</t>
  </si>
  <si>
    <t xml:space="preserve">BASE GRANULAR CLASE A (BG_A) (SUMINISTRO, EXTENDIDO, NIVELACIÓN, HUMEDECIMIENTO Y COMPACTACIÓN CON VIBROCOMPACTADOR)  </t>
  </si>
  <si>
    <t xml:space="preserve">TUBERIA PVC U.M. EXT CORRUGADO/INT LISO U.M. NORMA NTC 3722-1 D=8" (INCLUYE SUMINISTRO E INSTALACIÓN)   </t>
  </si>
  <si>
    <t>TUBERIA PVC U.M. EXT CORRUGADO/INT LISO U.M. NORMA NTC 3722-1 D=10" (INCLUYE SUMINISTRO E INSTALACIÓN</t>
  </si>
  <si>
    <t>TUBERIA PVC U.M. EXT CORRUGADO/INT LISO U.M. NORMA NTC 3722-1 D=12" (INCLUYE SUMINISTRO E INSTALACIÓN)</t>
  </si>
  <si>
    <t xml:space="preserve">TUBERIA CONCRETO D=14" CL. I SIN REFUERZO (INCLUYE SUMINISTRO E INSTALACIÓN) </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</si>
  <si>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</si>
  <si>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</si>
  <si>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</si>
  <si>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</si>
  <si>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</si>
  <si>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</si>
  <si>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CONCRETO D=40" CL. II REFORZADO (INCLUYE SUMINISTRO E INSTALACIÓN)</t>
  </si>
  <si>
    <t>CONEXIONES KIT SILLA YEE 200 X 160 PVC. SUMINISTRO E INSTALACIÓN.</t>
  </si>
  <si>
    <t>TUBERIA PVC SANITARIA D=6" TIPO U.S. (INCLUYE SUMINISTRO E INSTALACIÓN)</t>
  </si>
  <si>
    <t>CILINDRO POZO INSP. EN MAMPOSTERIA E=0.25M (INC. SUMIN. Y CONST, ACERO PARA ESCALERAS, GEOTEXTIL Y PAÑETE IMPERMEAB.)</t>
  </si>
  <si>
    <t>PLACA FONDO D 1,70M POZO DE INSPEC(FUNDIDA EN SITIO, INC SUMINISTRO, FORMALET, REFUERZO, INST, INCLUYE CONCRETO 2000 PSI)</t>
  </si>
  <si>
    <t>SUMIDERO LATERAL SL-100, H=1.25M (FUNDIDO EN SITIO, CONCRETO PREMEZCLADO. INCL. SUMIN, FORM, REF. Y CONSTR. INCL. TAPA)</t>
  </si>
  <si>
    <t>SUMIDERO LATERAL SL-200, H=1.25M (FUNDIDO EN SITIO, CONCRETO PREMEZCLADO. INCL. SUMIN, FORM, REF. Y CONSTR. INCL. TAPA)</t>
  </si>
  <si>
    <t>SEÑAL VERTICAL GRUPO DE REGLAMENTARIAS TIPO CIRCULO D=75CM. INCLUYE SUMINISTRO E INSTALACION.</t>
  </si>
  <si>
    <t>CAJA DE INSPECCIÓN DE 0.80X0.80</t>
  </si>
  <si>
    <t>PISO EN LOSETA PREFABRICADA A20 (SUMINISTRO E INSTALACIÓN. INCLUYE BASE 4CM ARENA NIVELACIÓN Y ARENA DE SELLO)</t>
  </si>
  <si>
    <t>TRASIEGO EN OBRA DE MATERIAL PRODUCTO DE EXCAVACIÓN.</t>
  </si>
  <si>
    <t xml:space="preserve">SUMINISTRO E INSTALACIÓN DE TAPA VALVULA DE SEGURIDAD </t>
  </si>
  <si>
    <t xml:space="preserve">SUMINISTRO E INSTALACIÓN DE FORMALETA METÁLICA </t>
  </si>
  <si>
    <t>BOMBEO DE CONCRETO CON AUTOBOMBA (NO INCLUYE SUMINISTRO NI INSTALACIÓN DE CONCRETO)</t>
  </si>
  <si>
    <t>LIMPIEZA DE MUROS CON CEPILLO, AGUA Y ACIDO MURIATICO</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</si>
  <si>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</si>
  <si>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3000 PSI  (300 KG/CM2) GRAVA COMÚN ACELERADO A 7 DÍAS, ESTAMPADO PARA
POMPEYANOS Y  ANDENES A DESNIVEL, COLOR OCRE  (INCLUYE SUMINISTRO Y COLOCACIÓN DE
CONCRETO, JUEGO DE MOLDES,  DESMOLDANTE EN POLVO)</t>
  </si>
  <si>
    <t>E Y D</t>
  </si>
  <si>
    <t>DIAGNÓSTICO Y ACTUALIZACIÓN - ESTUDIOS Y DISEÑOS-VER ANEXO (ACTUALIZ E Y D CIVS LOTE 3)</t>
  </si>
  <si>
    <t>RUBRO PRESUPUESTAL</t>
  </si>
  <si>
    <t>COMPARATIVO DE ACTIVIDADES CON SIMILITUD ≥ 90%</t>
  </si>
  <si>
    <t>Valor unitario indexado (ene. 2022–jun. 2027) | Similitud textual normalizada y correspondencia única</t>
  </si>
  <si>
    <t>LECTURA RÁPIDA</t>
  </si>
  <si>
    <t>Se identificaron 32 pares de actividades con similitud mínima del 90%: 19 equivalencias normalizadas al 100% y 13 coincidencias aproximadas. Se muestran ambas descripciones porque una similitud textual alta puede conservar diferencias técnicas como diámetro, tipo o material.</t>
  </si>
  <si>
    <t>ACTIVIDAD ALPES</t>
  </si>
  <si>
    <t>NUMERAL ALPES</t>
  </si>
  <si>
    <t>UNIDAD ALPES</t>
  </si>
  <si>
    <t>VALOR INDEXADO ALPES</t>
  </si>
  <si>
    <t>ACTIVIDAD CARACOLÍ</t>
  </si>
  <si>
    <t>NUMERAL CARACOLÍ</t>
  </si>
  <si>
    <t>UNIDAD CARACOLÍ</t>
  </si>
  <si>
    <t>VALOR INDEXADO CARACOLÍ</t>
  </si>
  <si>
    <t>SIMILITUD %</t>
  </si>
  <si>
    <t>DIFERENCIA</t>
  </si>
  <si>
    <t>VARIACIÓN %</t>
  </si>
  <si>
    <t>COMPARACIÓN</t>
  </si>
  <si>
    <t>MENOR VALOR</t>
  </si>
  <si>
    <t>OBJETO: REALIZAR EL DIAGNÓSTICO, ACTUALIZACIÓN DE ESTUDIOS Y DISEÑOS Y CULMINACIÓN DE LAS OBRAS EN ESPACIO PÚBLICO PARA EL MEJORAMIENTO INTEGRAL DEL BARRIO CARACOLÍ QUE HACE PARTE DEL TERRITORIO PRORIZADO POR LA SECRETARIA DISTRITAL EN LA LOCALIDAD DE CIUDAD BOLIVAR BAJO LA MODALIDAD DE PRECIOS UNITARIOS FIJOS Y SIN FORMULA DE REAJUSTE.</t>
  </si>
  <si>
    <t>PRESUPUESTO OBRA CARACOLÍ</t>
  </si>
  <si>
    <t>VALOR
UNITARIO</t>
  </si>
  <si>
    <t>VALOR UNITARIO INDEXADO
ENE 2022 - JUN 2027</t>
  </si>
  <si>
    <t>DIRECCIÓN DE HABITAT Y ENTORNOS
SUBSECRETARÍA DE INTERVENCIONES INTEGRALES</t>
  </si>
  <si>
    <t>PRESUPUESTO ESTIMADO OBRA LOS ALPES</t>
  </si>
  <si>
    <t xml:space="preserve">PRESUPUESTO ESTIMADO PARA ACTUALIZACIÓN DE DISEÑOS </t>
  </si>
  <si>
    <t xml:space="preserve">TOTAL COSTO ESTIMADO OBRA </t>
  </si>
  <si>
    <t>PRECIOS UNITARIOS INDEXADOS OBRA LOS ALPES</t>
  </si>
  <si>
    <t>PISO EN CONCRETO 3000 PSI  (300 KG/CM2) GRAVA COMÚN ACELERADO A 7 DÍAS, ESTAMPADO PARA POMPEYANOS Y  ANDENES A DESNIVEL, COLOR OCRE  (INCLUYE SUMINISTRO Y COLOCACIÓN DE CONCRETO, JUEGO DE MOLDES,  DESMOLDANTE EN POLVO)</t>
  </si>
  <si>
    <t>AGOSTO 2026</t>
  </si>
  <si>
    <t>OBJETO: REALIZAR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</si>
  <si>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REALIZAR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</si>
  <si>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 xml:space="preserve">OBJETO DE LA LICITACIÓN: </t>
  </si>
  <si>
    <t>TARIFA SIN PRESTACIONES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</si>
</sst>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_(* \(#,##0.00\);_(* &quot;-&quot;??_);_(@_)"/>
    <numFmt numFmtId="164" formatCode="&quot;$&quot;\ * #,##0.00"/>
    <numFmt numFmtId="165" formatCode="[$$-409]\ #,##0.00"/>
    <numFmt numFmtId="166" formatCode="_-&quot;$&quot;\ * #,##0.00_-;\-&quot;$&quot;\ * #,##0.00_-;_-&quot;$&quot;\ * &quot;-&quot;??_-;_-@_-"/>
    <numFmt numFmtId="167" formatCode="_-* #,##0.00\ _€_-;\-* #,##0.00\ _€_-;_-* &quot;-&quot;??\ _€_-;_-@_-"/>
    <numFmt numFmtId="168" formatCode="_(&quot;$&quot;\ * #,##0.00_);_(&quot;$&quot;\ * \(#,##0.00\);_(&quot;$&quot;\ * &quot;-&quot;??_);_(@_)"/>
    <numFmt numFmtId="169" formatCode="_(&quot;$&quot;\ * #,##0_);_(&quot;$&quot;\ * \(#,##0\);_(&quot;$&quot;\ * &quot;-&quot;??_);_(@_)"/>
    <numFmt numFmtId="170" formatCode="0.0%"/>
    <numFmt numFmtId="171" formatCode="_-&quot;$&quot;\ * #,##0_-;\-&quot;$&quot;\ * #,##0_-;_-&quot;$&quot;\ * &quot;-&quot;_-;_-@_-"/>
    <numFmt numFmtId="172" formatCode="_-[$$-409]* #,##0_ ;_-[$$-409]* \-#,##0\ ;_-[$$-409]* &quot;-&quot;??_ ;_-@_ "/>
    <numFmt numFmtId="173" formatCode="_-[$$-409]* #,##0.00_ ;_-[$$-409]* \-#,##0.00\ ;_-[$$-409]* &quot;-&quot;??_ ;_-@_ "/>
    <numFmt numFmtId="174" formatCode="_-* #,##0_-;\-* #,##0_-;_-* &quot;-&quot;_-;_-@_-"/>
    <numFmt numFmtId="175" formatCode="[$-C0A]mmm\-yy;@"/>
    <numFmt numFmtId="176" formatCode="_-[$$-240A]\ * #,##0.00_-;\-[$$-240A]\ * #,##0.00_-;_-[$$-240A]\ * &quot;-&quot;??_-;_-@_-"/>
    <numFmt numFmtId="177" formatCode="_-&quot;$&quot;* #,##0_-;\-&quot;$&quot;* #,##0_-;_-&quot;$&quot;* &quot;-&quot;??_-;_-@_-"/>
    <numFmt numFmtId="178" formatCode="_-&quot;$&quot;* #,##0_-;\-&quot;$&quot;* #,##0_-;_-&quot;$&quot;* &quot;-&quot;_-;_-@_-"/>
    <numFmt numFmtId="179" formatCode="&quot;$&quot;#,##0.00"/>
    <numFmt numFmtId="180" formatCode="_ * #,##0.00_ ;_ * \-#,##0.00_ ;_ * &quot;-&quot;??_ ;_ @_ "/>
    <numFmt numFmtId="181" formatCode="0.000%"/>
    <numFmt numFmtId="182" formatCode="0.0000%"/>
    <numFmt numFmtId="183" formatCode="_-&quot;$&quot;* #,##0.00_-;\-&quot;$&quot;* #,##0.00_-;_-&quot;$&quot;* &quot;-&quot;??_-;_-@_-"/>
    <numFmt numFmtId="184" formatCode="0.0000"/>
    <numFmt numFmtId="185" formatCode="_-&quot;$&quot;\ * #,##0.00_-;\-&quot;$&quot;\ * #,##0.00_-;_-&quot;$&quot;\ * &quot;-&quot;_-;_-@_-"/>
    <numFmt numFmtId="186" formatCode="[$$-240A]\ #,##0.0"/>
    <numFmt numFmtId="187" formatCode="[$$-240A]\ #,##0.00"/>
    <numFmt numFmtId="188" formatCode="[$$-409]\ #,##0.00;\-[$$-409]\ #,##0.00;[$$-409]\ 0.00"/>
  </numFmts>
  <fonts count="61" x14ac:knownFonts="1">
    <font>
      <sz val="11"/>
      <color theme="1"/>
      <name val="Calibri"/>
      <family val="2"/>
      <scheme val="minor"/>
    </font>
    <font>
      <sz val="12"/>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0"/>
      <name val="Arial"/>
      <family val="2"/>
    </font>
    <font>
      <b/>
      <sz val="12"/>
      <name val="Arial"/>
      <family val="2"/>
    </font>
    <font>
      <sz val="14"/>
      <color theme="1"/>
      <name val="Arial"/>
      <family val="2"/>
    </font>
    <font>
      <b/>
      <sz val="11"/>
      <color theme="1"/>
      <name val="Arial Narrow"/>
      <family val="2"/>
    </font>
    <font>
      <sz val="10"/>
      <color theme="1"/>
      <name val="Arial Narrow"/>
      <family val="2"/>
    </font>
    <font>
      <b/>
      <sz val="11"/>
      <color theme="0"/>
      <name val="Arial Narrow"/>
      <family val="2"/>
    </font>
    <font>
      <b/>
      <sz val="11"/>
      <name val="Arial Narrow"/>
      <family val="2"/>
    </font>
    <font>
      <sz val="11"/>
      <color theme="1"/>
      <name val="Arial Narrow"/>
      <family val="2"/>
    </font>
    <font>
      <b/>
      <sz val="10"/>
      <color theme="1"/>
      <name val="Arial Narrow"/>
      <family val="2"/>
    </font>
    <font>
      <b/>
      <sz val="9"/>
      <name val="Arial Narrow"/>
      <family val="2"/>
    </font>
    <font>
      <sz val="11"/>
      <name val="Arial Narrow"/>
      <family val="2"/>
    </font>
    <font>
      <b/>
      <sz val="8"/>
      <name val="Arial Narrow"/>
      <family val="2"/>
    </font>
    <font>
      <b/>
      <sz val="16"/>
      <color theme="1"/>
      <name val="Arial"/>
      <family val="2"/>
    </font>
    <font>
      <sz val="9"/>
      <color theme="1"/>
      <name val="Arial"/>
      <family val="2"/>
    </font>
    <font>
      <b/>
      <sz val="11"/>
      <color rgb="FF000000"/>
      <name val="Calibri"/>
      <family val="2"/>
      <scheme val="minor"/>
    </font>
    <font>
      <sz val="11"/>
      <color theme="0" tint="-0.499984740745262"/>
      <name val="Arial Narrow"/>
      <family val="2"/>
    </font>
    <font>
      <sz val="10"/>
      <name val="Arial"/>
      <family val="2"/>
    </font>
    <font>
      <sz val="11"/>
      <color theme="1"/>
      <name val="Century Gothic"/>
      <family val="2"/>
    </font>
    <font>
      <b/>
      <sz val="11"/>
      <color theme="1"/>
      <name val="Calibri"/>
      <family val="2"/>
      <scheme val="minor"/>
    </font>
    <font>
      <sz val="12"/>
      <color theme="1"/>
      <name val="Century Gothic"/>
      <family val="2"/>
    </font>
    <font>
      <b/>
      <sz val="12"/>
      <color theme="1"/>
      <name val="Century Gothic"/>
      <family val="2"/>
    </font>
    <font>
      <b/>
      <sz val="11"/>
      <color theme="1"/>
      <name val="Century Gothic"/>
      <family val="2"/>
    </font>
    <font>
      <sz val="11"/>
      <color theme="1"/>
      <name val="Arial"/>
      <family val="2"/>
    </font>
    <font>
      <b/>
      <sz val="12"/>
      <name val="Century Gothic"/>
      <family val="2"/>
    </font>
    <font>
      <sz val="12"/>
      <name val="Century Gothic"/>
      <family val="2"/>
    </font>
    <font>
      <sz val="10"/>
      <color rgb="FF000000"/>
      <name val="Arial"/>
      <family val="2"/>
    </font>
    <font>
      <b/>
      <sz val="10"/>
      <color rgb="FF000000"/>
      <name val="Arial"/>
      <family val="2"/>
    </font>
    <font>
      <b/>
      <sz val="14"/>
      <color theme="1"/>
      <name val="Arial Narrow"/>
      <family val="2"/>
    </font>
    <font>
      <sz val="11"/>
      <name val="Calibri"/>
      <family val="2"/>
      <scheme val="minor"/>
    </font>
    <font>
      <sz val="9"/>
      <name val="Segoe UI"/>
      <family val="2"/>
    </font>
    <font>
      <b/>
      <sz val="14"/>
      <color theme="0"/>
      <name val="Segoe UI"/>
      <family val="2"/>
    </font>
    <font>
      <b/>
      <sz val="9"/>
      <name val="Segoe UI"/>
      <family val="2"/>
    </font>
    <font>
      <b/>
      <sz val="14"/>
      <color theme="0"/>
      <name val="Calibri"/>
      <family val="2"/>
      <scheme val="minor"/>
    </font>
    <font>
      <b/>
      <sz val="11"/>
      <name val="Calibri"/>
      <family val="2"/>
      <scheme val="minor"/>
    </font>
    <font>
      <b/>
      <sz val="9"/>
      <color indexed="81"/>
      <name val="Tahoma"/>
      <family val="2"/>
    </font>
    <font>
      <sz val="9"/>
      <color indexed="81"/>
      <name val="Tahoma"/>
      <family val="2"/>
    </font>
    <font>
      <b/>
      <sz val="12"/>
      <color rgb="FF000000"/>
      <name val="Arial Narrow"/>
      <family val="2"/>
    </font>
    <font>
      <sz val="9"/>
      <name val="Segoe UI"/>
      <family val="2"/>
      <charset val="204"/>
    </font>
    <font>
      <sz val="12"/>
      <color rgb="FF000000"/>
      <name val="Arial Narrow"/>
      <family val="2"/>
    </font>
    <font>
      <sz val="10"/>
      <color rgb="FF000000"/>
      <name val="Segoe UI"/>
      <family val="2"/>
    </font>
    <font>
      <sz val="12"/>
      <color theme="1"/>
      <name val="Arial"/>
      <family val="2"/>
    </font>
    <font>
      <b/>
      <sz val="12"/>
      <color theme="1"/>
      <name val="Arial"/>
      <family val="2"/>
    </font>
    <font>
      <sz val="12"/>
      <color theme="0"/>
      <name val="Arial"/>
      <family val="2"/>
    </font>
    <font>
      <b/>
      <sz val="11"/>
      <color rgb="FFFFFFFF"/>
      <name val="Calibri"/>
      <family val="2"/>
      <scheme val="minor"/>
    </font>
    <font>
      <sz val="8"/>
      <name val="Calibri"/>
      <family val="2"/>
      <scheme val="minor"/>
    </font>
    <font>
      <b/>
      <sz val="18"/>
      <color rgb="FFFFFFFF"/>
      <name val="Calibri"/>
      <family val="2"/>
      <scheme val="minor"/>
    </font>
    <font>
      <i/>
      <sz val="10"/>
      <color rgb="FF666666"/>
      <name val="Calibri"/>
      <family val="2"/>
      <scheme val="minor"/>
    </font>
    <font>
      <sz val="11"/>
      <color rgb="FF1F1F1F"/>
      <name val="Calibri"/>
      <family val="2"/>
      <scheme val="minor"/>
    </font>
    <font>
      <b/>
      <sz val="10"/>
      <color rgb="FF7F6000"/>
      <name val="Arial"/>
      <family val="2"/>
    </font>
    <font>
      <b/>
      <sz val="10"/>
      <color rgb="FF0070C0"/>
      <name val="Arial"/>
      <family val="2"/>
    </font>
    <font>
      <b/>
      <sz val="11"/>
      <color theme="0"/>
      <name val="Calibri"/>
      <family val="2"/>
      <scheme val="minor"/>
    </font>
    <font>
      <b/>
      <sz val="14"/>
      <color theme="0"/>
      <name val="Arial"/>
      <family val="2"/>
    </font>
    <font>
      <b/>
      <sz val="11"/>
      <color theme="0"/>
      <name val="Arial"/>
      <family val="2"/>
    </font>
    <font>
      <b/>
      <sz val="14"/>
      <color rgb="FFFFFFFF"/>
      <name val="Calibri"/>
      <family val="2"/>
      <scheme val="minor"/>
    </font>
    <font>
      <sz val="14"/>
      <color theme="1"/>
      <name val="Calibri"/>
      <family val="2"/>
      <scheme val="minor"/>
    </font>
    <font>
      <b/>
      <sz val="14"/>
      <color rgb="FF0070C0"/>
      <name val="Calibri"/>
      <family val="2"/>
      <scheme val="minor"/>
    </font>
  </fonts>
  <fills count="29">
    <fill>
      <patternFill patternType="none"/>
    </fill>
    <fill>
      <patternFill patternType="gray125"/>
    </fill>
    <fill>
      <patternFill patternType="solid">
        <fgColor rgb="FF00B0F0"/>
        <bgColor indexed="64"/>
      </patternFill>
    </fill>
    <fill>
      <patternFill patternType="solid">
        <fgColor theme="4" tint="-0.499984740745262"/>
        <bgColor indexed="64"/>
      </patternFill>
    </fill>
    <fill>
      <patternFill patternType="solid">
        <fgColor theme="0"/>
        <bgColor indexed="64"/>
      </patternFill>
    </fill>
    <fill>
      <patternFill patternType="solid">
        <fgColor rgb="FFFF00FF"/>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D0D0D0"/>
        <bgColor rgb="FF000000"/>
      </patternFill>
    </fill>
    <fill>
      <patternFill patternType="solid">
        <fgColor theme="1" tint="0.499984740745262"/>
        <bgColor indexed="64"/>
      </patternFill>
    </fill>
    <fill>
      <patternFill patternType="solid">
        <fgColor theme="4" tint="0.39997558519241921"/>
        <bgColor indexed="64"/>
      </patternFill>
    </fill>
    <fill>
      <patternFill patternType="solid">
        <fgColor indexed="65"/>
        <bgColor indexed="64"/>
      </patternFill>
    </fill>
    <fill>
      <patternFill patternType="solid">
        <fgColor theme="2" tint="-9.9978637043366805E-2"/>
        <bgColor indexed="64"/>
      </patternFill>
    </fill>
    <fill>
      <patternFill patternType="solid">
        <fgColor rgb="FFB6004B"/>
        <bgColor indexed="64"/>
      </patternFill>
    </fill>
    <fill>
      <patternFill patternType="solid">
        <fgColor theme="0" tint="-4.9989318521683403E-2"/>
        <bgColor indexed="64"/>
      </patternFill>
    </fill>
    <fill>
      <patternFill patternType="solid">
        <fgColor rgb="FF1F957E"/>
        <bgColor indexed="64"/>
      </patternFill>
    </fill>
    <fill>
      <patternFill patternType="solid">
        <fgColor rgb="FF203764"/>
        <bgColor indexed="64"/>
      </patternFill>
    </fill>
    <fill>
      <patternFill patternType="solid">
        <fgColor rgb="FFFFF2CC"/>
        <bgColor indexed="64"/>
      </patternFill>
    </fill>
    <fill>
      <patternFill patternType="solid">
        <fgColor rgb="FF3B893D"/>
        <bgColor indexed="64"/>
      </patternFill>
    </fill>
    <fill>
      <patternFill patternType="solid">
        <fgColor rgb="FF17365D"/>
        <bgColor indexed="64"/>
      </patternFill>
    </fill>
    <fill>
      <patternFill patternType="solid">
        <fgColor rgb="FF2F75B5"/>
        <bgColor indexed="64"/>
      </patternFill>
    </fill>
    <fill>
      <patternFill patternType="solid">
        <fgColor rgb="FFD9EAF7"/>
        <bgColor indexed="64"/>
      </patternFill>
    </fill>
    <fill>
      <patternFill patternType="solid">
        <fgColor rgb="FF4472C4"/>
        <bgColor indexed="64"/>
      </patternFill>
    </fill>
    <fill>
      <patternFill patternType="solid">
        <fgColor rgb="FF1F4E78"/>
        <bgColor indexed="64"/>
      </patternFill>
    </fill>
    <fill>
      <patternFill patternType="solid">
        <fgColor theme="4" tint="-0.249977111117893"/>
        <bgColor indexed="64"/>
      </patternFill>
    </fill>
    <fill>
      <patternFill patternType="solid">
        <fgColor theme="1" tint="0.34998626667073579"/>
        <bgColor indexed="64"/>
      </patternFill>
    </fill>
  </fills>
  <borders count="6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auto="1"/>
      </right>
      <top style="medium">
        <color auto="1"/>
      </top>
      <bottom style="thin">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hair">
        <color indexed="64"/>
      </left>
      <right/>
      <top style="hair">
        <color indexed="64"/>
      </top>
      <bottom style="hair">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medium">
        <color indexed="64"/>
      </left>
      <right style="thin">
        <color indexed="64"/>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indexed="64"/>
      </right>
      <top/>
      <bottom style="medium">
        <color indexed="64"/>
      </bottom>
      <diagonal/>
    </border>
    <border>
      <left style="thin">
        <color indexed="64"/>
      </left>
      <right style="medium">
        <color indexed="64"/>
      </right>
      <top style="thin">
        <color rgb="FFBF9000"/>
      </top>
      <bottom style="thin">
        <color rgb="FFBF9000"/>
      </bottom>
      <diagonal/>
    </border>
    <border>
      <left style="thin">
        <color indexed="64"/>
      </left>
      <right style="thin">
        <color indexed="64"/>
      </right>
      <top style="thin">
        <color rgb="FFBF9000"/>
      </top>
      <bottom style="thin">
        <color rgb="FFBF9000"/>
      </bottom>
      <diagonal/>
    </border>
    <border>
      <left style="thin">
        <color indexed="64"/>
      </left>
      <right style="medium">
        <color indexed="64"/>
      </right>
      <top/>
      <bottom/>
      <diagonal/>
    </border>
    <border>
      <left style="thin">
        <color indexed="64"/>
      </left>
      <right style="thin">
        <color indexed="64"/>
      </right>
      <top style="thin">
        <color rgb="FFBF9000"/>
      </top>
      <bottom/>
      <diagonal/>
    </border>
    <border>
      <left style="thin">
        <color indexed="64"/>
      </left>
      <right style="thin">
        <color indexed="64"/>
      </right>
      <top/>
      <bottom style="thin">
        <color rgb="FFBF9000"/>
      </bottom>
      <diagonal/>
    </border>
    <border>
      <left style="thin">
        <color indexed="64"/>
      </left>
      <right style="medium">
        <color indexed="64"/>
      </right>
      <top/>
      <bottom style="thin">
        <color rgb="FFBF9000"/>
      </bottom>
      <diagonal/>
    </border>
    <border>
      <left/>
      <right style="medium">
        <color indexed="64"/>
      </right>
      <top style="thin">
        <color indexed="64"/>
      </top>
      <bottom style="medium">
        <color indexed="64"/>
      </bottom>
      <diagonal/>
    </border>
  </borders>
  <cellStyleXfs count="24">
    <xf numFmtId="0" fontId="0" fillId="0" borderId="0"/>
    <xf numFmtId="43"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171" fontId="2" fillId="0" borderId="0" applyFont="0" applyFill="0" applyBorder="0" applyAlignment="0" applyProtection="0"/>
    <xf numFmtId="0" fontId="21" fillId="0" borderId="0"/>
    <xf numFmtId="0" fontId="2" fillId="0" borderId="0"/>
    <xf numFmtId="174" fontId="2" fillId="0" borderId="0" applyFont="0" applyFill="0" applyBorder="0" applyAlignment="0" applyProtection="0"/>
    <xf numFmtId="9" fontId="2" fillId="0" borderId="0" applyFont="0" applyFill="0" applyBorder="0" applyAlignment="0" applyProtection="0"/>
    <xf numFmtId="175" fontId="21" fillId="0" borderId="0"/>
    <xf numFmtId="9" fontId="21" fillId="0" borderId="0" applyFont="0" applyFill="0" applyBorder="0" applyAlignment="0" applyProtection="0"/>
    <xf numFmtId="43" fontId="2" fillId="0" borderId="0" applyFont="0" applyFill="0" applyBorder="0" applyAlignment="0" applyProtection="0"/>
    <xf numFmtId="178" fontId="2" fillId="0" borderId="0" applyFont="0" applyFill="0" applyBorder="0" applyAlignment="0" applyProtection="0"/>
    <xf numFmtId="0" fontId="21" fillId="0" borderId="0" applyBorder="0"/>
    <xf numFmtId="9" fontId="21" fillId="0" borderId="0" applyFont="0" applyFill="0" applyBorder="0" applyAlignment="0" applyProtection="0"/>
    <xf numFmtId="0" fontId="21" fillId="0" borderId="0"/>
    <xf numFmtId="43" fontId="1" fillId="0" borderId="0" applyFont="0" applyFill="0" applyBorder="0" applyAlignment="0" applyProtection="0"/>
    <xf numFmtId="180" fontId="21" fillId="0" borderId="0" applyFont="0" applyFill="0" applyBorder="0" applyAlignment="0" applyProtection="0"/>
    <xf numFmtId="9" fontId="21" fillId="0" borderId="0" applyFont="0" applyFill="0" applyBorder="0" applyAlignment="0" applyProtection="0"/>
    <xf numFmtId="0" fontId="2" fillId="0" borderId="0"/>
    <xf numFmtId="9" fontId="2" fillId="0" borderId="0" applyFont="0" applyFill="0" applyBorder="0" applyAlignment="0" applyProtection="0"/>
    <xf numFmtId="183" fontId="2" fillId="0" borderId="0" applyFont="0" applyFill="0" applyBorder="0" applyAlignment="0" applyProtection="0"/>
  </cellStyleXfs>
  <cellXfs count="609">
    <xf numFmtId="0" fontId="0" fillId="0" borderId="0" xfId="0"/>
    <xf numFmtId="0" fontId="3" fillId="0" borderId="0" xfId="0" applyFont="1" applyAlignment="1">
      <alignment vertical="center"/>
    </xf>
    <xf numFmtId="0" fontId="3" fillId="0" borderId="2"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4" fillId="0" borderId="0" xfId="0" applyFont="1" applyAlignment="1">
      <alignment horizontal="center" vertical="center" wrapText="1"/>
    </xf>
    <xf numFmtId="0" fontId="5" fillId="2" borderId="6" xfId="0" applyFont="1" applyFill="1" applyBorder="1" applyAlignment="1">
      <alignment horizontal="center" vertical="center"/>
    </xf>
    <xf numFmtId="0" fontId="6" fillId="2" borderId="7" xfId="0" applyFont="1" applyFill="1" applyBorder="1" applyAlignment="1">
      <alignment horizontal="left" vertical="center" wrapText="1"/>
    </xf>
    <xf numFmtId="0" fontId="5" fillId="2" borderId="7" xfId="0" applyFont="1" applyFill="1" applyBorder="1" applyAlignment="1">
      <alignment horizontal="center" vertical="center"/>
    </xf>
    <xf numFmtId="2" fontId="5" fillId="2" borderId="7" xfId="0" applyNumberFormat="1" applyFont="1" applyFill="1" applyBorder="1" applyAlignment="1">
      <alignment vertical="center"/>
    </xf>
    <xf numFmtId="164" fontId="5" fillId="2" borderId="8" xfId="0" applyNumberFormat="1" applyFont="1" applyFill="1" applyBorder="1" applyAlignment="1">
      <alignment vertical="center"/>
    </xf>
    <xf numFmtId="0" fontId="5" fillId="3" borderId="6" xfId="0" applyFont="1" applyFill="1" applyBorder="1" applyAlignment="1">
      <alignment horizontal="center" vertical="center"/>
    </xf>
    <xf numFmtId="0" fontId="5" fillId="3" borderId="7" xfId="0" applyFont="1" applyFill="1" applyBorder="1" applyAlignment="1">
      <alignment horizontal="left" vertical="center" wrapText="1"/>
    </xf>
    <xf numFmtId="0" fontId="5" fillId="3" borderId="7" xfId="0" applyFont="1" applyFill="1" applyBorder="1" applyAlignment="1">
      <alignment horizontal="center" vertical="center"/>
    </xf>
    <xf numFmtId="2" fontId="5" fillId="3" borderId="4" xfId="0" applyNumberFormat="1" applyFont="1" applyFill="1" applyBorder="1" applyAlignment="1">
      <alignment vertical="center"/>
    </xf>
    <xf numFmtId="164" fontId="5" fillId="3" borderId="4" xfId="0" applyNumberFormat="1" applyFont="1" applyFill="1" applyBorder="1" applyAlignment="1">
      <alignment vertical="center"/>
    </xf>
    <xf numFmtId="164" fontId="5" fillId="3" borderId="9" xfId="0" applyNumberFormat="1" applyFont="1" applyFill="1" applyBorder="1" applyAlignment="1">
      <alignment vertical="center"/>
    </xf>
    <xf numFmtId="0" fontId="3" fillId="0" borderId="10" xfId="0" applyFont="1" applyBorder="1" applyAlignment="1">
      <alignment horizontal="center" vertical="center"/>
    </xf>
    <xf numFmtId="0" fontId="3" fillId="4" borderId="4" xfId="0" applyFont="1" applyFill="1" applyBorder="1" applyAlignment="1">
      <alignment horizontal="left" vertical="center" wrapText="1"/>
    </xf>
    <xf numFmtId="0" fontId="3" fillId="4" borderId="4" xfId="0" applyFont="1" applyFill="1" applyBorder="1" applyAlignment="1">
      <alignment horizontal="center" vertical="center"/>
    </xf>
    <xf numFmtId="2" fontId="3" fillId="4" borderId="4" xfId="0" applyNumberFormat="1" applyFont="1" applyFill="1" applyBorder="1" applyAlignment="1">
      <alignment vertical="center"/>
    </xf>
    <xf numFmtId="164" fontId="3" fillId="4" borderId="9" xfId="0" applyNumberFormat="1" applyFont="1" applyFill="1" applyBorder="1" applyAlignment="1">
      <alignment vertical="center"/>
    </xf>
    <xf numFmtId="0" fontId="3" fillId="0" borderId="4" xfId="0" applyFont="1" applyBorder="1" applyAlignment="1">
      <alignment horizontal="left" vertical="center" wrapText="1"/>
    </xf>
    <xf numFmtId="0" fontId="3" fillId="0" borderId="4" xfId="0" applyFont="1" applyBorder="1" applyAlignment="1">
      <alignment horizontal="center" vertical="center"/>
    </xf>
    <xf numFmtId="2" fontId="3" fillId="0" borderId="4" xfId="0" applyNumberFormat="1" applyFont="1" applyBorder="1" applyAlignment="1">
      <alignment vertical="center"/>
    </xf>
    <xf numFmtId="165" fontId="3" fillId="0" borderId="4" xfId="0" applyNumberFormat="1" applyFont="1" applyBorder="1" applyAlignment="1">
      <alignment vertical="center"/>
    </xf>
    <xf numFmtId="164" fontId="3" fillId="0" borderId="9" xfId="0" applyNumberFormat="1" applyFont="1" applyBorder="1" applyAlignment="1">
      <alignment vertical="center"/>
    </xf>
    <xf numFmtId="0" fontId="5" fillId="3" borderId="10" xfId="0" applyFont="1" applyFill="1" applyBorder="1" applyAlignment="1">
      <alignment horizontal="center" vertical="center"/>
    </xf>
    <xf numFmtId="0" fontId="5" fillId="3" borderId="4" xfId="0" applyFont="1" applyFill="1" applyBorder="1" applyAlignment="1">
      <alignment horizontal="left" vertical="center" wrapText="1"/>
    </xf>
    <xf numFmtId="0" fontId="5" fillId="3" borderId="4" xfId="0" applyFont="1" applyFill="1" applyBorder="1" applyAlignment="1">
      <alignment horizontal="center" vertical="center"/>
    </xf>
    <xf numFmtId="2" fontId="5" fillId="3" borderId="4" xfId="0" applyNumberFormat="1" applyFont="1" applyFill="1" applyBorder="1" applyAlignment="1">
      <alignment horizontal="center" vertical="center"/>
    </xf>
    <xf numFmtId="0" fontId="3" fillId="6" borderId="10" xfId="0" applyFont="1" applyFill="1" applyBorder="1" applyAlignment="1">
      <alignment horizontal="center" vertical="center"/>
    </xf>
    <xf numFmtId="0" fontId="3" fillId="6" borderId="4" xfId="0" applyFont="1" applyFill="1" applyBorder="1" applyAlignment="1">
      <alignment horizontal="left" vertical="center" wrapText="1"/>
    </xf>
    <xf numFmtId="0" fontId="3" fillId="6" borderId="4" xfId="0" applyFont="1" applyFill="1" applyBorder="1" applyAlignment="1">
      <alignment horizontal="center" vertical="center"/>
    </xf>
    <xf numFmtId="2" fontId="3" fillId="6" borderId="4" xfId="0" applyNumberFormat="1" applyFont="1" applyFill="1" applyBorder="1" applyAlignment="1">
      <alignment vertical="center"/>
    </xf>
    <xf numFmtId="2" fontId="3" fillId="0" borderId="0" xfId="0" applyNumberFormat="1" applyFont="1" applyAlignment="1">
      <alignment vertical="center"/>
    </xf>
    <xf numFmtId="164" fontId="3" fillId="0" borderId="0" xfId="0" applyNumberFormat="1" applyFont="1" applyAlignment="1">
      <alignment vertical="center"/>
    </xf>
    <xf numFmtId="0" fontId="4" fillId="7" borderId="17" xfId="0" applyFont="1" applyFill="1" applyBorder="1" applyAlignment="1">
      <alignment horizontal="center" vertical="center"/>
    </xf>
    <xf numFmtId="0" fontId="4" fillId="7" borderId="18" xfId="0" applyFont="1" applyFill="1" applyBorder="1" applyAlignment="1">
      <alignment horizontal="left" vertical="center" wrapText="1"/>
    </xf>
    <xf numFmtId="0" fontId="4" fillId="7" borderId="18" xfId="0" applyFont="1" applyFill="1" applyBorder="1" applyAlignment="1">
      <alignment horizontal="center" vertical="center"/>
    </xf>
    <xf numFmtId="2" fontId="4" fillId="7" borderId="18" xfId="0" applyNumberFormat="1" applyFont="1" applyFill="1" applyBorder="1" applyAlignment="1">
      <alignment vertical="center"/>
    </xf>
    <xf numFmtId="166" fontId="4" fillId="7" borderId="8" xfId="2" applyFont="1" applyFill="1" applyBorder="1" applyAlignment="1">
      <alignment vertical="center"/>
    </xf>
    <xf numFmtId="0" fontId="3" fillId="0" borderId="20" xfId="0" applyFont="1" applyBorder="1" applyAlignment="1">
      <alignment horizontal="center" vertical="center"/>
    </xf>
    <xf numFmtId="0" fontId="3" fillId="0" borderId="2" xfId="0" applyFont="1" applyBorder="1" applyAlignment="1">
      <alignment horizontal="left" vertical="center" wrapText="1"/>
    </xf>
    <xf numFmtId="2" fontId="3" fillId="0" borderId="2" xfId="0" applyNumberFormat="1" applyFont="1" applyBorder="1" applyAlignment="1">
      <alignment vertical="center"/>
    </xf>
    <xf numFmtId="166" fontId="3" fillId="0" borderId="9" xfId="2" applyFont="1" applyBorder="1" applyAlignment="1">
      <alignment vertical="center"/>
    </xf>
    <xf numFmtId="0" fontId="4" fillId="7" borderId="21" xfId="0" applyFont="1" applyFill="1" applyBorder="1" applyAlignment="1">
      <alignment horizontal="center" vertical="center"/>
    </xf>
    <xf numFmtId="0" fontId="4" fillId="7" borderId="22" xfId="0" applyFont="1" applyFill="1" applyBorder="1" applyAlignment="1">
      <alignment horizontal="left" vertical="center"/>
    </xf>
    <xf numFmtId="0" fontId="4" fillId="7" borderId="22" xfId="0" applyFont="1" applyFill="1" applyBorder="1" applyAlignment="1">
      <alignment horizontal="center" vertical="center"/>
    </xf>
    <xf numFmtId="2" fontId="4" fillId="7" borderId="22" xfId="0" applyNumberFormat="1" applyFont="1" applyFill="1" applyBorder="1" applyAlignment="1">
      <alignment vertical="center"/>
    </xf>
    <xf numFmtId="166" fontId="4" fillId="7" borderId="16" xfId="2" applyFont="1" applyFill="1" applyBorder="1" applyAlignment="1">
      <alignment vertical="center"/>
    </xf>
    <xf numFmtId="0" fontId="4" fillId="7" borderId="24" xfId="0" applyFont="1" applyFill="1" applyBorder="1" applyAlignment="1">
      <alignment horizontal="center" vertical="center"/>
    </xf>
    <xf numFmtId="0" fontId="4" fillId="7" borderId="25" xfId="0" applyFont="1" applyFill="1" applyBorder="1" applyAlignment="1">
      <alignment horizontal="left" vertical="center"/>
    </xf>
    <xf numFmtId="0" fontId="4" fillId="7" borderId="25" xfId="0" applyFont="1" applyFill="1" applyBorder="1" applyAlignment="1">
      <alignment horizontal="center" vertical="center"/>
    </xf>
    <xf numFmtId="2" fontId="4" fillId="7" borderId="25" xfId="0" applyNumberFormat="1" applyFont="1" applyFill="1" applyBorder="1" applyAlignment="1">
      <alignment vertical="center"/>
    </xf>
    <xf numFmtId="166" fontId="4" fillId="7" borderId="26" xfId="2" applyFont="1" applyFill="1" applyBorder="1" applyAlignment="1">
      <alignment vertical="center"/>
    </xf>
    <xf numFmtId="167" fontId="3" fillId="0" borderId="0" xfId="0" applyNumberFormat="1" applyFont="1" applyAlignment="1">
      <alignment vertical="center"/>
    </xf>
    <xf numFmtId="0" fontId="4" fillId="0" borderId="1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2" fontId="5" fillId="3" borderId="11" xfId="0" applyNumberFormat="1" applyFont="1" applyFill="1" applyBorder="1" applyAlignment="1">
      <alignment vertical="center"/>
    </xf>
    <xf numFmtId="2" fontId="5" fillId="3" borderId="12" xfId="0" applyNumberFormat="1" applyFont="1" applyFill="1" applyBorder="1" applyAlignment="1">
      <alignment vertical="center"/>
    </xf>
    <xf numFmtId="2" fontId="5" fillId="3" borderId="13" xfId="0" applyNumberFormat="1" applyFont="1" applyFill="1" applyBorder="1" applyAlignment="1">
      <alignment vertical="center"/>
    </xf>
    <xf numFmtId="2" fontId="3" fillId="0" borderId="4" xfId="0" applyNumberFormat="1" applyFont="1" applyBorder="1" applyAlignment="1">
      <alignment horizontal="right" vertical="center"/>
    </xf>
    <xf numFmtId="2" fontId="3" fillId="0" borderId="10" xfId="0" applyNumberFormat="1" applyFont="1" applyBorder="1" applyAlignment="1">
      <alignment vertical="center"/>
    </xf>
    <xf numFmtId="2" fontId="3" fillId="0" borderId="9" xfId="0" applyNumberFormat="1" applyFont="1" applyBorder="1" applyAlignment="1">
      <alignment vertical="center"/>
    </xf>
    <xf numFmtId="2" fontId="5" fillId="3" borderId="10" xfId="0" applyNumberFormat="1" applyFont="1" applyFill="1" applyBorder="1" applyAlignment="1">
      <alignment vertical="center"/>
    </xf>
    <xf numFmtId="2" fontId="5" fillId="3" borderId="9" xfId="0" applyNumberFormat="1" applyFont="1" applyFill="1" applyBorder="1" applyAlignment="1">
      <alignment vertical="center"/>
    </xf>
    <xf numFmtId="0" fontId="3" fillId="0" borderId="15" xfId="0" applyFont="1" applyBorder="1" applyAlignment="1">
      <alignment horizontal="left" vertical="center" wrapText="1"/>
    </xf>
    <xf numFmtId="0" fontId="3" fillId="0" borderId="15" xfId="0" applyFont="1" applyBorder="1" applyAlignment="1">
      <alignment horizontal="center" vertical="center"/>
    </xf>
    <xf numFmtId="2" fontId="3" fillId="0" borderId="14" xfId="0" applyNumberFormat="1" applyFont="1" applyBorder="1" applyAlignment="1">
      <alignment vertical="center"/>
    </xf>
    <xf numFmtId="2" fontId="3" fillId="0" borderId="15" xfId="0" applyNumberFormat="1" applyFont="1" applyBorder="1" applyAlignment="1">
      <alignment vertical="center"/>
    </xf>
    <xf numFmtId="2" fontId="3" fillId="0" borderId="15" xfId="0" applyNumberFormat="1" applyFont="1" applyBorder="1" applyAlignment="1">
      <alignment horizontal="right" vertical="center"/>
    </xf>
    <xf numFmtId="2" fontId="3" fillId="0" borderId="16" xfId="0" applyNumberFormat="1" applyFont="1" applyBorder="1" applyAlignment="1">
      <alignment vertical="center"/>
    </xf>
    <xf numFmtId="0" fontId="8" fillId="0" borderId="0" xfId="0" applyFont="1" applyAlignment="1">
      <alignment horizontal="center"/>
    </xf>
    <xf numFmtId="0" fontId="9" fillId="0" borderId="0" xfId="0" applyFont="1"/>
    <xf numFmtId="0" fontId="8"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left" wrapText="1"/>
    </xf>
    <xf numFmtId="43" fontId="11" fillId="0" borderId="0" xfId="4" applyFont="1" applyFill="1" applyBorder="1" applyAlignment="1">
      <alignment horizontal="center"/>
    </xf>
    <xf numFmtId="0" fontId="11" fillId="0" borderId="0" xfId="0" applyFont="1" applyAlignment="1">
      <alignment horizontal="right"/>
    </xf>
    <xf numFmtId="0" fontId="10" fillId="0" borderId="0" xfId="0" applyFont="1"/>
    <xf numFmtId="169" fontId="11" fillId="0" borderId="0" xfId="5" applyNumberFormat="1" applyFont="1" applyFill="1" applyBorder="1" applyAlignment="1">
      <alignment horizontal="center"/>
    </xf>
    <xf numFmtId="170" fontId="12" fillId="0" borderId="0" xfId="3" applyNumberFormat="1" applyFont="1" applyBorder="1" applyAlignment="1">
      <alignment horizontal="center" vertical="center"/>
    </xf>
    <xf numFmtId="170" fontId="12" fillId="0" borderId="0" xfId="3" applyNumberFormat="1" applyFont="1" applyFill="1" applyBorder="1" applyAlignment="1">
      <alignment horizontal="center"/>
    </xf>
    <xf numFmtId="1" fontId="12" fillId="0" borderId="0" xfId="0" applyNumberFormat="1" applyFont="1"/>
    <xf numFmtId="0" fontId="12" fillId="0" borderId="0" xfId="0" applyFont="1" applyAlignment="1">
      <alignment horizontal="center" vertical="center"/>
    </xf>
    <xf numFmtId="0" fontId="12" fillId="0" borderId="0" xfId="0" applyFont="1"/>
    <xf numFmtId="0" fontId="11" fillId="9" borderId="4" xfId="0" applyFont="1" applyFill="1" applyBorder="1" applyAlignment="1">
      <alignment horizontal="center" vertical="center"/>
    </xf>
    <xf numFmtId="0" fontId="11" fillId="9" borderId="4" xfId="0" applyFont="1" applyFill="1" applyBorder="1" applyAlignment="1">
      <alignment horizontal="center" vertical="center" wrapText="1"/>
    </xf>
    <xf numFmtId="0" fontId="14" fillId="9" borderId="4" xfId="0" applyFont="1" applyFill="1" applyBorder="1" applyAlignment="1">
      <alignment horizontal="center" vertical="center" wrapText="1"/>
    </xf>
    <xf numFmtId="0" fontId="14" fillId="9" borderId="4" xfId="0" applyFont="1" applyFill="1" applyBorder="1" applyAlignment="1">
      <alignment horizontal="center" vertical="center"/>
    </xf>
    <xf numFmtId="0" fontId="12" fillId="0" borderId="0" xfId="0" applyFont="1" applyAlignment="1">
      <alignment horizontal="right"/>
    </xf>
    <xf numFmtId="0" fontId="15" fillId="4" borderId="0" xfId="0" applyFont="1" applyFill="1" applyAlignment="1">
      <alignment horizontal="center" vertical="center"/>
    </xf>
    <xf numFmtId="0" fontId="15" fillId="4" borderId="0" xfId="0" applyFont="1" applyFill="1" applyAlignment="1">
      <alignment vertical="center"/>
    </xf>
    <xf numFmtId="0" fontId="11" fillId="0" borderId="0" xfId="0" applyFont="1" applyAlignment="1">
      <alignment horizontal="center" vertical="center"/>
    </xf>
    <xf numFmtId="0" fontId="11" fillId="0" borderId="0" xfId="0" applyFont="1" applyAlignment="1">
      <alignment horizontal="left" vertical="center"/>
    </xf>
    <xf numFmtId="0" fontId="16" fillId="9" borderId="4" xfId="0" applyFont="1" applyFill="1" applyBorder="1" applyAlignment="1">
      <alignment horizontal="center" vertical="center"/>
    </xf>
    <xf numFmtId="0" fontId="15" fillId="0" borderId="4" xfId="0" applyFont="1" applyBorder="1" applyAlignment="1">
      <alignment horizontal="center" vertical="center"/>
    </xf>
    <xf numFmtId="0" fontId="15" fillId="0" borderId="4" xfId="0" applyFont="1" applyBorder="1" applyAlignment="1">
      <alignment vertical="center"/>
    </xf>
    <xf numFmtId="0" fontId="15" fillId="0" borderId="4" xfId="0" applyFont="1" applyBorder="1" applyAlignment="1">
      <alignment horizontal="center" vertical="center" wrapText="1"/>
    </xf>
    <xf numFmtId="0" fontId="11" fillId="0" borderId="4" xfId="0" applyFont="1" applyBorder="1" applyAlignment="1">
      <alignment horizontal="center" vertical="center"/>
    </xf>
    <xf numFmtId="168" fontId="11" fillId="0" borderId="0" xfId="5" applyFont="1" applyAlignment="1">
      <alignment horizontal="left" vertical="center"/>
    </xf>
    <xf numFmtId="0" fontId="15" fillId="0" borderId="4" xfId="0" applyFont="1" applyBorder="1" applyAlignment="1">
      <alignment vertical="center" wrapText="1"/>
    </xf>
    <xf numFmtId="0" fontId="15" fillId="4" borderId="4" xfId="0" applyFont="1" applyFill="1" applyBorder="1" applyAlignment="1">
      <alignment vertical="center" wrapText="1"/>
    </xf>
    <xf numFmtId="0" fontId="15"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horizontal="center" vertical="center" wrapText="1"/>
    </xf>
    <xf numFmtId="171" fontId="15" fillId="0" borderId="0" xfId="6" applyFont="1" applyFill="1" applyBorder="1" applyAlignment="1">
      <alignment horizontal="right" vertical="center"/>
    </xf>
    <xf numFmtId="171" fontId="15" fillId="0" borderId="0" xfId="6" applyFont="1" applyFill="1" applyBorder="1" applyAlignment="1">
      <alignment horizontal="left" vertical="center"/>
    </xf>
    <xf numFmtId="0" fontId="15" fillId="4" borderId="12" xfId="0" applyFont="1" applyFill="1" applyBorder="1" applyAlignment="1">
      <alignment vertical="center" wrapText="1"/>
    </xf>
    <xf numFmtId="0" fontId="15" fillId="0" borderId="12" xfId="0" applyFont="1" applyBorder="1" applyAlignment="1">
      <alignment horizontal="center" vertical="center" wrapText="1"/>
    </xf>
    <xf numFmtId="0" fontId="11" fillId="0" borderId="12" xfId="0" applyFont="1" applyBorder="1" applyAlignment="1">
      <alignment horizontal="center" vertical="center"/>
    </xf>
    <xf numFmtId="0" fontId="15" fillId="0" borderId="12" xfId="0" applyFont="1" applyBorder="1" applyAlignment="1">
      <alignment horizontal="center" vertical="center"/>
    </xf>
    <xf numFmtId="0" fontId="15" fillId="0" borderId="4" xfId="0" applyFont="1" applyBorder="1" applyAlignment="1">
      <alignment horizontal="left" vertical="center"/>
    </xf>
    <xf numFmtId="0" fontId="12" fillId="0" borderId="4" xfId="0" applyFont="1" applyBorder="1" applyAlignment="1">
      <alignment horizontal="center" vertical="center" wrapText="1"/>
    </xf>
    <xf numFmtId="0" fontId="8" fillId="0" borderId="4" xfId="0" applyFont="1" applyBorder="1" applyAlignment="1">
      <alignment horizontal="center" vertical="center"/>
    </xf>
    <xf numFmtId="0" fontId="12" fillId="0" borderId="4" xfId="0" applyFont="1" applyBorder="1" applyAlignment="1">
      <alignment horizontal="center" vertical="center"/>
    </xf>
    <xf numFmtId="0" fontId="12" fillId="0" borderId="4" xfId="0" applyFont="1" applyBorder="1" applyAlignment="1">
      <alignment vertical="center"/>
    </xf>
    <xf numFmtId="0" fontId="3" fillId="0" borderId="0" xfId="0" applyFont="1"/>
    <xf numFmtId="0" fontId="17" fillId="0" borderId="0" xfId="0" applyFont="1" applyAlignment="1">
      <alignment horizontal="center" vertical="center"/>
    </xf>
    <xf numFmtId="0" fontId="18" fillId="0" borderId="0" xfId="0" applyFont="1"/>
    <xf numFmtId="10" fontId="11" fillId="0" borderId="0" xfId="3" applyNumberFormat="1" applyFont="1" applyFill="1" applyBorder="1" applyAlignment="1">
      <alignment horizontal="right" vertical="center"/>
    </xf>
    <xf numFmtId="0" fontId="12" fillId="0" borderId="0" xfId="0" applyFont="1" applyAlignment="1">
      <alignment horizontal="left" vertical="center"/>
    </xf>
    <xf numFmtId="0" fontId="15" fillId="4" borderId="4" xfId="0" applyFont="1" applyFill="1" applyBorder="1" applyAlignment="1">
      <alignment horizontal="center" vertical="center"/>
    </xf>
    <xf numFmtId="0" fontId="15" fillId="4" borderId="0" xfId="0" applyFont="1" applyFill="1" applyAlignment="1">
      <alignment vertical="center" wrapText="1"/>
    </xf>
    <xf numFmtId="10" fontId="15" fillId="0" borderId="0" xfId="3" applyNumberFormat="1" applyFont="1" applyFill="1" applyBorder="1" applyAlignment="1">
      <alignment horizontal="center" vertical="center"/>
    </xf>
    <xf numFmtId="2" fontId="15" fillId="0" borderId="4" xfId="0" applyNumberFormat="1" applyFont="1" applyBorder="1" applyAlignment="1">
      <alignment horizontal="center" vertical="center"/>
    </xf>
    <xf numFmtId="0" fontId="12" fillId="0" borderId="4"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xf>
    <xf numFmtId="0" fontId="8" fillId="0" borderId="0" xfId="0" applyFont="1" applyAlignment="1">
      <alignment horizontal="center" vertical="center"/>
    </xf>
    <xf numFmtId="0" fontId="19" fillId="11" borderId="4" xfId="0" applyFont="1" applyFill="1" applyBorder="1" applyAlignment="1">
      <alignment horizontal="center" vertical="center" wrapText="1"/>
    </xf>
    <xf numFmtId="10" fontId="11" fillId="10" borderId="8" xfId="3" applyNumberFormat="1" applyFont="1" applyFill="1" applyBorder="1" applyAlignment="1">
      <alignment horizontal="center" vertical="center"/>
    </xf>
    <xf numFmtId="10" fontId="11" fillId="10" borderId="37" xfId="3" applyNumberFormat="1" applyFont="1" applyFill="1" applyBorder="1" applyAlignment="1">
      <alignment horizontal="center" vertical="center"/>
    </xf>
    <xf numFmtId="0" fontId="15" fillId="0" borderId="0" xfId="0" applyFont="1" applyAlignment="1">
      <alignment vertical="center"/>
    </xf>
    <xf numFmtId="10" fontId="10" fillId="12" borderId="37" xfId="3" applyNumberFormat="1" applyFont="1" applyFill="1" applyBorder="1" applyAlignment="1">
      <alignment horizontal="center" vertical="center"/>
    </xf>
    <xf numFmtId="171" fontId="11" fillId="0" borderId="0" xfId="0" applyNumberFormat="1" applyFont="1" applyAlignment="1">
      <alignment horizontal="left" vertical="center"/>
    </xf>
    <xf numFmtId="0" fontId="11" fillId="0" borderId="0" xfId="0" applyFont="1" applyAlignment="1">
      <alignment vertical="center"/>
    </xf>
    <xf numFmtId="0" fontId="12" fillId="0" borderId="0" xfId="0" applyFont="1" applyAlignment="1">
      <alignment horizontal="left" wrapText="1"/>
    </xf>
    <xf numFmtId="43" fontId="15" fillId="0" borderId="0" xfId="4" applyFont="1" applyFill="1" applyBorder="1" applyAlignment="1">
      <alignment horizontal="center"/>
    </xf>
    <xf numFmtId="0" fontId="15" fillId="0" borderId="0" xfId="0" applyFont="1" applyAlignment="1">
      <alignment horizontal="right"/>
    </xf>
    <xf numFmtId="0" fontId="15" fillId="0" borderId="0" xfId="0" applyFont="1" applyAlignment="1">
      <alignment horizontal="left" vertical="center"/>
    </xf>
    <xf numFmtId="2" fontId="15" fillId="0" borderId="0" xfId="0" applyNumberFormat="1" applyFont="1" applyAlignment="1">
      <alignment horizontal="center" vertical="center"/>
    </xf>
    <xf numFmtId="171" fontId="12" fillId="0" borderId="0" xfId="0" applyNumberFormat="1" applyFont="1"/>
    <xf numFmtId="171" fontId="11" fillId="0" borderId="0" xfId="0" applyNumberFormat="1" applyFont="1" applyAlignment="1">
      <alignment vertical="center"/>
    </xf>
    <xf numFmtId="9" fontId="15" fillId="0" borderId="0" xfId="3" applyFont="1" applyFill="1" applyBorder="1" applyAlignment="1">
      <alignment horizontal="center" vertical="center"/>
    </xf>
    <xf numFmtId="0" fontId="20" fillId="0" borderId="0" xfId="0" applyFont="1" applyAlignment="1">
      <alignment horizontal="center" vertical="center"/>
    </xf>
    <xf numFmtId="9" fontId="20" fillId="0" borderId="0" xfId="3" applyFont="1" applyFill="1" applyBorder="1" applyAlignment="1">
      <alignment horizontal="center" vertical="center"/>
    </xf>
    <xf numFmtId="171" fontId="20" fillId="0" borderId="0" xfId="6" applyFont="1" applyFill="1" applyBorder="1" applyAlignment="1">
      <alignment horizontal="left" vertical="center"/>
    </xf>
    <xf numFmtId="9" fontId="12" fillId="0" borderId="0" xfId="0" applyNumberFormat="1" applyFont="1" applyAlignment="1">
      <alignment horizontal="center" vertical="center"/>
    </xf>
    <xf numFmtId="0" fontId="11" fillId="0" borderId="0" xfId="7" applyFont="1" applyAlignment="1">
      <alignment vertical="center" wrapText="1"/>
    </xf>
    <xf numFmtId="169" fontId="8" fillId="0" borderId="0" xfId="0" applyNumberFormat="1" applyFont="1"/>
    <xf numFmtId="169" fontId="8" fillId="0" borderId="0" xfId="5" applyNumberFormat="1" applyFont="1" applyFill="1" applyBorder="1"/>
    <xf numFmtId="0" fontId="11" fillId="0" borderId="0" xfId="7" applyFont="1" applyAlignment="1">
      <alignment horizontal="right" vertical="center" wrapText="1"/>
    </xf>
    <xf numFmtId="0" fontId="15" fillId="0" borderId="0" xfId="7" applyFont="1" applyAlignment="1">
      <alignment horizontal="center" vertical="center" wrapText="1"/>
    </xf>
    <xf numFmtId="10" fontId="15" fillId="0" borderId="0" xfId="7" applyNumberFormat="1" applyFont="1" applyAlignment="1">
      <alignment vertical="center" wrapText="1"/>
    </xf>
    <xf numFmtId="172" fontId="15" fillId="0" borderId="0" xfId="7" applyNumberFormat="1" applyFont="1" applyAlignment="1">
      <alignment vertical="center" wrapText="1"/>
    </xf>
    <xf numFmtId="169" fontId="11" fillId="0" borderId="0" xfId="7" applyNumberFormat="1" applyFont="1" applyAlignment="1">
      <alignment vertical="center" wrapText="1"/>
    </xf>
    <xf numFmtId="0" fontId="11" fillId="0" borderId="0" xfId="7" applyFont="1" applyAlignment="1">
      <alignment horizontal="center" vertical="center" wrapText="1"/>
    </xf>
    <xf numFmtId="173" fontId="11" fillId="0" borderId="0" xfId="7" applyNumberFormat="1" applyFont="1" applyAlignment="1">
      <alignment vertical="center" wrapText="1"/>
    </xf>
    <xf numFmtId="9" fontId="15" fillId="0" borderId="0" xfId="0" applyNumberFormat="1" applyFont="1" applyAlignment="1">
      <alignment horizontal="center" vertical="center"/>
    </xf>
    <xf numFmtId="0" fontId="22" fillId="0" borderId="0" xfId="8" applyFont="1"/>
    <xf numFmtId="0" fontId="23" fillId="0" borderId="4" xfId="0" applyFont="1" applyBorder="1" applyAlignment="1">
      <alignment horizontal="center" vertical="center"/>
    </xf>
    <xf numFmtId="0" fontId="22" fillId="0" borderId="0" xfId="8" applyFont="1" applyAlignment="1">
      <alignment horizontal="center"/>
    </xf>
    <xf numFmtId="0" fontId="24" fillId="0" borderId="0" xfId="8" applyFont="1"/>
    <xf numFmtId="0" fontId="25" fillId="9" borderId="4" xfId="8" applyFont="1" applyFill="1" applyBorder="1" applyAlignment="1">
      <alignment vertical="center"/>
    </xf>
    <xf numFmtId="0" fontId="24" fillId="9" borderId="4" xfId="8" applyFont="1" applyFill="1" applyBorder="1" applyAlignment="1">
      <alignment vertical="center"/>
    </xf>
    <xf numFmtId="174" fontId="25" fillId="9" borderId="4" xfId="9" applyFont="1" applyFill="1" applyBorder="1" applyAlignment="1">
      <alignment vertical="center"/>
    </xf>
    <xf numFmtId="174" fontId="26" fillId="9" borderId="4" xfId="9" applyFont="1" applyFill="1" applyBorder="1" applyAlignment="1">
      <alignment horizontal="center" vertical="center"/>
    </xf>
    <xf numFmtId="0" fontId="26" fillId="0" borderId="0" xfId="8" applyFont="1"/>
    <xf numFmtId="0" fontId="26" fillId="13" borderId="4" xfId="8" applyFont="1" applyFill="1" applyBorder="1" applyAlignment="1">
      <alignment horizontal="center" vertical="center"/>
    </xf>
    <xf numFmtId="9" fontId="26" fillId="13" borderId="4" xfId="10" applyFont="1" applyFill="1" applyBorder="1" applyAlignment="1">
      <alignment horizontal="center" vertical="center" wrapText="1"/>
    </xf>
    <xf numFmtId="0" fontId="26" fillId="13" borderId="4" xfId="8" applyFont="1" applyFill="1" applyBorder="1" applyAlignment="1">
      <alignment horizontal="center" vertical="center" wrapText="1"/>
    </xf>
    <xf numFmtId="0" fontId="26" fillId="13" borderId="4" xfId="8" applyFont="1" applyFill="1" applyBorder="1" applyAlignment="1">
      <alignment horizontal="center"/>
    </xf>
    <xf numFmtId="0" fontId="26" fillId="9" borderId="4" xfId="8" applyFont="1" applyFill="1" applyBorder="1" applyAlignment="1">
      <alignment horizontal="left"/>
    </xf>
    <xf numFmtId="0" fontId="26" fillId="9" borderId="4" xfId="8" applyFont="1" applyFill="1" applyBorder="1" applyAlignment="1">
      <alignment horizontal="center"/>
    </xf>
    <xf numFmtId="0" fontId="26" fillId="9" borderId="4" xfId="8" applyFont="1" applyFill="1" applyBorder="1" applyAlignment="1">
      <alignment horizontal="center" vertical="center"/>
    </xf>
    <xf numFmtId="0" fontId="26" fillId="9" borderId="4" xfId="8" applyFont="1" applyFill="1" applyBorder="1" applyAlignment="1">
      <alignment horizontal="center" vertical="center" wrapText="1"/>
    </xf>
    <xf numFmtId="9" fontId="26" fillId="9" borderId="4" xfId="10" applyFont="1" applyFill="1" applyBorder="1" applyAlignment="1">
      <alignment horizontal="center" vertical="center" wrapText="1"/>
    </xf>
    <xf numFmtId="0" fontId="22" fillId="0" borderId="0" xfId="8" applyFont="1" applyAlignment="1">
      <alignment wrapText="1"/>
    </xf>
    <xf numFmtId="175" fontId="21" fillId="4" borderId="4" xfId="11" applyFill="1" applyBorder="1" applyAlignment="1">
      <alignment horizontal="left" vertical="center"/>
    </xf>
    <xf numFmtId="0" fontId="26" fillId="0" borderId="4" xfId="8" applyFont="1" applyBorder="1" applyAlignment="1">
      <alignment horizontal="center" vertical="center" wrapText="1"/>
    </xf>
    <xf numFmtId="10" fontId="21" fillId="0" borderId="4" xfId="12" applyNumberFormat="1" applyFont="1" applyFill="1" applyBorder="1" applyAlignment="1">
      <alignment horizontal="center" vertical="center"/>
    </xf>
    <xf numFmtId="176" fontId="21" fillId="0" borderId="4" xfId="13" applyNumberFormat="1" applyFont="1" applyFill="1" applyBorder="1" applyAlignment="1">
      <alignment horizontal="center" vertical="center"/>
    </xf>
    <xf numFmtId="10" fontId="22" fillId="0" borderId="4" xfId="10" applyNumberFormat="1" applyFont="1" applyBorder="1" applyAlignment="1">
      <alignment horizontal="center" vertical="center"/>
    </xf>
    <xf numFmtId="174" fontId="26" fillId="0" borderId="4" xfId="9" applyFont="1" applyBorder="1" applyAlignment="1">
      <alignment vertical="center"/>
    </xf>
    <xf numFmtId="177" fontId="22" fillId="0" borderId="4" xfId="8" applyNumberFormat="1" applyFont="1" applyBorder="1" applyAlignment="1">
      <alignment vertical="center"/>
    </xf>
    <xf numFmtId="178" fontId="22" fillId="0" borderId="0" xfId="8" applyNumberFormat="1" applyFont="1"/>
    <xf numFmtId="2" fontId="22" fillId="0" borderId="0" xfId="8" applyNumberFormat="1" applyFont="1"/>
    <xf numFmtId="9" fontId="22" fillId="9" borderId="4" xfId="10" applyFont="1" applyFill="1" applyBorder="1" applyAlignment="1">
      <alignment horizontal="center" vertical="center" wrapText="1"/>
    </xf>
    <xf numFmtId="178" fontId="22" fillId="9" borderId="4" xfId="14" applyFont="1" applyFill="1" applyBorder="1" applyAlignment="1">
      <alignment vertical="center"/>
    </xf>
    <xf numFmtId="10" fontId="22" fillId="9" borderId="4" xfId="10" applyNumberFormat="1" applyFont="1" applyFill="1" applyBorder="1" applyAlignment="1">
      <alignment horizontal="center" vertical="center"/>
    </xf>
    <xf numFmtId="174" fontId="26" fillId="9" borderId="4" xfId="9" applyFont="1" applyFill="1" applyBorder="1" applyAlignment="1">
      <alignment vertical="center"/>
    </xf>
    <xf numFmtId="177" fontId="22" fillId="9" borderId="4" xfId="8" applyNumberFormat="1" applyFont="1" applyFill="1" applyBorder="1" applyAlignment="1">
      <alignment vertical="center"/>
    </xf>
    <xf numFmtId="0" fontId="22" fillId="0" borderId="0" xfId="8" applyFont="1" applyAlignment="1">
      <alignment vertical="top" wrapText="1"/>
    </xf>
    <xf numFmtId="0" fontId="27" fillId="4" borderId="4" xfId="0" applyFont="1" applyFill="1" applyBorder="1" applyAlignment="1">
      <alignment vertical="center" wrapText="1"/>
    </xf>
    <xf numFmtId="9" fontId="22" fillId="0" borderId="4" xfId="10" applyFont="1" applyBorder="1" applyAlignment="1">
      <alignment horizontal="center" vertical="center" wrapText="1"/>
    </xf>
    <xf numFmtId="9" fontId="21" fillId="0" borderId="4" xfId="12" applyFont="1" applyFill="1" applyBorder="1" applyAlignment="1">
      <alignment horizontal="center" vertical="center"/>
    </xf>
    <xf numFmtId="0" fontId="27" fillId="0" borderId="4" xfId="0" applyFont="1" applyBorder="1" applyAlignment="1">
      <alignment vertical="center" wrapText="1"/>
    </xf>
    <xf numFmtId="0" fontId="22" fillId="9" borderId="4" xfId="8" applyFont="1" applyFill="1" applyBorder="1" applyAlignment="1">
      <alignment vertical="center" wrapText="1"/>
    </xf>
    <xf numFmtId="0" fontId="22" fillId="9" borderId="4" xfId="8" applyFont="1" applyFill="1" applyBorder="1"/>
    <xf numFmtId="0" fontId="26" fillId="0" borderId="0" xfId="8" applyFont="1" applyAlignment="1">
      <alignment horizontal="center"/>
    </xf>
    <xf numFmtId="177" fontId="26" fillId="9" borderId="4" xfId="8" applyNumberFormat="1" applyFont="1" applyFill="1" applyBorder="1" applyAlignment="1">
      <alignment vertical="center"/>
    </xf>
    <xf numFmtId="10" fontId="22" fillId="0" borderId="0" xfId="8" applyNumberFormat="1" applyFont="1" applyAlignment="1">
      <alignment horizontal="center"/>
    </xf>
    <xf numFmtId="177" fontId="26" fillId="9" borderId="4" xfId="8" applyNumberFormat="1" applyFont="1" applyFill="1" applyBorder="1" applyAlignment="1">
      <alignment horizontal="center" vertical="center"/>
    </xf>
    <xf numFmtId="0" fontId="25" fillId="9" borderId="1" xfId="15" applyFont="1" applyFill="1" applyBorder="1" applyAlignment="1">
      <alignment horizontal="right" vertical="center"/>
    </xf>
    <xf numFmtId="0" fontId="25" fillId="9" borderId="2" xfId="15" applyFont="1" applyFill="1" applyBorder="1" applyAlignment="1">
      <alignment vertical="center"/>
    </xf>
    <xf numFmtId="9" fontId="25" fillId="9" borderId="2" xfId="15" applyNumberFormat="1" applyFont="1" applyFill="1" applyBorder="1" applyAlignment="1">
      <alignment vertical="center"/>
    </xf>
    <xf numFmtId="0" fontId="28" fillId="0" borderId="38" xfId="15" applyFont="1" applyBorder="1" applyAlignment="1">
      <alignment horizontal="right" vertical="center"/>
    </xf>
    <xf numFmtId="0" fontId="28" fillId="0" borderId="0" xfId="15" applyFont="1" applyBorder="1" applyAlignment="1">
      <alignment horizontal="left" vertical="center"/>
    </xf>
    <xf numFmtId="9" fontId="28" fillId="0" borderId="0" xfId="16" applyFont="1" applyFill="1" applyBorder="1" applyAlignment="1">
      <alignment vertical="center"/>
    </xf>
    <xf numFmtId="0" fontId="28" fillId="0" borderId="0" xfId="15" applyFont="1" applyBorder="1" applyAlignment="1">
      <alignment horizontal="center" vertical="center"/>
    </xf>
    <xf numFmtId="179" fontId="28" fillId="0" borderId="39" xfId="2" applyNumberFormat="1" applyFont="1" applyBorder="1" applyProtection="1">
      <protection locked="0"/>
    </xf>
    <xf numFmtId="10" fontId="25" fillId="9" borderId="3" xfId="16" applyNumberFormat="1" applyFont="1" applyFill="1" applyBorder="1" applyAlignment="1" applyProtection="1">
      <alignment horizontal="center" vertical="center"/>
    </xf>
    <xf numFmtId="0" fontId="28" fillId="0" borderId="0" xfId="15" applyFont="1" applyBorder="1" applyAlignment="1">
      <alignment vertical="center"/>
    </xf>
    <xf numFmtId="0" fontId="28" fillId="0" borderId="39" xfId="15" applyFont="1" applyBorder="1" applyAlignment="1">
      <alignment vertical="center"/>
    </xf>
    <xf numFmtId="0" fontId="29" fillId="0" borderId="38" xfId="15" applyFont="1" applyBorder="1" applyAlignment="1">
      <alignment horizontal="left" vertical="center"/>
    </xf>
    <xf numFmtId="0" fontId="29" fillId="0" borderId="0" xfId="15" applyFont="1" applyBorder="1" applyAlignment="1">
      <alignment horizontal="left" vertical="center"/>
    </xf>
    <xf numFmtId="9" fontId="29" fillId="0" borderId="0" xfId="16" applyFont="1" applyFill="1" applyBorder="1" applyAlignment="1">
      <alignment vertical="center"/>
    </xf>
    <xf numFmtId="0" fontId="29" fillId="0" borderId="0" xfId="15" applyFont="1" applyBorder="1" applyAlignment="1">
      <alignment horizontal="center" vertical="center"/>
    </xf>
    <xf numFmtId="10" fontId="29" fillId="0" borderId="39" xfId="15" applyNumberFormat="1" applyFont="1" applyBorder="1" applyAlignment="1">
      <alignment horizontal="center" vertical="center"/>
    </xf>
    <xf numFmtId="0" fontId="25" fillId="9" borderId="1" xfId="15" applyFont="1" applyFill="1" applyBorder="1" applyAlignment="1">
      <alignment horizontal="left" vertical="center"/>
    </xf>
    <xf numFmtId="9" fontId="25" fillId="9" borderId="4" xfId="15" applyNumberFormat="1" applyFont="1" applyFill="1" applyBorder="1" applyAlignment="1">
      <alignment vertical="center"/>
    </xf>
    <xf numFmtId="177" fontId="22" fillId="0" borderId="0" xfId="8" applyNumberFormat="1" applyFont="1"/>
    <xf numFmtId="170" fontId="12" fillId="4" borderId="0" xfId="22" applyNumberFormat="1" applyFont="1" applyFill="1" applyBorder="1" applyAlignment="1">
      <alignment vertical="center"/>
    </xf>
    <xf numFmtId="0" fontId="2" fillId="4" borderId="0" xfId="0" applyFont="1" applyFill="1" applyAlignment="1">
      <alignment vertical="center"/>
    </xf>
    <xf numFmtId="0" fontId="2" fillId="0" borderId="0" xfId="0" applyFont="1" applyAlignment="1">
      <alignment vertical="center"/>
    </xf>
    <xf numFmtId="0" fontId="8" fillId="15" borderId="4" xfId="21" applyFont="1" applyFill="1" applyBorder="1" applyAlignment="1">
      <alignment vertical="center"/>
    </xf>
    <xf numFmtId="10" fontId="8" fillId="15" borderId="4" xfId="22" applyNumberFormat="1" applyFont="1" applyFill="1" applyBorder="1" applyAlignment="1">
      <alignment vertical="center"/>
    </xf>
    <xf numFmtId="170" fontId="8" fillId="15" borderId="4" xfId="22" applyNumberFormat="1" applyFont="1" applyFill="1" applyBorder="1" applyAlignment="1">
      <alignment vertical="center"/>
    </xf>
    <xf numFmtId="181" fontId="8" fillId="15" borderId="4" xfId="22" applyNumberFormat="1" applyFont="1" applyFill="1" applyBorder="1" applyAlignment="1">
      <alignment vertical="center"/>
    </xf>
    <xf numFmtId="0" fontId="12" fillId="0" borderId="4" xfId="21" applyFont="1" applyBorder="1" applyAlignment="1">
      <alignment vertical="center"/>
    </xf>
    <xf numFmtId="10" fontId="12" fillId="0" borderId="4" xfId="22" applyNumberFormat="1" applyFont="1" applyBorder="1" applyAlignment="1">
      <alignment vertical="center"/>
    </xf>
    <xf numFmtId="170" fontId="12" fillId="0" borderId="4" xfId="22" applyNumberFormat="1" applyFont="1" applyBorder="1" applyAlignment="1">
      <alignment vertical="center"/>
    </xf>
    <xf numFmtId="10" fontId="2" fillId="0" borderId="0" xfId="0" applyNumberFormat="1" applyFont="1" applyAlignment="1">
      <alignment vertical="center"/>
    </xf>
    <xf numFmtId="10" fontId="12" fillId="0" borderId="4" xfId="22" applyNumberFormat="1" applyFont="1" applyBorder="1" applyAlignment="1">
      <alignment horizontal="right" vertical="center"/>
    </xf>
    <xf numFmtId="170" fontId="12" fillId="4" borderId="0" xfId="22" applyNumberFormat="1" applyFont="1" applyFill="1" applyBorder="1" applyAlignment="1">
      <alignment horizontal="right" vertical="center"/>
    </xf>
    <xf numFmtId="0" fontId="12" fillId="0" borderId="4" xfId="21" applyFont="1" applyBorder="1" applyAlignment="1">
      <alignment vertical="center" wrapText="1"/>
    </xf>
    <xf numFmtId="10" fontId="12" fillId="0" borderId="4" xfId="22" applyNumberFormat="1" applyFont="1" applyFill="1" applyBorder="1" applyAlignment="1">
      <alignment horizontal="right" vertical="center"/>
    </xf>
    <xf numFmtId="170" fontId="12" fillId="0" borderId="4" xfId="22" applyNumberFormat="1" applyFont="1" applyFill="1" applyBorder="1" applyAlignment="1">
      <alignment vertical="center"/>
    </xf>
    <xf numFmtId="10" fontId="12" fillId="4" borderId="0" xfId="22" applyNumberFormat="1" applyFont="1" applyFill="1" applyBorder="1" applyAlignment="1">
      <alignment vertical="center"/>
    </xf>
    <xf numFmtId="170" fontId="2" fillId="4" borderId="0" xfId="3" applyNumberFormat="1" applyFont="1" applyFill="1" applyAlignment="1">
      <alignment vertical="center"/>
    </xf>
    <xf numFmtId="181" fontId="8" fillId="15" borderId="4" xfId="22" applyNumberFormat="1" applyFont="1" applyFill="1" applyBorder="1" applyAlignment="1">
      <alignment horizontal="right" vertical="center"/>
    </xf>
    <xf numFmtId="10" fontId="2" fillId="4" borderId="0" xfId="0" applyNumberFormat="1" applyFont="1" applyFill="1" applyAlignment="1">
      <alignment vertical="center"/>
    </xf>
    <xf numFmtId="181" fontId="12" fillId="0" borderId="4" xfId="22" applyNumberFormat="1" applyFont="1" applyBorder="1" applyAlignment="1">
      <alignment vertical="center"/>
    </xf>
    <xf numFmtId="0" fontId="12" fillId="0" borderId="42" xfId="21" applyFont="1" applyBorder="1" applyAlignment="1">
      <alignment vertical="center" wrapText="1"/>
    </xf>
    <xf numFmtId="181" fontId="12" fillId="8" borderId="4" xfId="22" applyNumberFormat="1" applyFont="1" applyFill="1" applyBorder="1" applyAlignment="1">
      <alignment vertical="center"/>
    </xf>
    <xf numFmtId="0" fontId="0" fillId="0" borderId="4" xfId="0" applyBorder="1" applyAlignment="1">
      <alignment vertical="center"/>
    </xf>
    <xf numFmtId="182" fontId="2" fillId="0" borderId="0" xfId="0" applyNumberFormat="1" applyFont="1" applyAlignment="1">
      <alignment vertical="center"/>
    </xf>
    <xf numFmtId="0" fontId="2" fillId="0" borderId="4" xfId="0" applyFont="1" applyBorder="1" applyAlignment="1">
      <alignment vertical="center"/>
    </xf>
    <xf numFmtId="0" fontId="0" fillId="4" borderId="0" xfId="0" applyFill="1" applyAlignment="1">
      <alignment vertical="center"/>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horizontal="center" vertical="center"/>
    </xf>
    <xf numFmtId="0" fontId="34" fillId="0" borderId="0" xfId="8" applyFont="1" applyAlignment="1">
      <alignment vertical="center"/>
    </xf>
    <xf numFmtId="0" fontId="34" fillId="0" borderId="31" xfId="8" applyFont="1" applyBorder="1" applyAlignment="1">
      <alignment vertical="center"/>
    </xf>
    <xf numFmtId="0" fontId="33" fillId="0" borderId="0" xfId="8" applyFont="1" applyAlignment="1">
      <alignment horizontal="center" vertical="center"/>
    </xf>
    <xf numFmtId="0" fontId="33" fillId="0" borderId="0" xfId="8" applyFont="1" applyAlignment="1">
      <alignment vertical="center"/>
    </xf>
    <xf numFmtId="10" fontId="33" fillId="0" borderId="0" xfId="3" applyNumberFormat="1" applyFont="1" applyAlignment="1">
      <alignment horizontal="center" vertical="center"/>
    </xf>
    <xf numFmtId="0" fontId="37" fillId="18" borderId="49" xfId="8" applyFont="1" applyFill="1" applyBorder="1" applyAlignment="1">
      <alignment horizontal="center" vertical="center"/>
    </xf>
    <xf numFmtId="0" fontId="36" fillId="0" borderId="1" xfId="8" applyFont="1" applyBorder="1" applyAlignment="1">
      <alignment horizontal="center" vertical="center"/>
    </xf>
    <xf numFmtId="0" fontId="36" fillId="0" borderId="2" xfId="8" applyFont="1" applyBorder="1" applyAlignment="1">
      <alignment horizontal="center" vertical="center"/>
    </xf>
    <xf numFmtId="0" fontId="36" fillId="0" borderId="48" xfId="8" applyFont="1" applyBorder="1" applyAlignment="1">
      <alignment horizontal="center" vertical="center"/>
    </xf>
    <xf numFmtId="0" fontId="37" fillId="18" borderId="52" xfId="8" applyFont="1" applyFill="1" applyBorder="1" applyAlignment="1">
      <alignment horizontal="center" vertical="center"/>
    </xf>
    <xf numFmtId="184" fontId="33" fillId="0" borderId="49" xfId="8" applyNumberFormat="1" applyFont="1" applyBorder="1" applyAlignment="1">
      <alignment vertical="center"/>
    </xf>
    <xf numFmtId="0" fontId="33" fillId="0" borderId="49" xfId="8" applyFont="1" applyBorder="1" applyAlignment="1">
      <alignment vertical="center"/>
    </xf>
    <xf numFmtId="0" fontId="0" fillId="0" borderId="49" xfId="0" applyBorder="1" applyAlignment="1">
      <alignment vertical="center"/>
    </xf>
    <xf numFmtId="0" fontId="34" fillId="0" borderId="0" xfId="8" applyFont="1" applyAlignment="1">
      <alignment horizontal="left" vertical="center"/>
    </xf>
    <xf numFmtId="2" fontId="34" fillId="0" borderId="0" xfId="3" applyNumberFormat="1" applyFont="1" applyFill="1" applyBorder="1" applyAlignment="1">
      <alignment horizontal="center" vertical="center"/>
    </xf>
    <xf numFmtId="2" fontId="34" fillId="0" borderId="54" xfId="3" applyNumberFormat="1" applyFont="1" applyFill="1" applyBorder="1" applyAlignment="1">
      <alignment horizontal="center" vertical="center"/>
    </xf>
    <xf numFmtId="0" fontId="33" fillId="0" borderId="52" xfId="8" applyFont="1" applyBorder="1" applyAlignment="1">
      <alignment horizontal="center" vertical="center"/>
    </xf>
    <xf numFmtId="2" fontId="33" fillId="0" borderId="49" xfId="8" applyNumberFormat="1" applyFont="1" applyBorder="1" applyAlignment="1">
      <alignment horizontal="center" vertical="center"/>
    </xf>
    <xf numFmtId="1" fontId="34" fillId="17" borderId="0" xfId="3" applyNumberFormat="1" applyFont="1" applyFill="1" applyBorder="1" applyAlignment="1">
      <alignment horizontal="left" vertical="center"/>
    </xf>
    <xf numFmtId="2" fontId="34" fillId="17" borderId="0" xfId="3" applyNumberFormat="1" applyFont="1" applyFill="1" applyBorder="1" applyAlignment="1">
      <alignment horizontal="center" vertical="center"/>
    </xf>
    <xf numFmtId="2" fontId="34" fillId="17" borderId="31" xfId="3" applyNumberFormat="1" applyFont="1" applyFill="1" applyBorder="1" applyAlignment="1">
      <alignment horizontal="center" vertical="center"/>
    </xf>
    <xf numFmtId="2" fontId="34" fillId="0" borderId="31" xfId="3" applyNumberFormat="1" applyFont="1" applyFill="1" applyBorder="1" applyAlignment="1">
      <alignment horizontal="center" vertical="center"/>
    </xf>
    <xf numFmtId="1" fontId="34" fillId="0" borderId="0" xfId="3" applyNumberFormat="1" applyFont="1" applyFill="1" applyBorder="1" applyAlignment="1">
      <alignment horizontal="left" vertical="center"/>
    </xf>
    <xf numFmtId="1" fontId="34" fillId="4" borderId="41" xfId="3" applyNumberFormat="1" applyFont="1" applyFill="1" applyBorder="1" applyAlignment="1">
      <alignment horizontal="left" vertical="center"/>
    </xf>
    <xf numFmtId="2" fontId="34" fillId="4" borderId="41" xfId="3" applyNumberFormat="1" applyFont="1" applyFill="1" applyBorder="1" applyAlignment="1">
      <alignment horizontal="center" vertical="center"/>
    </xf>
    <xf numFmtId="2" fontId="34" fillId="4" borderId="54" xfId="3" applyNumberFormat="1" applyFont="1" applyFill="1" applyBorder="1" applyAlignment="1">
      <alignment horizontal="center" vertical="center"/>
    </xf>
    <xf numFmtId="0" fontId="34" fillId="4" borderId="31" xfId="8" applyFont="1" applyFill="1" applyBorder="1" applyAlignment="1">
      <alignment vertical="center"/>
    </xf>
    <xf numFmtId="0" fontId="34" fillId="4" borderId="0" xfId="8" applyFont="1" applyFill="1" applyAlignment="1">
      <alignment vertical="center"/>
    </xf>
    <xf numFmtId="0" fontId="33" fillId="4" borderId="0" xfId="8" applyFont="1" applyFill="1" applyAlignment="1">
      <alignment vertical="center"/>
    </xf>
    <xf numFmtId="1" fontId="34" fillId="4" borderId="0" xfId="3" applyNumberFormat="1" applyFont="1" applyFill="1" applyBorder="1" applyAlignment="1">
      <alignment horizontal="left" vertical="center"/>
    </xf>
    <xf numFmtId="2" fontId="34" fillId="4" borderId="0" xfId="3" applyNumberFormat="1" applyFont="1" applyFill="1" applyBorder="1" applyAlignment="1">
      <alignment horizontal="center" vertical="center"/>
    </xf>
    <xf numFmtId="2" fontId="34" fillId="4" borderId="31" xfId="3" applyNumberFormat="1" applyFont="1" applyFill="1" applyBorder="1" applyAlignment="1">
      <alignment horizontal="center" vertical="center"/>
    </xf>
    <xf numFmtId="0" fontId="36" fillId="4" borderId="31" xfId="8" applyFont="1" applyFill="1" applyBorder="1" applyAlignment="1">
      <alignment vertical="center"/>
    </xf>
    <xf numFmtId="0" fontId="36" fillId="4" borderId="0" xfId="8" applyFont="1" applyFill="1" applyAlignment="1">
      <alignment vertical="center"/>
    </xf>
    <xf numFmtId="0" fontId="38" fillId="4" borderId="0" xfId="8" applyFont="1" applyFill="1" applyAlignment="1">
      <alignment vertical="center"/>
    </xf>
    <xf numFmtId="1" fontId="34" fillId="4" borderId="40" xfId="3" applyNumberFormat="1" applyFont="1" applyFill="1" applyBorder="1" applyAlignment="1">
      <alignment horizontal="left" vertical="center"/>
    </xf>
    <xf numFmtId="1" fontId="34" fillId="17" borderId="38" xfId="3" applyNumberFormat="1" applyFont="1" applyFill="1" applyBorder="1" applyAlignment="1">
      <alignment horizontal="left" vertical="center"/>
    </xf>
    <xf numFmtId="1" fontId="34" fillId="0" borderId="38" xfId="3" applyNumberFormat="1" applyFont="1" applyFill="1" applyBorder="1" applyAlignment="1">
      <alignment horizontal="left" vertical="center"/>
    </xf>
    <xf numFmtId="1" fontId="34" fillId="4" borderId="38" xfId="3" applyNumberFormat="1" applyFont="1" applyFill="1" applyBorder="1" applyAlignment="1">
      <alignment horizontal="left" vertical="center"/>
    </xf>
    <xf numFmtId="0" fontId="34" fillId="4" borderId="0" xfId="3" applyNumberFormat="1" applyFont="1" applyFill="1" applyBorder="1" applyAlignment="1">
      <alignment horizontal="center" vertical="center"/>
    </xf>
    <xf numFmtId="0" fontId="34" fillId="4" borderId="31" xfId="3" applyNumberFormat="1" applyFont="1" applyFill="1" applyBorder="1" applyAlignment="1">
      <alignment horizontal="center" vertical="center"/>
    </xf>
    <xf numFmtId="10" fontId="33" fillId="4" borderId="0" xfId="3" applyNumberFormat="1" applyFont="1" applyFill="1" applyAlignment="1">
      <alignment vertical="center"/>
    </xf>
    <xf numFmtId="0" fontId="34" fillId="4" borderId="41" xfId="3" applyNumberFormat="1" applyFont="1" applyFill="1" applyBorder="1" applyAlignment="1">
      <alignment horizontal="center" vertical="center"/>
    </xf>
    <xf numFmtId="0" fontId="34" fillId="4" borderId="54" xfId="3" applyNumberFormat="1" applyFont="1" applyFill="1" applyBorder="1" applyAlignment="1">
      <alignment horizontal="center" vertical="center"/>
    </xf>
    <xf numFmtId="1" fontId="34" fillId="17" borderId="43" xfId="3" applyNumberFormat="1" applyFont="1" applyFill="1" applyBorder="1" applyAlignment="1">
      <alignment horizontal="left" vertical="center"/>
    </xf>
    <xf numFmtId="2" fontId="34" fillId="17" borderId="45" xfId="3" applyNumberFormat="1" applyFont="1" applyFill="1" applyBorder="1" applyAlignment="1">
      <alignment horizontal="center" vertical="center"/>
    </xf>
    <xf numFmtId="2" fontId="34" fillId="17" borderId="47" xfId="3" applyNumberFormat="1" applyFont="1" applyFill="1" applyBorder="1" applyAlignment="1">
      <alignment horizontal="center" vertical="center"/>
    </xf>
    <xf numFmtId="2" fontId="33" fillId="0" borderId="52" xfId="8" applyNumberFormat="1" applyFont="1" applyBorder="1" applyAlignment="1">
      <alignment horizontal="center" vertical="center"/>
    </xf>
    <xf numFmtId="1" fontId="34" fillId="16" borderId="38" xfId="3" applyNumberFormat="1" applyFont="1" applyFill="1" applyBorder="1" applyAlignment="1">
      <alignment horizontal="left" vertical="center"/>
    </xf>
    <xf numFmtId="2" fontId="34" fillId="16" borderId="0" xfId="3" applyNumberFormat="1" applyFont="1" applyFill="1" applyBorder="1" applyAlignment="1">
      <alignment horizontal="center" vertical="center"/>
    </xf>
    <xf numFmtId="2" fontId="34" fillId="16" borderId="31" xfId="3" applyNumberFormat="1" applyFont="1" applyFill="1" applyBorder="1" applyAlignment="1">
      <alignment horizontal="center" vertical="center"/>
    </xf>
    <xf numFmtId="1" fontId="34" fillId="18" borderId="38" xfId="3" applyNumberFormat="1" applyFont="1" applyFill="1" applyBorder="1" applyAlignment="1">
      <alignment horizontal="left" vertical="center"/>
    </xf>
    <xf numFmtId="2" fontId="34" fillId="18" borderId="0" xfId="3" applyNumberFormat="1" applyFont="1" applyFill="1" applyBorder="1" applyAlignment="1">
      <alignment horizontal="center" vertical="center"/>
    </xf>
    <xf numFmtId="2" fontId="34" fillId="18" borderId="31" xfId="3" applyNumberFormat="1" applyFont="1" applyFill="1" applyBorder="1" applyAlignment="1">
      <alignment horizontal="center" vertical="center"/>
    </xf>
    <xf numFmtId="2" fontId="33" fillId="15" borderId="49" xfId="8" applyNumberFormat="1" applyFont="1" applyFill="1" applyBorder="1" applyAlignment="1">
      <alignment horizontal="center" vertical="center"/>
    </xf>
    <xf numFmtId="1" fontId="34" fillId="17" borderId="58" xfId="3" applyNumberFormat="1" applyFont="1" applyFill="1" applyBorder="1" applyAlignment="1">
      <alignment horizontal="left" vertical="center"/>
    </xf>
    <xf numFmtId="2" fontId="34" fillId="17" borderId="33" xfId="3" applyNumberFormat="1" applyFont="1" applyFill="1" applyBorder="1" applyAlignment="1">
      <alignment horizontal="center" vertical="center"/>
    </xf>
    <xf numFmtId="2" fontId="34" fillId="17" borderId="34" xfId="3" applyNumberFormat="1" applyFont="1" applyFill="1" applyBorder="1" applyAlignment="1">
      <alignment horizontal="center" vertical="center"/>
    </xf>
    <xf numFmtId="2" fontId="33" fillId="0" borderId="0" xfId="8" applyNumberFormat="1" applyFont="1" applyAlignment="1">
      <alignment horizontal="center" vertical="center"/>
    </xf>
    <xf numFmtId="0" fontId="0" fillId="0" borderId="0" xfId="0" applyAlignment="1">
      <alignment wrapText="1"/>
    </xf>
    <xf numFmtId="0" fontId="41" fillId="0" borderId="4" xfId="0" applyFont="1" applyBorder="1" applyAlignment="1">
      <alignment horizontal="center" vertical="center" wrapText="1"/>
    </xf>
    <xf numFmtId="0" fontId="42" fillId="0" borderId="0" xfId="0" applyFont="1" applyAlignment="1">
      <alignment wrapText="1"/>
    </xf>
    <xf numFmtId="0" fontId="23" fillId="0" borderId="4" xfId="0" applyFont="1" applyBorder="1" applyAlignment="1">
      <alignment horizontal="center" wrapText="1"/>
    </xf>
    <xf numFmtId="0" fontId="43" fillId="0" borderId="4" xfId="0" applyFont="1" applyBorder="1" applyAlignment="1">
      <alignment horizontal="center" vertical="center" wrapText="1"/>
    </xf>
    <xf numFmtId="0" fontId="44" fillId="4" borderId="4" xfId="0" applyFont="1" applyFill="1" applyBorder="1" applyAlignment="1">
      <alignment horizontal="center" vertical="center"/>
    </xf>
    <xf numFmtId="169" fontId="44" fillId="4" borderId="4" xfId="2" applyNumberFormat="1" applyFont="1" applyFill="1" applyBorder="1" applyAlignment="1">
      <alignment horizontal="right" vertical="center"/>
    </xf>
    <xf numFmtId="169" fontId="44" fillId="0" borderId="4" xfId="2" applyNumberFormat="1" applyFont="1" applyFill="1" applyBorder="1" applyAlignment="1">
      <alignment horizontal="right" vertical="center" wrapText="1"/>
    </xf>
    <xf numFmtId="0" fontId="4" fillId="0" borderId="23" xfId="0" applyFont="1" applyBorder="1" applyAlignment="1">
      <alignment horizontal="center" vertical="center" wrapText="1"/>
    </xf>
    <xf numFmtId="2" fontId="5" fillId="3" borderId="44" xfId="0" applyNumberFormat="1" applyFont="1" applyFill="1" applyBorder="1" applyAlignment="1">
      <alignment vertical="center"/>
    </xf>
    <xf numFmtId="2" fontId="3" fillId="0" borderId="3" xfId="0" applyNumberFormat="1" applyFont="1" applyBorder="1" applyAlignment="1">
      <alignment vertical="center"/>
    </xf>
    <xf numFmtId="2" fontId="5" fillId="3" borderId="3" xfId="0" applyNumberFormat="1" applyFont="1" applyFill="1" applyBorder="1" applyAlignment="1">
      <alignment vertical="center"/>
    </xf>
    <xf numFmtId="2" fontId="3" fillId="0" borderId="23" xfId="0" applyNumberFormat="1" applyFont="1" applyBorder="1" applyAlignment="1">
      <alignment vertical="center"/>
    </xf>
    <xf numFmtId="0" fontId="3" fillId="0" borderId="14" xfId="0" applyFont="1" applyBorder="1" applyAlignment="1">
      <alignment horizontal="center" vertical="center"/>
    </xf>
    <xf numFmtId="0" fontId="45" fillId="0" borderId="0" xfId="0" applyFont="1" applyAlignment="1">
      <alignment vertical="center"/>
    </xf>
    <xf numFmtId="43" fontId="45" fillId="0" borderId="0" xfId="1" applyFont="1" applyAlignment="1">
      <alignment horizontal="center" vertical="center"/>
    </xf>
    <xf numFmtId="2" fontId="47" fillId="3" borderId="44" xfId="0" applyNumberFormat="1" applyFont="1" applyFill="1" applyBorder="1" applyAlignment="1">
      <alignment vertical="center"/>
    </xf>
    <xf numFmtId="2" fontId="45" fillId="7" borderId="4" xfId="0" applyNumberFormat="1" applyFont="1" applyFill="1" applyBorder="1" applyAlignment="1">
      <alignment horizontal="right" vertical="center"/>
    </xf>
    <xf numFmtId="2" fontId="45" fillId="7" borderId="15" xfId="0" applyNumberFormat="1" applyFont="1" applyFill="1" applyBorder="1" applyAlignment="1">
      <alignment horizontal="right" vertical="center"/>
    </xf>
    <xf numFmtId="10" fontId="3" fillId="0" borderId="2" xfId="3" applyNumberFormat="1" applyFont="1" applyBorder="1" applyAlignment="1">
      <alignment horizontal="center" vertical="center"/>
    </xf>
    <xf numFmtId="0" fontId="48" fillId="19" borderId="4" xfId="0" applyFont="1" applyFill="1" applyBorder="1" applyAlignment="1">
      <alignment horizontal="center" vertical="center"/>
    </xf>
    <xf numFmtId="0" fontId="48" fillId="19" borderId="4" xfId="0" applyFont="1" applyFill="1" applyBorder="1" applyAlignment="1">
      <alignment vertical="center" wrapText="1"/>
    </xf>
    <xf numFmtId="0" fontId="0" fillId="0" borderId="4" xfId="0" applyBorder="1" applyAlignment="1">
      <alignment vertical="center" wrapText="1"/>
    </xf>
    <xf numFmtId="0" fontId="5" fillId="5" borderId="4" xfId="0" applyFont="1" applyFill="1" applyBorder="1" applyAlignment="1">
      <alignment horizontal="center" vertical="center"/>
    </xf>
    <xf numFmtId="0" fontId="6" fillId="5" borderId="4" xfId="0" applyFont="1" applyFill="1" applyBorder="1" applyAlignment="1">
      <alignment horizontal="left" vertical="center" wrapText="1"/>
    </xf>
    <xf numFmtId="2" fontId="5" fillId="5" borderId="4" xfId="0" applyNumberFormat="1" applyFont="1" applyFill="1" applyBorder="1" applyAlignment="1">
      <alignment vertical="center"/>
    </xf>
    <xf numFmtId="2" fontId="5" fillId="3" borderId="7" xfId="0" applyNumberFormat="1" applyFont="1" applyFill="1" applyBorder="1" applyAlignment="1">
      <alignment vertical="center"/>
    </xf>
    <xf numFmtId="164" fontId="5" fillId="3" borderId="7" xfId="0" applyNumberFormat="1" applyFont="1" applyFill="1" applyBorder="1" applyAlignment="1">
      <alignment vertical="center"/>
    </xf>
    <xf numFmtId="164" fontId="5" fillId="3" borderId="8" xfId="0" applyNumberFormat="1" applyFont="1" applyFill="1" applyBorder="1" applyAlignment="1">
      <alignment vertical="center"/>
    </xf>
    <xf numFmtId="165" fontId="3" fillId="0" borderId="15" xfId="0" applyNumberFormat="1" applyFont="1" applyBorder="1" applyAlignment="1">
      <alignment vertical="center"/>
    </xf>
    <xf numFmtId="164" fontId="3" fillId="0" borderId="16" xfId="0" applyNumberFormat="1" applyFont="1" applyBorder="1" applyAlignment="1">
      <alignment vertical="center"/>
    </xf>
    <xf numFmtId="0" fontId="5" fillId="5" borderId="10" xfId="0" applyFont="1" applyFill="1" applyBorder="1" applyAlignment="1">
      <alignment horizontal="center" vertical="center"/>
    </xf>
    <xf numFmtId="164" fontId="5" fillId="5" borderId="9" xfId="0" applyNumberFormat="1" applyFont="1" applyFill="1" applyBorder="1" applyAlignment="1">
      <alignment vertical="center"/>
    </xf>
    <xf numFmtId="43" fontId="0" fillId="0" borderId="0" xfId="1" applyFont="1"/>
    <xf numFmtId="43" fontId="9" fillId="0" borderId="0" xfId="1" applyFont="1"/>
    <xf numFmtId="43" fontId="18" fillId="0" borderId="0" xfId="1" applyFont="1"/>
    <xf numFmtId="43" fontId="12" fillId="0" borderId="0" xfId="1" applyFont="1" applyAlignment="1">
      <alignment horizontal="center" vertical="center"/>
    </xf>
    <xf numFmtId="185" fontId="15" fillId="0" borderId="4" xfId="6" applyNumberFormat="1" applyFont="1" applyFill="1" applyBorder="1" applyAlignment="1">
      <alignment horizontal="left" vertical="center"/>
    </xf>
    <xf numFmtId="185" fontId="11" fillId="9" borderId="4" xfId="0" applyNumberFormat="1" applyFont="1" applyFill="1" applyBorder="1" applyAlignment="1">
      <alignment horizontal="left" vertical="center"/>
    </xf>
    <xf numFmtId="0" fontId="3" fillId="0" borderId="24" xfId="0" applyFont="1" applyBorder="1" applyAlignment="1">
      <alignment horizontal="center" vertical="center"/>
    </xf>
    <xf numFmtId="0" fontId="4" fillId="0" borderId="25" xfId="0" applyFont="1" applyBorder="1" applyAlignment="1">
      <alignment horizontal="left" vertical="center" wrapText="1"/>
    </xf>
    <xf numFmtId="0" fontId="3" fillId="0" borderId="25" xfId="0" applyFont="1" applyBorder="1" applyAlignment="1">
      <alignment horizontal="center" vertical="center"/>
    </xf>
    <xf numFmtId="2" fontId="3" fillId="0" borderId="25" xfId="0" applyNumberFormat="1" applyFont="1" applyBorder="1" applyAlignment="1">
      <alignment vertical="center"/>
    </xf>
    <xf numFmtId="0" fontId="44" fillId="4" borderId="60" xfId="0" applyFont="1" applyFill="1" applyBorder="1" applyAlignment="1">
      <alignment horizontal="center" vertical="center"/>
    </xf>
    <xf numFmtId="169" fontId="44" fillId="4" borderId="60" xfId="2" applyNumberFormat="1" applyFont="1" applyFill="1" applyBorder="1" applyAlignment="1">
      <alignment horizontal="right" vertical="center"/>
    </xf>
    <xf numFmtId="0" fontId="44" fillId="6" borderId="60" xfId="0" applyFont="1" applyFill="1" applyBorder="1" applyAlignment="1">
      <alignment horizontal="center" vertical="center"/>
    </xf>
    <xf numFmtId="169" fontId="44" fillId="6" borderId="60" xfId="2" applyNumberFormat="1" applyFont="1" applyFill="1" applyBorder="1" applyAlignment="1">
      <alignment horizontal="right" vertical="center"/>
    </xf>
    <xf numFmtId="0" fontId="43" fillId="0" borderId="4" xfId="0" applyFont="1" applyBorder="1" applyAlignment="1">
      <alignment horizontal="center" vertical="center"/>
    </xf>
    <xf numFmtId="0" fontId="0" fillId="0" borderId="4" xfId="0" applyBorder="1" applyAlignment="1">
      <alignment wrapText="1"/>
    </xf>
    <xf numFmtId="0" fontId="44" fillId="4" borderId="4" xfId="0" applyFont="1" applyFill="1" applyBorder="1" applyAlignment="1">
      <alignment horizontal="left" vertical="center" wrapText="1"/>
    </xf>
    <xf numFmtId="0" fontId="44" fillId="4" borderId="4" xfId="0" applyFont="1" applyFill="1" applyBorder="1" applyAlignment="1">
      <alignment horizontal="left" vertical="center"/>
    </xf>
    <xf numFmtId="185" fontId="10" fillId="12" borderId="36" xfId="0" applyNumberFormat="1" applyFont="1" applyFill="1" applyBorder="1" applyAlignment="1">
      <alignment horizontal="center" vertical="center"/>
    </xf>
    <xf numFmtId="0" fontId="44" fillId="0" borderId="60" xfId="0" applyFont="1" applyBorder="1" applyAlignment="1">
      <alignment horizontal="center" vertical="center"/>
    </xf>
    <xf numFmtId="0" fontId="44" fillId="0" borderId="60" xfId="0" applyFont="1" applyBorder="1" applyAlignment="1">
      <alignment horizontal="left" vertical="center"/>
    </xf>
    <xf numFmtId="185" fontId="11" fillId="9" borderId="7" xfId="0" applyNumberFormat="1" applyFont="1" applyFill="1" applyBorder="1" applyAlignment="1">
      <alignment horizontal="left" vertical="center"/>
    </xf>
    <xf numFmtId="185" fontId="11" fillId="9" borderId="15" xfId="0" applyNumberFormat="1" applyFont="1" applyFill="1" applyBorder="1" applyAlignment="1">
      <alignment horizontal="left" vertical="center"/>
    </xf>
    <xf numFmtId="181" fontId="15" fillId="0" borderId="4" xfId="3" applyNumberFormat="1" applyFont="1" applyFill="1" applyBorder="1" applyAlignment="1">
      <alignment horizontal="center" vertical="center"/>
    </xf>
    <xf numFmtId="164" fontId="3" fillId="6" borderId="48" xfId="0" applyNumberFormat="1" applyFont="1" applyFill="1" applyBorder="1" applyAlignment="1">
      <alignment vertical="center"/>
    </xf>
    <xf numFmtId="43" fontId="3" fillId="0" borderId="0" xfId="0" applyNumberFormat="1" applyFont="1" applyAlignment="1">
      <alignment vertical="center"/>
    </xf>
    <xf numFmtId="43" fontId="4" fillId="0" borderId="0" xfId="1" applyFont="1" applyAlignment="1">
      <alignment vertical="center"/>
    </xf>
    <xf numFmtId="43" fontId="4" fillId="0" borderId="0" xfId="0" applyNumberFormat="1" applyFont="1" applyAlignment="1">
      <alignment vertical="center"/>
    </xf>
    <xf numFmtId="166" fontId="4" fillId="0" borderId="26" xfId="2" applyFont="1" applyBorder="1" applyAlignment="1">
      <alignment vertical="center"/>
    </xf>
    <xf numFmtId="0" fontId="3" fillId="0" borderId="53" xfId="0" applyFont="1" applyBorder="1" applyAlignment="1">
      <alignment horizontal="center" vertical="center"/>
    </xf>
    <xf numFmtId="0" fontId="3" fillId="0" borderId="5" xfId="0" applyFont="1" applyBorder="1" applyAlignment="1">
      <alignment horizontal="left" vertical="center" wrapText="1"/>
    </xf>
    <xf numFmtId="0" fontId="3" fillId="0" borderId="5" xfId="0" applyFont="1" applyBorder="1" applyAlignment="1">
      <alignment horizontal="center" vertical="center"/>
    </xf>
    <xf numFmtId="2" fontId="3" fillId="0" borderId="5" xfId="0" applyNumberFormat="1" applyFont="1" applyBorder="1" applyAlignment="1">
      <alignment vertical="center"/>
    </xf>
    <xf numFmtId="10" fontId="25" fillId="21" borderId="2" xfId="15" applyNumberFormat="1" applyFont="1" applyFill="1" applyBorder="1" applyAlignment="1">
      <alignment horizontal="center" vertical="center"/>
    </xf>
    <xf numFmtId="10" fontId="3" fillId="6" borderId="2" xfId="3" applyNumberFormat="1" applyFont="1" applyFill="1" applyBorder="1" applyAlignment="1">
      <alignment horizontal="center" vertical="center"/>
    </xf>
    <xf numFmtId="166" fontId="3" fillId="6" borderId="9" xfId="2" applyFont="1" applyFill="1" applyBorder="1" applyAlignment="1">
      <alignment vertical="center"/>
    </xf>
    <xf numFmtId="186" fontId="3" fillId="0" borderId="0" xfId="0" applyNumberFormat="1" applyFont="1" applyAlignment="1">
      <alignment horizontal="right" vertical="center"/>
    </xf>
    <xf numFmtId="186" fontId="47" fillId="3" borderId="44" xfId="0" applyNumberFormat="1" applyFont="1" applyFill="1" applyBorder="1" applyAlignment="1">
      <alignment horizontal="right" vertical="center"/>
    </xf>
    <xf numFmtId="186" fontId="45" fillId="7" borderId="2" xfId="1" applyNumberFormat="1" applyFont="1" applyFill="1" applyBorder="1" applyAlignment="1">
      <alignment horizontal="right" vertical="center"/>
    </xf>
    <xf numFmtId="187" fontId="3" fillId="0" borderId="0" xfId="0" applyNumberFormat="1" applyFont="1" applyAlignment="1">
      <alignment vertical="center"/>
    </xf>
    <xf numFmtId="187" fontId="5" fillId="2" borderId="7" xfId="0" applyNumberFormat="1" applyFont="1" applyFill="1" applyBorder="1" applyAlignment="1">
      <alignment vertical="center"/>
    </xf>
    <xf numFmtId="187" fontId="5" fillId="3" borderId="4" xfId="0" applyNumberFormat="1" applyFont="1" applyFill="1" applyBorder="1" applyAlignment="1">
      <alignment vertical="center"/>
    </xf>
    <xf numFmtId="187" fontId="3" fillId="4" borderId="4" xfId="0" applyNumberFormat="1" applyFont="1" applyFill="1" applyBorder="1" applyAlignment="1">
      <alignment vertical="center"/>
    </xf>
    <xf numFmtId="187" fontId="5" fillId="5" borderId="4" xfId="0" applyNumberFormat="1" applyFont="1" applyFill="1" applyBorder="1" applyAlignment="1">
      <alignment vertical="center"/>
    </xf>
    <xf numFmtId="187" fontId="3" fillId="0" borderId="4" xfId="0" applyNumberFormat="1" applyFont="1" applyBorder="1" applyAlignment="1">
      <alignment vertical="center"/>
    </xf>
    <xf numFmtId="187" fontId="3" fillId="0" borderId="5" xfId="0" applyNumberFormat="1" applyFont="1" applyBorder="1" applyAlignment="1">
      <alignment vertical="center"/>
    </xf>
    <xf numFmtId="187" fontId="3" fillId="6" borderId="4" xfId="0" applyNumberFormat="1" applyFont="1" applyFill="1" applyBorder="1" applyAlignment="1">
      <alignment vertical="center"/>
    </xf>
    <xf numFmtId="187" fontId="4" fillId="7" borderId="18" xfId="0" applyNumberFormat="1" applyFont="1" applyFill="1" applyBorder="1" applyAlignment="1">
      <alignment vertical="center"/>
    </xf>
    <xf numFmtId="187" fontId="4" fillId="7" borderId="22" xfId="0" applyNumberFormat="1" applyFont="1" applyFill="1" applyBorder="1" applyAlignment="1">
      <alignment vertical="center"/>
    </xf>
    <xf numFmtId="187" fontId="3" fillId="0" borderId="25" xfId="3" applyNumberFormat="1" applyFont="1" applyBorder="1" applyAlignment="1">
      <alignment horizontal="center" vertical="center"/>
    </xf>
    <xf numFmtId="187" fontId="4" fillId="7" borderId="25" xfId="0" applyNumberFormat="1" applyFont="1" applyFill="1" applyBorder="1" applyAlignment="1">
      <alignment horizontal="center" vertical="center"/>
    </xf>
    <xf numFmtId="187" fontId="45" fillId="7" borderId="9" xfId="1" applyNumberFormat="1" applyFont="1" applyFill="1" applyBorder="1" applyAlignment="1">
      <alignment horizontal="center" vertical="center"/>
    </xf>
    <xf numFmtId="187" fontId="45" fillId="7" borderId="2" xfId="1" applyNumberFormat="1" applyFont="1" applyFill="1" applyBorder="1" applyAlignment="1">
      <alignment horizontal="center" vertical="center"/>
    </xf>
    <xf numFmtId="187" fontId="47" fillId="3" borderId="44" xfId="0" applyNumberFormat="1" applyFont="1" applyFill="1" applyBorder="1" applyAlignment="1">
      <alignment vertical="center"/>
    </xf>
    <xf numFmtId="187" fontId="45" fillId="7" borderId="16" xfId="1" applyNumberFormat="1" applyFont="1" applyFill="1" applyBorder="1" applyAlignment="1">
      <alignment horizontal="center" vertical="center"/>
    </xf>
    <xf numFmtId="187" fontId="3" fillId="0" borderId="9" xfId="0" applyNumberFormat="1" applyFont="1" applyBorder="1" applyAlignment="1">
      <alignment vertical="center"/>
    </xf>
    <xf numFmtId="187" fontId="3" fillId="0" borderId="51" xfId="0" applyNumberFormat="1" applyFont="1" applyBorder="1" applyAlignment="1">
      <alignment vertical="center"/>
    </xf>
    <xf numFmtId="185" fontId="15" fillId="6" borderId="4" xfId="6" applyNumberFormat="1" applyFont="1" applyFill="1" applyBorder="1" applyAlignment="1">
      <alignment horizontal="left" vertical="center"/>
    </xf>
    <xf numFmtId="0" fontId="15" fillId="6" borderId="4" xfId="0" applyFont="1" applyFill="1" applyBorder="1" applyAlignment="1">
      <alignment horizontal="center" vertical="center"/>
    </xf>
    <xf numFmtId="0" fontId="12" fillId="6" borderId="4" xfId="0" applyFont="1" applyFill="1" applyBorder="1" applyAlignment="1">
      <alignment vertical="center" wrapText="1"/>
    </xf>
    <xf numFmtId="0" fontId="12" fillId="6" borderId="4" xfId="0" applyFont="1" applyFill="1" applyBorder="1" applyAlignment="1">
      <alignment horizontal="center" vertical="center" wrapText="1"/>
    </xf>
    <xf numFmtId="0" fontId="12" fillId="6" borderId="4" xfId="0" applyFont="1" applyFill="1" applyBorder="1" applyAlignment="1">
      <alignment horizontal="center" vertical="center"/>
    </xf>
    <xf numFmtId="0" fontId="0" fillId="6" borderId="0" xfId="0" applyFill="1" applyAlignment="1">
      <alignment vertical="center"/>
    </xf>
    <xf numFmtId="0" fontId="33" fillId="6" borderId="0" xfId="8" applyFont="1" applyFill="1" applyAlignment="1">
      <alignment vertical="center"/>
    </xf>
    <xf numFmtId="0" fontId="34" fillId="6" borderId="0" xfId="8" applyFont="1" applyFill="1" applyAlignment="1">
      <alignment vertical="center"/>
    </xf>
    <xf numFmtId="0" fontId="0" fillId="0" borderId="0" xfId="0" applyAlignment="1">
      <alignment horizontal="center"/>
    </xf>
    <xf numFmtId="187" fontId="0" fillId="0" borderId="0" xfId="0" applyNumberFormat="1"/>
    <xf numFmtId="170" fontId="0" fillId="0" borderId="0" xfId="0" applyNumberFormat="1" applyAlignment="1">
      <alignment horizontal="center"/>
    </xf>
    <xf numFmtId="170" fontId="0" fillId="0" borderId="0" xfId="0" applyNumberFormat="1"/>
    <xf numFmtId="2" fontId="3" fillId="0" borderId="1" xfId="0" applyNumberFormat="1" applyFont="1" applyBorder="1" applyAlignment="1">
      <alignment vertical="center"/>
    </xf>
    <xf numFmtId="187" fontId="5" fillId="3" borderId="5" xfId="0" applyNumberFormat="1" applyFont="1" applyFill="1" applyBorder="1" applyAlignment="1">
      <alignment vertical="center"/>
    </xf>
    <xf numFmtId="164" fontId="5" fillId="3" borderId="51" xfId="0" applyNumberFormat="1" applyFont="1" applyFill="1" applyBorder="1" applyAlignment="1">
      <alignment vertical="center"/>
    </xf>
    <xf numFmtId="187" fontId="3" fillId="0" borderId="12" xfId="0" applyNumberFormat="1" applyFont="1" applyBorder="1" applyAlignment="1">
      <alignment vertical="center"/>
    </xf>
    <xf numFmtId="187" fontId="3" fillId="0" borderId="13" xfId="0" applyNumberFormat="1" applyFont="1" applyBorder="1" applyAlignment="1">
      <alignment vertical="center"/>
    </xf>
    <xf numFmtId="187" fontId="53" fillId="20" borderId="62" xfId="0" applyNumberFormat="1" applyFont="1" applyFill="1" applyBorder="1" applyAlignment="1">
      <alignment vertical="center"/>
    </xf>
    <xf numFmtId="187" fontId="3" fillId="0" borderId="42" xfId="0" applyNumberFormat="1" applyFont="1" applyBorder="1" applyAlignment="1">
      <alignment vertical="center"/>
    </xf>
    <xf numFmtId="187" fontId="3" fillId="0" borderId="64" xfId="0" applyNumberFormat="1" applyFont="1" applyBorder="1" applyAlignment="1">
      <alignment vertical="center"/>
    </xf>
    <xf numFmtId="187" fontId="5" fillId="3" borderId="12" xfId="0" applyNumberFormat="1" applyFont="1" applyFill="1" applyBorder="1" applyAlignment="1">
      <alignment vertical="center"/>
    </xf>
    <xf numFmtId="164" fontId="5" fillId="3" borderId="13" xfId="0" applyNumberFormat="1" applyFont="1" applyFill="1" applyBorder="1" applyAlignment="1">
      <alignment vertical="center"/>
    </xf>
    <xf numFmtId="187" fontId="54" fillId="20" borderId="63" xfId="0" applyNumberFormat="1" applyFont="1" applyFill="1" applyBorder="1" applyAlignment="1">
      <alignment vertical="center"/>
    </xf>
    <xf numFmtId="0" fontId="0" fillId="0" borderId="1" xfId="0" applyBorder="1" applyAlignment="1">
      <alignment horizontal="center" vertical="center"/>
    </xf>
    <xf numFmtId="0" fontId="48" fillId="25" borderId="0" xfId="0" applyFont="1" applyFill="1" applyAlignment="1">
      <alignment horizontal="center" vertical="center" wrapText="1"/>
    </xf>
    <xf numFmtId="0" fontId="48" fillId="8" borderId="0" xfId="0" applyFont="1" applyFill="1" applyAlignment="1">
      <alignment horizontal="center" vertical="center" wrapText="1"/>
    </xf>
    <xf numFmtId="0" fontId="0" fillId="0" borderId="0" xfId="0" applyAlignment="1">
      <alignment vertical="center" wrapText="1"/>
    </xf>
    <xf numFmtId="187" fontId="0" fillId="8" borderId="0" xfId="0" applyNumberFormat="1" applyFill="1" applyAlignment="1">
      <alignment horizontal="right"/>
    </xf>
    <xf numFmtId="188" fontId="5" fillId="3" borderId="4" xfId="0" applyNumberFormat="1" applyFont="1" applyFill="1" applyBorder="1" applyAlignment="1">
      <alignment vertical="center"/>
    </xf>
    <xf numFmtId="188" fontId="5" fillId="3" borderId="1" xfId="0" applyNumberFormat="1" applyFont="1" applyFill="1" applyBorder="1" applyAlignment="1">
      <alignment vertical="center"/>
    </xf>
    <xf numFmtId="188" fontId="5" fillId="3" borderId="9" xfId="0" applyNumberFormat="1" applyFont="1" applyFill="1" applyBorder="1" applyAlignment="1">
      <alignment vertical="center"/>
    </xf>
    <xf numFmtId="188" fontId="3" fillId="0" borderId="4" xfId="0" applyNumberFormat="1" applyFont="1" applyBorder="1" applyAlignment="1">
      <alignment vertical="center"/>
    </xf>
    <xf numFmtId="188" fontId="3" fillId="0" borderId="9" xfId="0" applyNumberFormat="1" applyFont="1" applyBorder="1" applyAlignment="1">
      <alignment vertical="center"/>
    </xf>
    <xf numFmtId="1" fontId="3" fillId="0" borderId="4" xfId="0" applyNumberFormat="1" applyFont="1" applyBorder="1" applyAlignment="1">
      <alignment horizontal="left" vertical="center" wrapText="1"/>
    </xf>
    <xf numFmtId="3" fontId="3" fillId="0" borderId="4" xfId="0" applyNumberFormat="1" applyFont="1" applyBorder="1" applyAlignment="1">
      <alignment horizontal="center" vertical="center"/>
    </xf>
    <xf numFmtId="1" fontId="3" fillId="0" borderId="15" xfId="0" applyNumberFormat="1" applyFont="1" applyBorder="1" applyAlignment="1">
      <alignment horizontal="left" vertical="center" wrapText="1"/>
    </xf>
    <xf numFmtId="3" fontId="3" fillId="0" borderId="15" xfId="0" applyNumberFormat="1" applyFont="1" applyBorder="1" applyAlignment="1">
      <alignment horizontal="center" vertical="center"/>
    </xf>
    <xf numFmtId="188" fontId="3" fillId="0" borderId="15" xfId="0" applyNumberFormat="1" applyFont="1" applyBorder="1" applyAlignment="1">
      <alignment vertical="center"/>
    </xf>
    <xf numFmtId="188" fontId="3" fillId="0" borderId="16" xfId="0" applyNumberFormat="1" applyFont="1" applyBorder="1" applyAlignment="1">
      <alignment vertical="center"/>
    </xf>
    <xf numFmtId="0" fontId="3" fillId="6" borderId="20" xfId="0" applyFont="1" applyFill="1" applyBorder="1" applyAlignment="1">
      <alignment horizontal="center" vertical="center"/>
    </xf>
    <xf numFmtId="0" fontId="3" fillId="0" borderId="0" xfId="0" applyFont="1" applyAlignment="1">
      <alignment horizontal="left" vertical="center"/>
    </xf>
    <xf numFmtId="176" fontId="7" fillId="0" borderId="0" xfId="0" applyNumberFormat="1" applyFont="1" applyAlignment="1">
      <alignment vertical="center"/>
    </xf>
    <xf numFmtId="176" fontId="58" fillId="19" borderId="4" xfId="0" applyNumberFormat="1" applyFont="1" applyFill="1" applyBorder="1" applyAlignment="1">
      <alignment vertical="center"/>
    </xf>
    <xf numFmtId="176" fontId="59" fillId="0" borderId="4" xfId="0" applyNumberFormat="1" applyFont="1" applyBorder="1" applyAlignment="1">
      <alignment vertical="center"/>
    </xf>
    <xf numFmtId="176" fontId="59" fillId="0" borderId="5" xfId="0" applyNumberFormat="1" applyFont="1" applyBorder="1" applyAlignment="1">
      <alignment vertical="center"/>
    </xf>
    <xf numFmtId="176" fontId="60" fillId="20" borderId="63" xfId="0" applyNumberFormat="1" applyFont="1" applyFill="1" applyBorder="1" applyAlignment="1">
      <alignment vertical="center"/>
    </xf>
    <xf numFmtId="176" fontId="59" fillId="0" borderId="12" xfId="0" applyNumberFormat="1" applyFont="1" applyBorder="1" applyAlignment="1">
      <alignment vertical="center"/>
    </xf>
    <xf numFmtId="176" fontId="58" fillId="19" borderId="5" xfId="0" applyNumberFormat="1" applyFont="1" applyFill="1" applyBorder="1" applyAlignment="1">
      <alignment vertical="center"/>
    </xf>
    <xf numFmtId="176" fontId="60" fillId="20" borderId="65" xfId="0" applyNumberFormat="1" applyFont="1" applyFill="1" applyBorder="1" applyAlignment="1">
      <alignment vertical="center"/>
    </xf>
    <xf numFmtId="176" fontId="59" fillId="0" borderId="42" xfId="0" applyNumberFormat="1" applyFont="1" applyBorder="1" applyAlignment="1">
      <alignment vertical="center"/>
    </xf>
    <xf numFmtId="176" fontId="59" fillId="0" borderId="0" xfId="0" applyNumberFormat="1" applyFont="1" applyAlignment="1">
      <alignment vertical="center"/>
    </xf>
    <xf numFmtId="0" fontId="3" fillId="0" borderId="12" xfId="0" applyFont="1" applyBorder="1" applyAlignment="1">
      <alignment horizontal="left" vertical="center" wrapText="1"/>
    </xf>
    <xf numFmtId="0" fontId="3" fillId="0" borderId="12" xfId="0" applyFont="1" applyBorder="1" applyAlignment="1">
      <alignment horizontal="center" vertical="center"/>
    </xf>
    <xf numFmtId="2" fontId="3" fillId="0" borderId="43" xfId="0" applyNumberFormat="1" applyFont="1" applyBorder="1" applyAlignment="1">
      <alignment vertical="center"/>
    </xf>
    <xf numFmtId="187" fontId="54" fillId="20" borderId="66" xfId="0" applyNumberFormat="1" applyFont="1" applyFill="1" applyBorder="1" applyAlignment="1">
      <alignment vertical="center"/>
    </xf>
    <xf numFmtId="187" fontId="53" fillId="20" borderId="67" xfId="0" applyNumberFormat="1" applyFont="1" applyFill="1" applyBorder="1" applyAlignment="1">
      <alignment vertical="center"/>
    </xf>
    <xf numFmtId="0" fontId="3" fillId="6" borderId="14" xfId="0" applyFont="1" applyFill="1" applyBorder="1" applyAlignment="1">
      <alignment horizontal="center" vertical="center"/>
    </xf>
    <xf numFmtId="0" fontId="3" fillId="6" borderId="15" xfId="0" applyFont="1" applyFill="1" applyBorder="1" applyAlignment="1">
      <alignment horizontal="left" vertical="center" wrapText="1"/>
    </xf>
    <xf numFmtId="0" fontId="3" fillId="6" borderId="15" xfId="0" applyFont="1" applyFill="1" applyBorder="1" applyAlignment="1">
      <alignment horizontal="center" vertical="center"/>
    </xf>
    <xf numFmtId="2" fontId="3" fillId="6" borderId="15" xfId="0" applyNumberFormat="1" applyFont="1" applyFill="1" applyBorder="1" applyAlignment="1">
      <alignment vertical="center"/>
    </xf>
    <xf numFmtId="187" fontId="3" fillId="6" borderId="15" xfId="0" applyNumberFormat="1" applyFont="1" applyFill="1" applyBorder="1" applyAlignment="1">
      <alignment vertical="center"/>
    </xf>
    <xf numFmtId="164" fontId="3" fillId="6" borderId="68" xfId="0" applyNumberFormat="1" applyFont="1" applyFill="1" applyBorder="1" applyAlignment="1">
      <alignment vertical="center"/>
    </xf>
    <xf numFmtId="0" fontId="3" fillId="0" borderId="11" xfId="0" applyFont="1" applyBorder="1" applyAlignment="1">
      <alignment horizontal="center" vertical="center"/>
    </xf>
    <xf numFmtId="2" fontId="3" fillId="0" borderId="12" xfId="0" applyNumberFormat="1" applyFont="1" applyBorder="1" applyAlignment="1">
      <alignment vertical="center"/>
    </xf>
    <xf numFmtId="187" fontId="54" fillId="20" borderId="4" xfId="0" applyNumberFormat="1" applyFont="1" applyFill="1" applyBorder="1" applyAlignment="1">
      <alignment vertical="center"/>
    </xf>
    <xf numFmtId="187" fontId="53" fillId="20" borderId="9" xfId="0" applyNumberFormat="1" applyFont="1" applyFill="1" applyBorder="1" applyAlignment="1">
      <alignment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14" xfId="0" applyFont="1" applyBorder="1" applyAlignment="1">
      <alignment horizontal="center" vertical="center"/>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15" xfId="0" applyFont="1" applyBorder="1" applyAlignment="1">
      <alignment horizontal="center" vertical="center"/>
    </xf>
    <xf numFmtId="187" fontId="55" fillId="27" borderId="59" xfId="0" applyNumberFormat="1" applyFont="1" applyFill="1" applyBorder="1" applyAlignment="1">
      <alignment horizontal="center" vertical="center" wrapText="1"/>
    </xf>
    <xf numFmtId="187" fontId="55" fillId="27" borderId="42" xfId="0" applyNumberFormat="1" applyFont="1" applyFill="1" applyBorder="1" applyAlignment="1">
      <alignment horizontal="center" vertical="center" wrapText="1"/>
    </xf>
    <xf numFmtId="187" fontId="55" fillId="27" borderId="36" xfId="0" applyNumberFormat="1"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6" xfId="0" applyFont="1" applyBorder="1" applyAlignment="1">
      <alignment horizontal="center" vertical="center" wrapText="1"/>
    </xf>
    <xf numFmtId="0" fontId="3" fillId="6" borderId="2" xfId="0" applyFont="1" applyFill="1" applyBorder="1" applyAlignment="1">
      <alignment horizontal="left" vertical="center" wrapText="1"/>
    </xf>
    <xf numFmtId="2" fontId="3" fillId="6" borderId="2" xfId="0" applyNumberFormat="1"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7" fillId="28" borderId="4" xfId="0" applyFont="1" applyFill="1" applyBorder="1" applyAlignment="1">
      <alignment horizontal="center" vertical="center"/>
    </xf>
    <xf numFmtId="0" fontId="57" fillId="28" borderId="4" xfId="0" applyFont="1" applyFill="1" applyBorder="1" applyAlignment="1">
      <alignment horizontal="center" vertical="center" wrapText="1"/>
    </xf>
    <xf numFmtId="176" fontId="56" fillId="28" borderId="4" xfId="0" applyNumberFormat="1" applyFont="1" applyFill="1" applyBorder="1" applyAlignment="1">
      <alignment horizontal="center" vertical="center" wrapText="1"/>
    </xf>
    <xf numFmtId="0" fontId="56" fillId="28" borderId="1" xfId="0" applyFont="1" applyFill="1" applyBorder="1" applyAlignment="1">
      <alignment horizontal="center" vertical="center" wrapText="1"/>
    </xf>
    <xf numFmtId="0" fontId="56" fillId="28" borderId="2" xfId="0" applyFont="1" applyFill="1" applyBorder="1" applyAlignment="1">
      <alignment horizontal="center" vertical="center" wrapText="1"/>
    </xf>
    <xf numFmtId="0" fontId="11" fillId="0" borderId="0" xfId="0" applyFont="1" applyAlignment="1">
      <alignment horizontal="center" vertical="center"/>
    </xf>
    <xf numFmtId="0" fontId="11" fillId="9" borderId="17" xfId="0" applyFont="1" applyFill="1" applyBorder="1" applyAlignment="1">
      <alignment horizontal="center" vertical="center"/>
    </xf>
    <xf numFmtId="0" fontId="11" fillId="9" borderId="18" xfId="0" applyFont="1" applyFill="1" applyBorder="1" applyAlignment="1">
      <alignment horizontal="center" vertical="center"/>
    </xf>
    <xf numFmtId="0" fontId="11" fillId="9" borderId="19" xfId="0" applyFont="1" applyFill="1" applyBorder="1" applyAlignment="1">
      <alignment horizontal="center" vertical="center"/>
    </xf>
    <xf numFmtId="0" fontId="11" fillId="9" borderId="21" xfId="0" applyFont="1" applyFill="1" applyBorder="1" applyAlignment="1">
      <alignment horizontal="center" vertical="center"/>
    </xf>
    <xf numFmtId="0" fontId="11" fillId="9" borderId="22" xfId="0" applyFont="1" applyFill="1" applyBorder="1" applyAlignment="1">
      <alignment horizontal="center" vertical="center"/>
    </xf>
    <xf numFmtId="0" fontId="11" fillId="9" borderId="23" xfId="0" applyFont="1" applyFill="1" applyBorder="1" applyAlignment="1">
      <alignment horizontal="center" vertical="center"/>
    </xf>
    <xf numFmtId="0" fontId="10" fillId="12" borderId="32" xfId="0" applyFont="1" applyFill="1" applyBorder="1" applyAlignment="1">
      <alignment horizontal="center" vertical="center"/>
    </xf>
    <xf numFmtId="0" fontId="10" fillId="12" borderId="33" xfId="0" applyFont="1" applyFill="1" applyBorder="1" applyAlignment="1">
      <alignment horizontal="center" vertical="center"/>
    </xf>
    <xf numFmtId="0" fontId="10" fillId="12" borderId="61"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2" xfId="0" applyFont="1" applyFill="1" applyBorder="1" applyAlignment="1">
      <alignment horizontal="center" vertical="center"/>
    </xf>
    <xf numFmtId="0" fontId="12" fillId="6" borderId="3" xfId="0" applyFont="1" applyFill="1" applyBorder="1" applyAlignment="1">
      <alignment horizontal="center" vertical="center"/>
    </xf>
    <xf numFmtId="0" fontId="14" fillId="9" borderId="4" xfId="0" applyFont="1" applyFill="1" applyBorder="1" applyAlignment="1">
      <alignment horizontal="center" vertical="center"/>
    </xf>
    <xf numFmtId="0" fontId="11" fillId="9" borderId="4"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1" fillId="9" borderId="1" xfId="0" applyFont="1" applyFill="1" applyBorder="1" applyAlignment="1">
      <alignment horizontal="center" vertical="center"/>
    </xf>
    <xf numFmtId="0" fontId="11" fillId="9" borderId="2" xfId="0" applyFont="1" applyFill="1" applyBorder="1" applyAlignment="1">
      <alignment horizontal="center" vertical="center"/>
    </xf>
    <xf numFmtId="0" fontId="11" fillId="9" borderId="3" xfId="0" applyFont="1" applyFill="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0" fillId="12"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Border="1" applyAlignment="1">
      <alignment horizontal="center"/>
    </xf>
    <xf numFmtId="0" fontId="13" fillId="0" borderId="4" xfId="0" applyFont="1" applyBorder="1" applyAlignment="1">
      <alignment horizontal="left" vertical="center"/>
    </xf>
    <xf numFmtId="3" fontId="13" fillId="0" borderId="4" xfId="0" applyNumberFormat="1" applyFont="1" applyBorder="1" applyAlignment="1">
      <alignment horizontal="left" vertical="center"/>
    </xf>
    <xf numFmtId="0" fontId="11" fillId="9" borderId="4" xfId="0" applyFont="1" applyFill="1" applyBorder="1" applyAlignment="1">
      <alignment horizontal="center" vertical="center" wrapText="1"/>
    </xf>
    <xf numFmtId="0" fontId="14" fillId="9" borderId="4" xfId="0" applyFont="1" applyFill="1" applyBorder="1" applyAlignment="1">
      <alignment horizontal="center" vertical="center" wrapText="1"/>
    </xf>
    <xf numFmtId="0" fontId="30" fillId="14" borderId="0" xfId="0" applyFont="1" applyFill="1" applyAlignment="1">
      <alignment horizontal="left" vertical="center" wrapText="1"/>
    </xf>
    <xf numFmtId="0" fontId="3" fillId="14" borderId="0" xfId="0" applyFont="1" applyFill="1" applyAlignment="1">
      <alignment horizontal="left" vertical="center" wrapText="1"/>
    </xf>
    <xf numFmtId="0" fontId="25" fillId="9" borderId="1" xfId="8" applyFont="1" applyFill="1" applyBorder="1" applyAlignment="1">
      <alignment horizontal="center" vertical="center"/>
    </xf>
    <xf numFmtId="0" fontId="25" fillId="9" borderId="2" xfId="8" applyFont="1" applyFill="1" applyBorder="1" applyAlignment="1">
      <alignment horizontal="center" vertical="center"/>
    </xf>
    <xf numFmtId="0" fontId="25" fillId="9" borderId="3" xfId="8" applyFont="1" applyFill="1" applyBorder="1" applyAlignment="1">
      <alignment horizontal="center" vertical="center"/>
    </xf>
    <xf numFmtId="0" fontId="26" fillId="13" borderId="5" xfId="8" applyFont="1" applyFill="1" applyBorder="1" applyAlignment="1">
      <alignment horizontal="center" vertical="center"/>
    </xf>
    <xf numFmtId="0" fontId="26" fillId="13" borderId="12" xfId="8" applyFont="1" applyFill="1" applyBorder="1" applyAlignment="1">
      <alignment horizontal="center" vertical="center"/>
    </xf>
    <xf numFmtId="0" fontId="23" fillId="0" borderId="4" xfId="0" applyFont="1" applyBorder="1" applyAlignment="1">
      <alignment horizontal="center"/>
    </xf>
    <xf numFmtId="0" fontId="0" fillId="0" borderId="4" xfId="0" applyBorder="1" applyAlignment="1">
      <alignment horizontal="center"/>
    </xf>
    <xf numFmtId="0" fontId="0" fillId="0" borderId="4" xfId="0" applyBorder="1" applyAlignment="1">
      <alignment horizontal="center" vertical="center" wrapText="1"/>
    </xf>
    <xf numFmtId="0" fontId="32" fillId="15" borderId="4" xfId="21" applyFont="1" applyFill="1" applyBorder="1" applyAlignment="1">
      <alignment horizontal="center" vertical="center"/>
    </xf>
    <xf numFmtId="0" fontId="2" fillId="0" borderId="38" xfId="0" applyFont="1" applyBorder="1" applyAlignment="1">
      <alignment horizontal="center" vertical="center" wrapText="1"/>
    </xf>
    <xf numFmtId="0" fontId="36" fillId="4" borderId="10" xfId="8" applyFont="1" applyFill="1" applyBorder="1" applyAlignment="1">
      <alignment horizontal="center" vertical="center"/>
    </xf>
    <xf numFmtId="0" fontId="36" fillId="4" borderId="14" xfId="8" applyFont="1" applyFill="1" applyBorder="1" applyAlignment="1">
      <alignment horizontal="center" vertical="center"/>
    </xf>
    <xf numFmtId="2" fontId="0" fillId="0" borderId="52" xfId="0" applyNumberFormat="1" applyBorder="1" applyAlignment="1">
      <alignment horizontal="center"/>
    </xf>
    <xf numFmtId="2" fontId="0" fillId="0" borderId="55" xfId="0" applyNumberFormat="1" applyBorder="1" applyAlignment="1">
      <alignment horizontal="center"/>
    </xf>
    <xf numFmtId="2" fontId="0" fillId="0" borderId="56" xfId="0" applyNumberFormat="1" applyBorder="1" applyAlignment="1">
      <alignment horizontal="center"/>
    </xf>
    <xf numFmtId="0" fontId="0" fillId="15" borderId="52" xfId="0" applyFill="1" applyBorder="1" applyAlignment="1">
      <alignment horizontal="center"/>
    </xf>
    <xf numFmtId="0" fontId="0" fillId="15" borderId="55" xfId="0" applyFill="1" applyBorder="1" applyAlignment="1">
      <alignment horizontal="center"/>
    </xf>
    <xf numFmtId="0" fontId="0" fillId="15" borderId="56" xfId="0" applyFill="1" applyBorder="1" applyAlignment="1">
      <alignment horizontal="center"/>
    </xf>
    <xf numFmtId="0" fontId="37" fillId="18" borderId="49" xfId="8" applyFont="1" applyFill="1" applyBorder="1" applyAlignment="1">
      <alignment horizontal="center" vertical="center"/>
    </xf>
    <xf numFmtId="0" fontId="36" fillId="4" borderId="53" xfId="8" applyFont="1" applyFill="1" applyBorder="1" applyAlignment="1">
      <alignment horizontal="center" vertical="center"/>
    </xf>
    <xf numFmtId="0" fontId="36" fillId="4" borderId="57" xfId="8" applyFont="1" applyFill="1" applyBorder="1" applyAlignment="1">
      <alignment horizontal="center" vertical="center"/>
    </xf>
    <xf numFmtId="0" fontId="36" fillId="4" borderId="11" xfId="8" applyFont="1" applyFill="1" applyBorder="1" applyAlignment="1">
      <alignment horizontal="center" vertical="center"/>
    </xf>
    <xf numFmtId="0" fontId="36" fillId="0" borderId="53" xfId="8" applyFont="1" applyBorder="1" applyAlignment="1">
      <alignment horizontal="center" vertical="center"/>
    </xf>
    <xf numFmtId="0" fontId="36" fillId="0" borderId="57" xfId="8" applyFont="1" applyBorder="1" applyAlignment="1">
      <alignment horizontal="center" vertical="center"/>
    </xf>
    <xf numFmtId="0" fontId="36" fillId="0" borderId="11" xfId="8" applyFont="1" applyBorder="1" applyAlignment="1">
      <alignment horizontal="center" vertical="center"/>
    </xf>
    <xf numFmtId="0" fontId="34" fillId="0" borderId="27" xfId="8" applyFont="1" applyBorder="1" applyAlignment="1">
      <alignment horizontal="center" vertical="center"/>
    </xf>
    <xf numFmtId="0" fontId="34" fillId="0" borderId="28" xfId="8" applyFont="1" applyBorder="1" applyAlignment="1">
      <alignment horizontal="center" vertical="center"/>
    </xf>
    <xf numFmtId="0" fontId="34" fillId="0" borderId="29" xfId="8" applyFont="1" applyBorder="1" applyAlignment="1">
      <alignment horizontal="center" vertical="center"/>
    </xf>
    <xf numFmtId="0" fontId="34" fillId="0" borderId="30" xfId="8" applyFont="1" applyBorder="1" applyAlignment="1">
      <alignment horizontal="center" vertical="center"/>
    </xf>
    <xf numFmtId="0" fontId="34" fillId="0" borderId="0" xfId="8" applyFont="1" applyAlignment="1">
      <alignment horizontal="center" vertical="center"/>
    </xf>
    <xf numFmtId="0" fontId="34" fillId="0" borderId="31" xfId="8" applyFont="1" applyBorder="1" applyAlignment="1">
      <alignment horizontal="center" vertical="center"/>
    </xf>
    <xf numFmtId="0" fontId="35" fillId="16" borderId="46" xfId="8" applyFont="1" applyFill="1" applyBorder="1" applyAlignment="1">
      <alignment horizontal="center" vertical="center"/>
    </xf>
    <xf numFmtId="0" fontId="35" fillId="16" borderId="45" xfId="8" applyFont="1" applyFill="1" applyBorder="1" applyAlignment="1">
      <alignment horizontal="center" vertical="center"/>
    </xf>
    <xf numFmtId="0" fontId="35" fillId="16" borderId="47" xfId="8" applyFont="1" applyFill="1" applyBorder="1" applyAlignment="1">
      <alignment horizontal="center" vertical="center"/>
    </xf>
    <xf numFmtId="49" fontId="36" fillId="17" borderId="20" xfId="8" applyNumberFormat="1" applyFont="1" applyFill="1" applyBorder="1" applyAlignment="1">
      <alignment horizontal="center" vertical="center" wrapText="1"/>
    </xf>
    <xf numFmtId="0" fontId="36" fillId="17" borderId="2" xfId="8" applyFont="1" applyFill="1" applyBorder="1" applyAlignment="1">
      <alignment horizontal="center" vertical="center" wrapText="1"/>
    </xf>
    <xf numFmtId="0" fontId="36" fillId="17" borderId="48" xfId="8" applyFont="1" applyFill="1" applyBorder="1" applyAlignment="1">
      <alignment horizontal="center" vertical="center" wrapText="1"/>
    </xf>
    <xf numFmtId="0" fontId="36" fillId="0" borderId="50" xfId="8" applyFont="1" applyBorder="1" applyAlignment="1">
      <alignment horizontal="center" vertical="center"/>
    </xf>
    <xf numFmtId="0" fontId="36" fillId="0" borderId="46" xfId="8" applyFont="1" applyBorder="1" applyAlignment="1">
      <alignment horizontal="center" vertical="center"/>
    </xf>
    <xf numFmtId="0" fontId="36" fillId="0" borderId="5" xfId="8" applyFont="1" applyBorder="1" applyAlignment="1">
      <alignment horizontal="center" vertical="center"/>
    </xf>
    <xf numFmtId="0" fontId="36" fillId="0" borderId="12" xfId="8" applyFont="1" applyBorder="1" applyAlignment="1">
      <alignment horizontal="center" vertical="center"/>
    </xf>
    <xf numFmtId="0" fontId="36" fillId="0" borderId="40" xfId="8" applyFont="1" applyBorder="1" applyAlignment="1">
      <alignment horizontal="center" vertical="center"/>
    </xf>
    <xf numFmtId="0" fontId="36" fillId="0" borderId="43" xfId="8" applyFont="1" applyBorder="1" applyAlignment="1">
      <alignment horizontal="center" vertical="center"/>
    </xf>
    <xf numFmtId="0" fontId="36" fillId="0" borderId="4" xfId="8" applyFont="1" applyBorder="1" applyAlignment="1">
      <alignment horizontal="center" vertical="center"/>
    </xf>
    <xf numFmtId="0" fontId="36" fillId="0" borderId="51" xfId="8" applyFont="1" applyBorder="1" applyAlignment="1">
      <alignment horizontal="center" vertical="center"/>
    </xf>
    <xf numFmtId="0" fontId="23" fillId="0" borderId="0" xfId="0" applyFont="1" applyAlignment="1">
      <alignment horizontal="left" vertical="center" wrapText="1"/>
    </xf>
    <xf numFmtId="0" fontId="41" fillId="0" borderId="4" xfId="0" applyFont="1" applyBorder="1" applyAlignment="1">
      <alignment horizontal="center" vertical="center" wrapText="1"/>
    </xf>
    <xf numFmtId="0" fontId="23" fillId="0" borderId="4" xfId="0" applyFont="1" applyBorder="1" applyAlignment="1">
      <alignment horizontal="center" vertical="center" wrapText="1"/>
    </xf>
    <xf numFmtId="0" fontId="46" fillId="7" borderId="7" xfId="0" applyFont="1" applyFill="1" applyBorder="1" applyAlignment="1">
      <alignment horizontal="center" vertical="center" wrapText="1"/>
    </xf>
    <xf numFmtId="0" fontId="46" fillId="7" borderId="4" xfId="0" applyFont="1" applyFill="1" applyBorder="1" applyAlignment="1">
      <alignment horizontal="center" vertical="center" wrapText="1"/>
    </xf>
    <xf numFmtId="43" fontId="46" fillId="7" borderId="8" xfId="1" applyFont="1" applyFill="1" applyBorder="1" applyAlignment="1">
      <alignment horizontal="center" vertical="center"/>
    </xf>
    <xf numFmtId="43" fontId="46" fillId="7" borderId="9" xfId="1" applyFont="1" applyFill="1" applyBorder="1" applyAlignment="1">
      <alignment horizontal="center" vertical="center"/>
    </xf>
    <xf numFmtId="0" fontId="4" fillId="0" borderId="18"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17" xfId="0" applyFont="1" applyBorder="1" applyAlignment="1">
      <alignment horizontal="center" vertical="center" wrapText="1"/>
    </xf>
    <xf numFmtId="43" fontId="46" fillId="7" borderId="27" xfId="1" applyFont="1" applyFill="1" applyBorder="1" applyAlignment="1">
      <alignment horizontal="center" vertical="center" wrapText="1"/>
    </xf>
    <xf numFmtId="43" fontId="46" fillId="7" borderId="30" xfId="1" applyFont="1" applyFill="1" applyBorder="1" applyAlignment="1">
      <alignment horizontal="center" vertical="center" wrapText="1"/>
    </xf>
    <xf numFmtId="0" fontId="50" fillId="22" borderId="0" xfId="0" applyFont="1" applyFill="1"/>
    <xf numFmtId="0" fontId="51" fillId="0" borderId="0" xfId="0" applyFont="1"/>
    <xf numFmtId="0" fontId="48" fillId="23" borderId="0" xfId="0" applyFont="1" applyFill="1"/>
    <xf numFmtId="0" fontId="52" fillId="24" borderId="0" xfId="0" applyFont="1" applyFill="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86" fontId="0" fillId="0" borderId="59" xfId="0" applyNumberFormat="1" applyBorder="1" applyAlignment="1">
      <alignment horizontal="right" vertical="center" wrapText="1"/>
    </xf>
    <xf numFmtId="186" fontId="0" fillId="0" borderId="42" xfId="0" applyNumberFormat="1" applyBorder="1" applyAlignment="1">
      <alignment horizontal="right" vertical="center" wrapText="1"/>
    </xf>
    <xf numFmtId="186" fontId="0" fillId="0" borderId="36" xfId="0" applyNumberFormat="1" applyBorder="1" applyAlignment="1">
      <alignment horizontal="right" vertical="center" wrapText="1"/>
    </xf>
    <xf numFmtId="0" fontId="4" fillId="0" borderId="59"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8" fillId="26" borderId="5" xfId="0" applyFont="1" applyFill="1" applyBorder="1" applyAlignment="1">
      <alignment horizontal="center" vertical="center" wrapText="1"/>
    </xf>
    <xf numFmtId="0" fontId="48" fillId="26" borderId="42" xfId="0" applyFont="1" applyFill="1" applyBorder="1" applyAlignment="1">
      <alignment horizontal="center" vertical="center" wrapText="1"/>
    </xf>
    <xf numFmtId="0" fontId="48" fillId="26" borderId="36" xfId="0" applyFont="1" applyFill="1" applyBorder="1" applyAlignment="1">
      <alignment horizontal="center" vertical="center" wrapText="1"/>
    </xf>
  </cellXfs>
  <cellStyles count="24">
    <cellStyle name="Comma" xfId="1" builtinId="3"/>
    <cellStyle name="Comma 2" xfId="18" xr:uid="{5C4182B6-9C58-9B4B-9F03-9FE7B7A56D07}"/>
    <cellStyle name="Currency" xfId="2" builtinId="4"/>
    <cellStyle name="Millares [0] 3 2" xfId="9" xr:uid="{34FBFCFC-A976-9747-8D4A-4FD5E208A102}"/>
    <cellStyle name="Millares 10" xfId="13" xr:uid="{6BCA2148-9212-1C4C-805C-C8E994B47BFB}"/>
    <cellStyle name="Millares 10 2" xfId="19" xr:uid="{2CBF641D-7A15-D24E-B8AD-0DA19FD7E5C1}"/>
    <cellStyle name="Millares 2" xfId="4" xr:uid="{7D628249-35A6-4A45-97CC-92C271CE1A62}"/>
    <cellStyle name="Moneda [0] 2" xfId="6" xr:uid="{0EB1FCB0-751B-1843-AF7C-5A4FD42BF4F5}"/>
    <cellStyle name="Moneda [0] 2 2" xfId="14" xr:uid="{3BC5DB2C-91DB-764E-801E-D4CAB7722F58}"/>
    <cellStyle name="Moneda 2" xfId="5" xr:uid="{1F9100EA-D34E-6B4C-8DD1-901991D6308A}"/>
    <cellStyle name="Moneda 4" xfId="23" xr:uid="{EEC3CBE7-4E8A-DB43-86A9-2DD818736E54}"/>
    <cellStyle name="Normal" xfId="0" builtinId="0"/>
    <cellStyle name="Normal 10 2" xfId="11" xr:uid="{A60570F7-2246-A845-AD69-CCD980EBD3AD}"/>
    <cellStyle name="Normal 10 2 2" xfId="17" xr:uid="{70ECEF00-20DA-A343-90D1-65B634B9BBC4}"/>
    <cellStyle name="Normal 2 2" xfId="7" xr:uid="{0EB6EBBD-5C0F-664E-9BC9-E17CFE0E9CAD}"/>
    <cellStyle name="Normal 2 2 2 2 2" xfId="8" xr:uid="{B661AD51-43F6-D54B-9A3D-77845F3EE2D9}"/>
    <cellStyle name="Normal 5" xfId="21" xr:uid="{92F5F9DF-6E46-C749-B969-908CE565190E}"/>
    <cellStyle name="Normal_Copia de CIDS_183_DEF_INF_VOL_10_V3" xfId="15" xr:uid="{44905954-01F2-9F4D-B9E8-45C80DE42C53}"/>
    <cellStyle name="Per cent" xfId="3" builtinId="5"/>
    <cellStyle name="Porcentaje 2 2" xfId="12" xr:uid="{C7C11186-785A-FE4C-81DB-AE57E6ABDF31}"/>
    <cellStyle name="Porcentaje 2 2 2" xfId="10" xr:uid="{BFC9AFF3-3E74-F84A-8C9F-FBD7FC1DAC9B}"/>
    <cellStyle name="Porcentaje 2 2 2 2" xfId="20" xr:uid="{05F65A2A-050C-1F47-B60E-2C9F9A99434A}"/>
    <cellStyle name="Porcentaje 4" xfId="22" xr:uid="{870BC133-4044-874D-8CC1-4437923D5F58}"/>
    <cellStyle name="Porcentual 9" xfId="16" xr:uid="{4BB005B3-9EA8-0B4B-8122-A094B2854E2B}"/>
  </cellStyles>
  <dxfs count="18">
    <dxf>
      <font>
        <color rgb="FF006100"/>
      </font>
    </dxf>
    <dxf>
      <font>
        <color rgb="FF9C0006"/>
      </font>
    </dxf>
    <dxf>
      <font>
        <color rgb="FF9C6500"/>
      </font>
      <fill>
        <patternFill patternType="solid">
          <fgColor indexed="64"/>
          <bgColor rgb="FFFFF2CC"/>
        </patternFill>
      </fill>
    </dxf>
    <dxf>
      <font>
        <color rgb="FF006100"/>
      </font>
      <fill>
        <patternFill patternType="solid">
          <fgColor indexed="64"/>
          <bgColor rgb="FFC6EFCE"/>
        </patternFill>
      </fill>
    </dxf>
    <dxf>
      <numFmt numFmtId="187" formatCode="[$$-240A]\ #,##0.00"/>
      <fill>
        <patternFill>
          <fgColor indexed="64"/>
          <bgColor rgb="FF92D050"/>
        </patternFill>
      </fill>
      <alignment horizontal="right"/>
    </dxf>
    <dxf>
      <alignment horizontal="center"/>
    </dxf>
    <dxf>
      <numFmt numFmtId="170" formatCode="0.0%"/>
    </dxf>
    <dxf>
      <numFmt numFmtId="187" formatCode="[$$-240A]\ #,##0.00"/>
    </dxf>
    <dxf>
      <numFmt numFmtId="170" formatCode="0.0%"/>
      <alignment horizontal="center"/>
    </dxf>
    <dxf>
      <numFmt numFmtId="187" formatCode="[$$-240A]\ #,##0.00"/>
    </dxf>
    <dxf>
      <alignment horizontal="center"/>
    </dxf>
    <dxf>
      <alignment horizontal="center"/>
    </dxf>
    <dxf>
      <alignment wrapText="1"/>
    </dxf>
    <dxf>
      <numFmt numFmtId="187" formatCode="[$$-240A]\ #,##0.00"/>
    </dxf>
    <dxf>
      <alignment horizontal="center"/>
    </dxf>
    <dxf>
      <alignment horizontal="center"/>
    </dxf>
    <dxf>
      <alignment wrapText="1"/>
    </dxf>
    <dxf>
      <font>
        <b/>
        <color rgb="FFFFFFFF"/>
      </font>
      <fill>
        <patternFill patternType="solid">
          <fgColor indexed="64"/>
          <bgColor rgb="FF4472C4"/>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'INDEX ICOCIV'!$K$7</c:f>
              <c:strCache>
                <c:ptCount val="1"/>
                <c:pt idx="0">
                  <c:v>ICOCIV</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0"/>
          </c:trendline>
          <c:trendline>
            <c:spPr>
              <a:ln w="19050" cap="rnd">
                <a:solidFill>
                  <a:schemeClr val="accent1"/>
                </a:solidFill>
                <a:prstDash val="sysDot"/>
              </a:ln>
              <a:effectLst/>
            </c:spPr>
            <c:trendlineType val="poly"/>
            <c:order val="2"/>
            <c:forward val="34"/>
            <c:dispRSqr val="1"/>
            <c:dispEq val="1"/>
            <c:trendlineLbl>
              <c:layout>
                <c:manualLayout>
                  <c:x val="0.13851056381056145"/>
                  <c:y val="-0.17003533568904594"/>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xVal>
            <c:numRef>
              <c:f>'INDEX ICOCIV'!$J$8:$J$73</c:f>
              <c:numCache>
                <c:formatCode>General</c:formatCode>
                <c:ptCount val="6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numCache>
            </c:numRef>
          </c:xVal>
          <c:yVal>
            <c:numRef>
              <c:f>'INDEX ICOCIV'!$K$8:$K$73</c:f>
              <c:numCache>
                <c:formatCode>0.00</c:formatCode>
                <c:ptCount val="66"/>
                <c:pt idx="0">
                  <c:v>100.89</c:v>
                </c:pt>
                <c:pt idx="1">
                  <c:v>101.35</c:v>
                </c:pt>
                <c:pt idx="2">
                  <c:v>101.79600000000001</c:v>
                </c:pt>
                <c:pt idx="3">
                  <c:v>102.339</c:v>
                </c:pt>
                <c:pt idx="4">
                  <c:v>102.93899999999999</c:v>
                </c:pt>
                <c:pt idx="5">
                  <c:v>103.458</c:v>
                </c:pt>
                <c:pt idx="6">
                  <c:v>104.566</c:v>
                </c:pt>
                <c:pt idx="7">
                  <c:v>104.819</c:v>
                </c:pt>
                <c:pt idx="8">
                  <c:v>104.806</c:v>
                </c:pt>
                <c:pt idx="9">
                  <c:v>104.937</c:v>
                </c:pt>
                <c:pt idx="10">
                  <c:v>105.14700000000001</c:v>
                </c:pt>
                <c:pt idx="11">
                  <c:v>105.55800000000001</c:v>
                </c:pt>
                <c:pt idx="12">
                  <c:v>107.483</c:v>
                </c:pt>
                <c:pt idx="13">
                  <c:v>108.94799999999999</c:v>
                </c:pt>
                <c:pt idx="14">
                  <c:v>110.113</c:v>
                </c:pt>
                <c:pt idx="15">
                  <c:v>111.366</c:v>
                </c:pt>
                <c:pt idx="16">
                  <c:v>112.369</c:v>
                </c:pt>
                <c:pt idx="17">
                  <c:v>112.625</c:v>
                </c:pt>
                <c:pt idx="18">
                  <c:v>113.883</c:v>
                </c:pt>
                <c:pt idx="19">
                  <c:v>114.10899999999999</c:v>
                </c:pt>
                <c:pt idx="20">
                  <c:v>114.258</c:v>
                </c:pt>
                <c:pt idx="21">
                  <c:v>115.491</c:v>
                </c:pt>
                <c:pt idx="22">
                  <c:v>115.914</c:v>
                </c:pt>
                <c:pt idx="23">
                  <c:v>115.82599999999999</c:v>
                </c:pt>
                <c:pt idx="24">
                  <c:v>121.59099999999999</c:v>
                </c:pt>
                <c:pt idx="25">
                  <c:v>124.48</c:v>
                </c:pt>
                <c:pt idx="26">
                  <c:v>125.08</c:v>
                </c:pt>
                <c:pt idx="27">
                  <c:v>125.67</c:v>
                </c:pt>
                <c:pt idx="28">
                  <c:v>125.95</c:v>
                </c:pt>
                <c:pt idx="29">
                  <c:v>126.12</c:v>
                </c:pt>
                <c:pt idx="30">
                  <c:v>126.33</c:v>
                </c:pt>
                <c:pt idx="31">
                  <c:v>126.22</c:v>
                </c:pt>
                <c:pt idx="32">
                  <c:v>126.3</c:v>
                </c:pt>
                <c:pt idx="33">
                  <c:v>126.2</c:v>
                </c:pt>
                <c:pt idx="34">
                  <c:v>126.36</c:v>
                </c:pt>
                <c:pt idx="35">
                  <c:v>126.48</c:v>
                </c:pt>
                <c:pt idx="36">
                  <c:v>129.59</c:v>
                </c:pt>
                <c:pt idx="37">
                  <c:v>131.13999999999999</c:v>
                </c:pt>
                <c:pt idx="38">
                  <c:v>131.07</c:v>
                </c:pt>
                <c:pt idx="39">
                  <c:v>131.38</c:v>
                </c:pt>
                <c:pt idx="40">
                  <c:v>131.81</c:v>
                </c:pt>
                <c:pt idx="41">
                  <c:v>131.35</c:v>
                </c:pt>
                <c:pt idx="42">
                  <c:v>131.05000000000001</c:v>
                </c:pt>
                <c:pt idx="43">
                  <c:v>131.11000000000001</c:v>
                </c:pt>
                <c:pt idx="44">
                  <c:v>131.07</c:v>
                </c:pt>
                <c:pt idx="45">
                  <c:v>131.28</c:v>
                </c:pt>
                <c:pt idx="46">
                  <c:v>131.22999999999999</c:v>
                </c:pt>
                <c:pt idx="47">
                  <c:v>131.25</c:v>
                </c:pt>
                <c:pt idx="48">
                  <c:v>133.72999999999999</c:v>
                </c:pt>
                <c:pt idx="49" formatCode="General">
                  <c:v>135.21</c:v>
                </c:pt>
                <c:pt idx="50" formatCode="General">
                  <c:v>136.22999999999999</c:v>
                </c:pt>
                <c:pt idx="51" formatCode="General">
                  <c:v>136.49</c:v>
                </c:pt>
                <c:pt idx="52" formatCode="General">
                  <c:v>136.12</c:v>
                </c:pt>
                <c:pt idx="53">
                  <c:v>136.22</c:v>
                </c:pt>
                <c:pt idx="54">
                  <c:v>137</c:v>
                </c:pt>
                <c:pt idx="55" formatCode="General">
                  <c:v>137.12</c:v>
                </c:pt>
                <c:pt idx="56" formatCode="General">
                  <c:v>136.86000000000001</c:v>
                </c:pt>
                <c:pt idx="57" formatCode="General">
                  <c:v>136.54</c:v>
                </c:pt>
                <c:pt idx="58" formatCode="General">
                  <c:v>136.72</c:v>
                </c:pt>
                <c:pt idx="59" formatCode="General">
                  <c:v>136.91</c:v>
                </c:pt>
                <c:pt idx="60" formatCode="General">
                  <c:v>140.19</c:v>
                </c:pt>
                <c:pt idx="61" formatCode="General">
                  <c:v>141.94</c:v>
                </c:pt>
                <c:pt idx="62" formatCode="General">
                  <c:v>143.38999999999999</c:v>
                </c:pt>
                <c:pt idx="63" formatCode="General">
                  <c:v>144.58000000000001</c:v>
                </c:pt>
                <c:pt idx="64" formatCode="General">
                  <c:v>144.63</c:v>
                </c:pt>
                <c:pt idx="65" formatCode="General">
                  <c:v>145.22</c:v>
                </c:pt>
              </c:numCache>
            </c:numRef>
          </c:yVal>
          <c:smooth val="1"/>
          <c:extLst>
            <c:ext xmlns:c16="http://schemas.microsoft.com/office/drawing/2014/chart" uri="{C3380CC4-5D6E-409C-BE32-E72D297353CC}">
              <c16:uniqueId val="{00000002-8335-A94B-9625-646856580C08}"/>
            </c:ext>
          </c:extLst>
        </c:ser>
        <c:dLbls>
          <c:showLegendKey val="0"/>
          <c:showVal val="0"/>
          <c:showCatName val="0"/>
          <c:showSerName val="0"/>
          <c:showPercent val="0"/>
          <c:showBubbleSize val="0"/>
        </c:dLbls>
        <c:axId val="1153462624"/>
        <c:axId val="1153462144"/>
      </c:scatterChart>
      <c:valAx>
        <c:axId val="11534626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3462144"/>
        <c:crosses val="autoZero"/>
        <c:crossBetween val="midCat"/>
      </c:valAx>
      <c:valAx>
        <c:axId val="115346214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3462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F962BAE3-0078-C041-B102-54AA71420752}"/>
            </a:ext>
          </a:extLst>
        </xdr:cNvPr>
        <xdr:cNvPicPr preferRelativeResize="0"/>
      </xdr:nvPicPr>
      <xdr:blipFill>
        <a:blip xmlns:r="http://schemas.openxmlformats.org/officeDocument/2006/relationships" r:embed="rId1" cstate="print"/>
        <a:stretch>
          <a:fillRect/>
        </a:stretch>
      </xdr:blipFill>
      <xdr:spPr>
        <a:xfrm>
          <a:off x="5476966" y="240576"/>
          <a:ext cx="818605" cy="733696"/>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3621054</xdr:colOff>
      <xdr:row>1</xdr:row>
      <xdr:rowOff>51420</xdr:rowOff>
    </xdr:from>
    <xdr:ext cx="818605" cy="733696"/>
    <xdr:pic>
      <xdr:nvPicPr>
        <xdr:cNvPr id="2" name="image1.jpg" title="Imagen">
          <a:extLst>
            <a:ext uri="{FF2B5EF4-FFF2-40B4-BE49-F238E27FC236}">
              <a16:creationId xmlns:a16="http://schemas.microsoft.com/office/drawing/2014/main" id="{872B711C-B12B-3546-B8AB-1EBC0CFF5C04}"/>
            </a:ext>
          </a:extLst>
        </xdr:cNvPr>
        <xdr:cNvPicPr preferRelativeResize="0"/>
      </xdr:nvPicPr>
      <xdr:blipFill>
        <a:blip xmlns:r="http://schemas.openxmlformats.org/officeDocument/2006/relationships" r:embed="rId1" cstate="print"/>
        <a:stretch>
          <a:fillRect/>
        </a:stretch>
      </xdr:blipFill>
      <xdr:spPr>
        <a:xfrm>
          <a:off x="5276335" y="222656"/>
          <a:ext cx="818605" cy="733696"/>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452968</xdr:colOff>
      <xdr:row>0</xdr:row>
      <xdr:rowOff>90432</xdr:rowOff>
    </xdr:from>
    <xdr:ext cx="1106009" cy="1088287"/>
    <xdr:pic>
      <xdr:nvPicPr>
        <xdr:cNvPr id="2" name="Imagen 1">
          <a:extLst>
            <a:ext uri="{FF2B5EF4-FFF2-40B4-BE49-F238E27FC236}">
              <a16:creationId xmlns:a16="http://schemas.microsoft.com/office/drawing/2014/main" id="{5E3BCCE6-1C34-3F47-BB73-F4A4960033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4</xdr:col>
      <xdr:colOff>1372808</xdr:colOff>
      <xdr:row>0</xdr:row>
      <xdr:rowOff>76200</xdr:rowOff>
    </xdr:from>
    <xdr:to>
      <xdr:col>5</xdr:col>
      <xdr:colOff>949115</xdr:colOff>
      <xdr:row>0</xdr:row>
      <xdr:rowOff>987002</xdr:rowOff>
    </xdr:to>
    <xdr:pic>
      <xdr:nvPicPr>
        <xdr:cNvPr id="2" name="Imagen 1" descr="Datos Abiertos Bogotá">
          <a:extLst>
            <a:ext uri="{FF2B5EF4-FFF2-40B4-BE49-F238E27FC236}">
              <a16:creationId xmlns:a16="http://schemas.microsoft.com/office/drawing/2014/main" id="{3649D1D4-BF09-454C-A595-2BA971404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8508" y="76200"/>
          <a:ext cx="1138407" cy="910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49</xdr:row>
      <xdr:rowOff>59507</xdr:rowOff>
    </xdr:from>
    <xdr:to>
      <xdr:col>7</xdr:col>
      <xdr:colOff>450297</xdr:colOff>
      <xdr:row>64</xdr:row>
      <xdr:rowOff>186317</xdr:rowOff>
    </xdr:to>
    <xdr:pic>
      <xdr:nvPicPr>
        <xdr:cNvPr id="2" name="Imagen 1">
          <a:extLst>
            <a:ext uri="{FF2B5EF4-FFF2-40B4-BE49-F238E27FC236}">
              <a16:creationId xmlns:a16="http://schemas.microsoft.com/office/drawing/2014/main" id="{75E7FF00-81B8-2C43-9D44-D34119616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99107"/>
          <a:ext cx="11715197" cy="2984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xdr:colOff>
      <xdr:row>2</xdr:row>
      <xdr:rowOff>0</xdr:rowOff>
    </xdr:from>
    <xdr:to>
      <xdr:col>7</xdr:col>
      <xdr:colOff>47626</xdr:colOff>
      <xdr:row>2</xdr:row>
      <xdr:rowOff>45719</xdr:rowOff>
    </xdr:to>
    <xdr:pic>
      <xdr:nvPicPr>
        <xdr:cNvPr id="2" name="Imagen 6">
          <a:extLst>
            <a:ext uri="{FF2B5EF4-FFF2-40B4-BE49-F238E27FC236}">
              <a16:creationId xmlns:a16="http://schemas.microsoft.com/office/drawing/2014/main" id="{634E3D8D-A234-0741-8599-1E1E39430E61}"/>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127001" y="1104900"/>
          <a:ext cx="78581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1</xdr:row>
      <xdr:rowOff>161925</xdr:rowOff>
    </xdr:from>
    <xdr:to>
      <xdr:col>3</xdr:col>
      <xdr:colOff>180975</xdr:colOff>
      <xdr:row>1</xdr:row>
      <xdr:rowOff>838200</xdr:rowOff>
    </xdr:to>
    <xdr:pic>
      <xdr:nvPicPr>
        <xdr:cNvPr id="3" name="Imagen 2">
          <a:extLst>
            <a:ext uri="{FF2B5EF4-FFF2-40B4-BE49-F238E27FC236}">
              <a16:creationId xmlns:a16="http://schemas.microsoft.com/office/drawing/2014/main" id="{B44C5F78-C4FC-2844-A6DA-1744F287FF7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69875" y="288925"/>
          <a:ext cx="20193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85725</xdr:colOff>
      <xdr:row>57</xdr:row>
      <xdr:rowOff>9525</xdr:rowOff>
    </xdr:from>
    <xdr:to>
      <xdr:col>24</xdr:col>
      <xdr:colOff>14289</xdr:colOff>
      <xdr:row>71</xdr:row>
      <xdr:rowOff>38100</xdr:rowOff>
    </xdr:to>
    <xdr:graphicFrame macro="">
      <xdr:nvGraphicFramePr>
        <xdr:cNvPr id="4" name="Gráfico 3">
          <a:extLst>
            <a:ext uri="{FF2B5EF4-FFF2-40B4-BE49-F238E27FC236}">
              <a16:creationId xmlns:a16="http://schemas.microsoft.com/office/drawing/2014/main" id="{67DACDD0-98DC-0544-8168-F5DAE165F0FE}"/>
            </a:ext>
            <a:ext uri="{147F2762-F138-4A5C-976F-8EAC2B608ADB}">
              <a16:predDERef xmlns:a16="http://schemas.microsoft.com/office/drawing/2014/main" pred="{13A8A145-05A7-42C0-9E55-2F02A4E001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oneCellAnchor>
    <xdr:from>
      <xdr:col>17</xdr:col>
      <xdr:colOff>937837</xdr:colOff>
      <xdr:row>1</xdr:row>
      <xdr:rowOff>50076</xdr:rowOff>
    </xdr:from>
    <xdr:ext cx="818605" cy="733696"/>
    <xdr:pic>
      <xdr:nvPicPr>
        <xdr:cNvPr id="2" name="image1.jpg" title="Imagen">
          <a:extLst>
            <a:ext uri="{FF2B5EF4-FFF2-40B4-BE49-F238E27FC236}">
              <a16:creationId xmlns:a16="http://schemas.microsoft.com/office/drawing/2014/main" id="{73676701-789A-8D48-9AEB-65498D1CDDEC}"/>
            </a:ext>
          </a:extLst>
        </xdr:cNvPr>
        <xdr:cNvPicPr preferRelativeResize="0"/>
      </xdr:nvPicPr>
      <xdr:blipFill>
        <a:blip xmlns:r="http://schemas.openxmlformats.org/officeDocument/2006/relationships" r:embed="rId1" cstate="print"/>
        <a:stretch>
          <a:fillRect/>
        </a:stretch>
      </xdr:blipFill>
      <xdr:spPr>
        <a:xfrm>
          <a:off x="19721137" y="240576"/>
          <a:ext cx="818605" cy="733696"/>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5A066CF4-E457-D142-91E2-D37B33CF6371}"/>
            </a:ext>
          </a:extLst>
        </xdr:cNvPr>
        <xdr:cNvPicPr preferRelativeResize="0"/>
      </xdr:nvPicPr>
      <xdr:blipFill>
        <a:blip xmlns:r="http://schemas.openxmlformats.org/officeDocument/2006/relationships" r:embed="rId1" cstate="print"/>
        <a:stretch>
          <a:fillRect/>
        </a:stretch>
      </xdr:blipFill>
      <xdr:spPr>
        <a:xfrm>
          <a:off x="5476966" y="240576"/>
          <a:ext cx="818605" cy="733696"/>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5D285247-C46E-E74C-A2B1-70DD497ADA94}"/>
            </a:ext>
          </a:extLst>
        </xdr:cNvPr>
        <xdr:cNvPicPr preferRelativeResize="0"/>
      </xdr:nvPicPr>
      <xdr:blipFill>
        <a:blip xmlns:r="http://schemas.openxmlformats.org/officeDocument/2006/relationships" r:embed="rId1" cstate="print"/>
        <a:stretch>
          <a:fillRect/>
        </a:stretch>
      </xdr:blipFill>
      <xdr:spPr>
        <a:xfrm>
          <a:off x="5603966" y="240576"/>
          <a:ext cx="818605" cy="73369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PRESUPUESTO%20ALPES%20(AJUSTADOS)%20090826.xlsx" TargetMode="External"/><Relationship Id="rId2" Type="http://schemas.openxmlformats.org/officeDocument/2006/relationships/externalLinkPath" Target="/Users/erikamariablancovargas/Downloads/PRESUPUESTO%20ALPES%20(AJUSTADOS)%20090826.xlsx" TargetMode="External"/><Relationship Id="rId1" Type="http://schemas.openxmlformats.org/officeDocument/2006/relationships/externalLinkPath" Target="/Users/erikamariablancovargas/Downloads/PRESUPUESTO%20ALPES%20(AJUSTADOS)%20090826.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Downloads/260809_ALPES-CARACOLI_PRESUPUESTO%20AJUSTADO/Comparativo.xlsx" TargetMode="External"/><Relationship Id="rId2" Type="http://schemas.openxmlformats.org/officeDocument/2006/relationships/externalLinkPath" Target="/Users/erikamariablancovargas/Downloads/260809_ALPES-CARACOLI_PRESUPUESTO%20AJUSTADO/Comparativo.xlsx" TargetMode="External"/><Relationship Id="rId1" Type="http://schemas.openxmlformats.org/officeDocument/2006/relationships/externalLinkPath" Target="/Users/erikamariablancovargas/Downloads/260809_ALPES-CARACOLI_PRESUPUESTO%20AJUSTADO/Comparativo.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Downloads/PRESUPUESTO%20CARACOLI%20(AJUSTADOS)%2031%20de%20enro%202026.xlsx" TargetMode="External"/><Relationship Id="rId2" Type="http://schemas.openxmlformats.org/officeDocument/2006/relationships/externalLinkPath" Target="/Users/erikamariablancovargas/Downloads/PRESUPUESTO%20CARACOLI%20(AJUSTADOS)%2031%20de%20enro%202026.xlsx" TargetMode="External"/><Relationship Id="rId1" Type="http://schemas.openxmlformats.org/officeDocument/2006/relationships/externalLinkPath" Target="/Users/erikamariablancovargas/Downloads/PRESUPUESTO%20CARACOLI%20(AJUSTADOS)%2031%20de%20enro%202026.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Downloads/260809_ALPES-CARACOLI_PRESUPUESTO%20AJUSTADO/02_PRESUPUESTO_CARACOLI_260812.xlsx" TargetMode="External"/><Relationship Id="rId2" Type="http://schemas.openxmlformats.org/officeDocument/2006/relationships/externalLinkPath" Target="/Users/erikamariablancovargas/Downloads/260809_ALPES-CARACOLI_PRESUPUESTO%20AJUSTADO/02_PRESUPUESTO_CARACOLI_260812.xlsx" TargetMode="External"/><Relationship Id="rId1" Type="http://schemas.openxmlformats.org/officeDocument/2006/relationships/externalLinkPath" Target="/Users/erikamariablancovargas/Downloads/260809_ALPES-CARACOLI_PRESUPUESTO%20AJUSTADO/02_PRESUPUESTO_CARACOLI_2608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BRA  ALPES"/>
      <sheetName val="CANTIDADES"/>
      <sheetName val="Actualiz E y D CIVs Lote 3-"/>
      <sheetName val="Pres Obras CIVs Lote 3"/>
      <sheetName val="AIU Obras CIVs Lote 3"/>
      <sheetName val="Interv-E y D CIVs Lote 3"/>
      <sheetName val="Interv-Obra CIVs Lote 3"/>
      <sheetName val="PROGRAMACIÓN Y PAC"/>
      <sheetName val="PRESUPUESTO OBRA  ALPES (IDU)"/>
      <sheetName val="PARETO"/>
      <sheetName val="Comparativo EYD"/>
      <sheetName val="Comparativo AIU"/>
      <sheetName val="COMPARATIVO INTERVENTORÍA"/>
      <sheetName val="SMMLV 2026 AFECTACIÓN"/>
      <sheetName val="INDEXACIÓN"/>
      <sheetName val="Proyección presup C. B. Alpes"/>
      <sheetName val="INDEXACIÓN Y HONORARIOS"/>
      <sheetName val="FACTOR MULTIPLICADOR"/>
      <sheetName val="FACTORES DE INDEXACIÓN"/>
      <sheetName val="Diseños-Corredores-Lote 3"/>
      <sheetName val="Interv-E y D Corred Lote 3"/>
      <sheetName val="OBRAS LOTE 3"/>
      <sheetName val="AIU LOTE 3"/>
      <sheetName val="Interv-Obra Corred Lote 3"/>
      <sheetName val="Diseños-Corredores-Lote 4"/>
      <sheetName val="Interv-E y D Corred Lote 4"/>
      <sheetName val="OBRAS LOTE 4"/>
      <sheetName val="AIU LOTE 4"/>
      <sheetName val="Interv-Obra Corred Lote 4"/>
      <sheetName val="Diseños-Corredores-Lote 5"/>
      <sheetName val="Interv-E y D Corred Lote 5"/>
      <sheetName val="OBRAS LOTE 5"/>
      <sheetName val="AIU LOTE 5"/>
      <sheetName val="Interv-Obra Corred Lote 5"/>
      <sheetName val="Diseños-Corredores-Lote 6"/>
      <sheetName val="Interv-E y D Corred Lote 6"/>
      <sheetName val="OBRAS LOTE 6"/>
      <sheetName val="AIU LOTE 6"/>
      <sheetName val="Interv-Obra Corred Lote 6"/>
      <sheetName val="Diseños-Sumapaz-Lote 7"/>
      <sheetName val="Interv-E y D Sumapaz Lote 7"/>
      <sheetName val="OBRAS SUMAPAZ LOTE 7"/>
      <sheetName val="AIU SUMAPAZ LOTE 7"/>
      <sheetName val="Interv-Obra Sumapaz Lote 7"/>
      <sheetName val="CUADRO DE AREAS SUMAPAZ"/>
      <sheetName val="PRES NAZARETH"/>
      <sheetName val="PRES NUEVA GRANADA "/>
      <sheetName val="COSTOS TRANSPORTE RURALIDAD"/>
      <sheetName val="TIPOLOGIAS"/>
    </sheetNames>
    <sheetDataSet>
      <sheetData sheetId="0" refreshError="1"/>
      <sheetData sheetId="1" refreshError="1"/>
      <sheetData sheetId="2" refreshError="1"/>
      <sheetData sheetId="3" refreshError="1"/>
      <sheetData sheetId="4" refreshError="1"/>
      <sheetData sheetId="5">
        <row r="7">
          <cell r="H7" t="str">
            <v>2355 M2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3">
          <cell r="P3">
            <v>0.32</v>
          </cell>
        </row>
        <row r="13">
          <cell r="S13">
            <v>81715013.999999985</v>
          </cell>
        </row>
      </sheetData>
      <sheetData sheetId="16">
        <row r="62">
          <cell r="H62">
            <v>13097143</v>
          </cell>
        </row>
      </sheetData>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Comparativo"/>
      <sheetName val="VALORES INDEXADOS OBRA ALPES"/>
      <sheetName val="VALORES INDEXADOS OBRA CARACOLÍ"/>
    </sheetNames>
    <sheetDataSet>
      <sheetData sheetId="0"/>
      <sheetData sheetId="1"/>
      <sheetData sheetId="2">
        <row r="13">
          <cell r="C13" t="str">
            <v>1.1</v>
          </cell>
          <cell r="D13" t="str">
            <v xml:space="preserve">REPLANTEO GENERAL </v>
          </cell>
          <cell r="E13" t="str">
            <v>M2</v>
          </cell>
        </row>
        <row r="21">
          <cell r="C21" t="str">
            <v>1.9</v>
          </cell>
          <cell r="D21" t="str">
            <v>EXCAVACION MECANICA EN MATERIAL COMUN (INCLUYE CARGUE)</v>
          </cell>
          <cell r="E21" t="str">
            <v>M3</v>
          </cell>
        </row>
        <row r="25">
          <cell r="C25" t="str">
            <v>1.13</v>
          </cell>
          <cell r="D25" t="str">
            <v>TRANSPORTE Y DISPOSICION FINAL DE ESCOMBROS EN SITIO AUTORIZADO (DISTANCIA DE TRANSPORTE 21 KM). A DISTANCIA MAYOR DEL ACARREO LIBRE (90 M) EN SITIO AUTORIZADO POR LA ENTIDAD AMBIENTAL COMPETENTE.</v>
          </cell>
          <cell r="E25" t="str">
            <v>M3</v>
          </cell>
        </row>
        <row r="34">
          <cell r="C34" t="str">
            <v>2.8</v>
          </cell>
          <cell r="D34" t="str">
            <v xml:space="preserve">CURADO DE LOSAS DE CONCRETO (SUMINISTRO Y APLICACIÓN) </v>
          </cell>
          <cell r="E34" t="str">
            <v>M2</v>
          </cell>
        </row>
        <row r="45">
          <cell r="C45" t="str">
            <v>3.4</v>
          </cell>
          <cell r="D45" t="str">
            <v>SARDINEL TIPO A-10 (SUMINISTRO E INSTALACIÓN, INCLUYE 3 CM MORTERO 1:5)</v>
          </cell>
          <cell r="E45" t="str">
            <v>M</v>
          </cell>
        </row>
        <row r="56">
          <cell r="C56" t="str">
            <v>3.15</v>
          </cell>
          <cell r="D56" t="str">
            <v>MALLA ELECTROSOLDADA DE 0,15X0,15 M (∅=8MM) (INCLUYE SUMINISTRO, FIJACIÒN E INSTALACIÒN )</v>
          </cell>
          <cell r="E56" t="str">
            <v>KG</v>
          </cell>
        </row>
        <row r="75">
          <cell r="C75" t="str">
            <v>5.2</v>
          </cell>
          <cell r="D75" t="str">
            <v>BOLARDO EN HIERRO TIPO M-62 (SUMINISTRO E INSTALACIÓN, INCLUYE BASE EN CONCRETO 1500 PSI, PREMEZCLADO)</v>
          </cell>
          <cell r="E75" t="str">
            <v>UN</v>
          </cell>
        </row>
        <row r="80">
          <cell r="C80" t="str">
            <v>5.7</v>
          </cell>
          <cell r="D80" t="str">
            <v>RELLENO EN TIERRA NEGRA PARA EMPRADIZACIÓN (SUMINISTRO Y EXTENDIDO).</v>
          </cell>
          <cell r="E80" t="str">
            <v>M3</v>
          </cell>
        </row>
        <row r="88">
          <cell r="C88" t="str">
            <v>6.3</v>
          </cell>
          <cell r="D88" t="str">
            <v>POZO DE INSPECCION D=1.7 M (INCL. SUMINISTRO E INSTALACION). INCLUYE CILINDRO POZO DE INSPECCION EN MAMPOSTERIA, CONO PREFABRICADO, PLACA FONDO.</v>
          </cell>
          <cell r="E88" t="str">
            <v>UN</v>
          </cell>
        </row>
        <row r="91">
          <cell r="C91" t="str">
            <v>6.6</v>
          </cell>
          <cell r="D91" t="str">
            <v>CONSTRUCCION CANALETA DE AGUAS LLUVIAS DE 0.4 X 0.4 MT EN CONCRETO DE 3000PSI INCLUYE REJILLA PREFABRICADA.</v>
          </cell>
          <cell r="E91" t="str">
            <v>M</v>
          </cell>
        </row>
        <row r="94">
          <cell r="C94" t="str">
            <v>6.9</v>
          </cell>
          <cell r="D94" t="str">
            <v>RELLENO EN RECEBO COMUN (SUMINISTRO E INSTALACIÓN  EXTENDIDO MANUAL, HUMEDECIMIENTO Y COMPACTACIÓN TRANSPORTE A 28 KM).</v>
          </cell>
          <cell r="E94" t="str">
            <v>M3</v>
          </cell>
        </row>
        <row r="97">
          <cell r="C97" t="str">
            <v>6.12</v>
          </cell>
          <cell r="D97" t="str">
            <v xml:space="preserve">ENTIBADO EC-2 CONTÍNUO MADERA CON PERFILES METÁLICOS Y PARALES TELESCÓPICOS. SUMINISTRO E INSTALACIÓN.    </v>
          </cell>
          <cell r="E97" t="str">
            <v>M2</v>
          </cell>
        </row>
        <row r="98">
          <cell r="C98" t="str">
            <v>6.13</v>
          </cell>
          <cell r="D98" t="str">
            <v xml:space="preserve">TUBERIA PVC U.M. EXT CORRUGADO/INT LISO U.M. NORMA NTC 3722-1 D=8" (INCLUYE SUMINISTRO E INSTALACIÓN)   </v>
          </cell>
          <cell r="E98" t="str">
            <v>M</v>
          </cell>
        </row>
        <row r="99">
          <cell r="C99" t="str">
            <v>6.14</v>
          </cell>
          <cell r="D99" t="str">
            <v>TUBERIA PVC U.M. EXT CORRUGADO/INT LISO U.M. NORMA NTC 3722-1 D=10" (INCLUYE SUMINISTRO E INSTALACIÓN</v>
          </cell>
          <cell r="E99" t="str">
            <v>M</v>
          </cell>
        </row>
        <row r="100">
          <cell r="C100" t="str">
            <v>6.15</v>
          </cell>
          <cell r="D100" t="str">
            <v>TUBERIA PVC U.M. EXT CORRUGADO/INT LISO U.M. NORMA NTC 3722-1 D=12" (INCLUYE SUMINISTRO E INSTALACIÓN)</v>
          </cell>
          <cell r="E100" t="str">
            <v>M</v>
          </cell>
        </row>
        <row r="102">
          <cell r="C102" t="str">
            <v>6.17</v>
          </cell>
          <cell r="D102" t="str">
            <v>TUBERIA PVC U.M. EXT CORRUGADO/INT LISO U.M. NORMA NTC 3722-1 D=16" (INCLUYE SUMINISTRO E INSTALACIÓN)</v>
          </cell>
          <cell r="E102" t="str">
            <v>M</v>
          </cell>
        </row>
        <row r="103">
          <cell r="C103" t="str">
            <v>6.18</v>
          </cell>
          <cell r="D103" t="str">
            <v>TUBERIA PVC U.M. EXT CORRUGADO/INT LISO U.M. NORMA NTC 3722-1 D=18" (INCLUYE SUMINISTRO E INSTALACIÓN)</v>
          </cell>
          <cell r="E103" t="str">
            <v>M</v>
          </cell>
        </row>
        <row r="104">
          <cell r="C104" t="str">
            <v>6.19</v>
          </cell>
          <cell r="D104" t="str">
            <v>TUBERIA PVC U.M. EXT CORRUGADO/INT LISO U.M. NORMA NTC 3722-1 D=20" (INCLUYE SUMINISTRO E INSTALACIÓN)</v>
          </cell>
          <cell r="E104" t="str">
            <v>M</v>
          </cell>
        </row>
        <row r="115">
          <cell r="C115" t="str">
            <v>6.30</v>
          </cell>
          <cell r="D115" t="str">
            <v>SUMIDERO LATERAL SL-100, H=1.25M (FUNDIDO EN SITIO, CONCRETO PREMEZCLADO. INCL. SUMIN, FORM, REF. Y CONSTR. INCL. TAPA)</v>
          </cell>
          <cell r="E115" t="str">
            <v>UN</v>
          </cell>
        </row>
        <row r="132">
          <cell r="C132" t="str">
            <v>10.01</v>
          </cell>
          <cell r="D132" t="str">
            <v>INSPECCIÓN DE REDES DE ALCANTARILLADO CON SISTEMAS CCTV PARA DIÁMETROS ENTRE 6" A 36"</v>
          </cell>
          <cell r="E132" t="str">
            <v>ML</v>
          </cell>
        </row>
        <row r="133">
          <cell r="C133" t="str">
            <v>10.02</v>
          </cell>
          <cell r="D133" t="str">
            <v>LAVADO Y SONDEO DE REDES DE ALCANTARILLADO ENTRE 6" Y 18" DE DIÁMETRO Y CON GRADO DE COLMATACIÓN MENOR DEL 30%. INCL MANO DE OBRA IDÓNEA, SEÑALIZACIÓN BÁSICA, SUMIN DE COMBUSTIBLE Y AGUA. INCL. IVA</v>
          </cell>
          <cell r="E133" t="str">
            <v>ML</v>
          </cell>
        </row>
        <row r="154">
          <cell r="C154" t="str">
            <v>10.23</v>
          </cell>
          <cell r="D154" t="str">
            <v>NIVELACIÓN DE POZO (HASTA RASANTE EN CONCRETO 3000 PSI HECHO EN OBRA, H=0.15M. INCLUYE SUMINISTRO Y CONSTRUCCIÓN)</v>
          </cell>
          <cell r="E154" t="str">
            <v>UN</v>
          </cell>
        </row>
      </sheetData>
      <sheetData sheetId="3">
        <row r="13">
          <cell r="C13" t="str">
            <v>1.1</v>
          </cell>
          <cell r="D13" t="str">
            <v>REPLANTEO GENERAL</v>
          </cell>
          <cell r="E13" t="str">
            <v>M2</v>
          </cell>
        </row>
        <row r="20">
          <cell r="C20" t="str">
            <v>2.4</v>
          </cell>
          <cell r="D20" t="str">
            <v>TRANSPORTE Y DISPOSICION FINAL DE ESCOMBROS EN SITIO AUTORIZADO (DISTANCIA DE TRANSPORTE 21 KM). A DISTANCIA MAYOR DEL ACARREO LIBRE (90 M) EN SITIO AUTORIZADO POR LA ENTIDAD AMBIENTAL COMPETENTE.</v>
          </cell>
          <cell r="E20" t="str">
            <v>M3</v>
          </cell>
        </row>
        <row r="21">
          <cell r="C21" t="str">
            <v>2.5</v>
          </cell>
          <cell r="D21" t="str">
            <v>NIVELACIÓN DE POZO (HASTA RASANTE EN CONCRETO 3000 PSI HECHO EN OBRA, H=0.15M. INCLUYE SUMINISTRO Y CONSTRUCCIÓN)</v>
          </cell>
          <cell r="E21" t="str">
            <v>UN</v>
          </cell>
        </row>
        <row r="26">
          <cell r="C26" t="str">
            <v>2.10</v>
          </cell>
          <cell r="D26" t="str">
            <v>TUBERIA PVC U.M. EXT CORRUGADO/INT LISO U.M. NORMA NTC 3722-1 D=8" (INCLUYE SUMINISTRO E INSTALACIÓN)</v>
          </cell>
          <cell r="E26" t="str">
            <v>ML</v>
          </cell>
        </row>
        <row r="27">
          <cell r="C27" t="str">
            <v>2.11</v>
          </cell>
          <cell r="D27" t="str">
            <v>TUBERIA PVC U.M. EXT CORRUGADO/INT LISO U.M. NORMA NTC 3722-1 D=10" (INCLUYE SUMINISTRO E INSTALACIÓN)</v>
          </cell>
          <cell r="E27" t="str">
            <v>ML</v>
          </cell>
        </row>
        <row r="28">
          <cell r="C28" t="str">
            <v>2.12</v>
          </cell>
          <cell r="D28" t="str">
            <v>TUBERIA PVC U.M. EXT CORRUGADO/INT LISO U.M. NORMA NTC 3722-1 D=12" (INCLUYE SUMINISTRO E INSTALACIÓN)</v>
          </cell>
          <cell r="E28" t="str">
            <v>ML</v>
          </cell>
        </row>
        <row r="30">
          <cell r="C30" t="str">
            <v>2.14</v>
          </cell>
          <cell r="D30" t="str">
            <v>TUBERIA PVC U.M. EXT CORRUGADO/INT LISO U.M. NORMA NTC 3722-1 D=16" (INCLUYE SUMINISTRO E INSTALACIÓN)</v>
          </cell>
          <cell r="E30" t="str">
            <v>ML</v>
          </cell>
        </row>
        <row r="31">
          <cell r="C31" t="str">
            <v>2.15</v>
          </cell>
          <cell r="D31" t="str">
            <v>TUBERIA PVC U.M. EXT CORRUGADO/INT LISO U.M. NORMA NTC 3722-1 D=18" (INCLUYE SUMINISTRO E INSTALACIÓN)</v>
          </cell>
          <cell r="E31" t="str">
            <v>ML</v>
          </cell>
        </row>
        <row r="32">
          <cell r="C32" t="str">
            <v>2.16</v>
          </cell>
          <cell r="D32" t="str">
            <v>TUBERIA PVC U.M. EXT CORRUGADO/INT LISO U.M. NORMA NTC 3722-1 D=20" (INCLUYE SUMINISTRO E INSTALACIÓN)</v>
          </cell>
          <cell r="E32" t="str">
            <v>ML</v>
          </cell>
        </row>
        <row r="36">
          <cell r="C36" t="str">
            <v>2.20</v>
          </cell>
          <cell r="D36" t="str">
            <v>POZO DE INSPECCION D=1.7 M (INCL. SUMINISTRO E INSTALACION). INCLUYE CILINDRO POZO DE INSPECCION EN MAMPOSTERIA, CONO PREFABRICADO, PLACA FONDO.</v>
          </cell>
          <cell r="E36" t="str">
            <v>UN</v>
          </cell>
        </row>
        <row r="41">
          <cell r="C41" t="str">
            <v>2.25</v>
          </cell>
          <cell r="D41" t="str">
            <v>ENTIBADO EC-2 CONTÍNUO MADERA CON PERFILES METÁLICOS Y PARALES TELESCÓPICOS. SUMINISTRO E INSTALACIÓN.</v>
          </cell>
          <cell r="E41" t="str">
            <v>M2</v>
          </cell>
        </row>
        <row r="47">
          <cell r="C47" t="str">
            <v>2.31</v>
          </cell>
          <cell r="D47" t="str">
            <v>CONSTRUCCION CANALETA DE AGUAS LLUVIAS DE 0.4 X 0.4 MT EN CONCRETO DE 3000PSI INCLUYE REJILLA PREFABRICADA.</v>
          </cell>
          <cell r="E47" t="str">
            <v>ML</v>
          </cell>
        </row>
        <row r="56">
          <cell r="C56" t="str">
            <v>2.40</v>
          </cell>
          <cell r="D56" t="str">
            <v>SUMIDERO LATERAL SL-100, H=1.25M (FUNDIDO EN SITIO, CONCRETO PREMEZCLADO. INCL. SUMIN, FORM, REF. Y CONSTR. INCL. TAPA)</v>
          </cell>
          <cell r="E56" t="str">
            <v>UN</v>
          </cell>
        </row>
        <row r="64">
          <cell r="C64" t="str">
            <v>3.5</v>
          </cell>
          <cell r="D64" t="str">
            <v>CURADO DE LOSAS DE CONCRETO (SUMINISTRO Y APLICACIÓN)</v>
          </cell>
          <cell r="E64" t="str">
            <v>M2</v>
          </cell>
        </row>
        <row r="67">
          <cell r="C67" t="str">
            <v>3.8</v>
          </cell>
          <cell r="D67" t="str">
            <v>MALLA ELECTROSOLDADA 0.15X0.15M, D=8MM, 8MM (INCLUYE SUMINISTRO, FIJACIÓN E INSTALACIÓN)</v>
          </cell>
          <cell r="E67" t="str">
            <v>KG</v>
          </cell>
        </row>
        <row r="68">
          <cell r="C68" t="str">
            <v>3.9</v>
          </cell>
          <cell r="D68" t="str">
            <v>RELLENO EN RECEBO COMUN (SUMINISTRO E INSTALACIÓN  EXTENDIDO MANUAL, HUMEDECIMIENTO Y COMPACTACIÓN TRANSPORTE A 28 KM).</v>
          </cell>
          <cell r="E68" t="str">
            <v>M3</v>
          </cell>
        </row>
        <row r="69">
          <cell r="C69" t="str">
            <v>3.10</v>
          </cell>
          <cell r="D69" t="str">
            <v>EXCAVACION MECANICA EN MATERIAL COMUN. INCLUYE CARGUE.</v>
          </cell>
          <cell r="E69" t="str">
            <v>M3</v>
          </cell>
        </row>
        <row r="75">
          <cell r="C75" t="str">
            <v>4.5</v>
          </cell>
          <cell r="D75" t="str">
            <v>SARDINEL TIPO A10 (SUMINISTRO E INSTALACIÓN. INCLUYE 3CM MORTERO 1:5)</v>
          </cell>
          <cell r="E75" t="str">
            <v>ML</v>
          </cell>
        </row>
        <row r="99">
          <cell r="C99" t="str">
            <v>7.5</v>
          </cell>
          <cell r="D99" t="str">
            <v>RELLENO EN TIERRA NEGRA PARA EMPRADIZACION (SUMINISTRO Y EXTENDIDO)</v>
          </cell>
          <cell r="E99" t="str">
            <v>M3</v>
          </cell>
        </row>
        <row r="104">
          <cell r="C104" t="str">
            <v>8.3</v>
          </cell>
          <cell r="D104" t="str">
            <v>BOLARDO EN HIERRO TIPO M62 (SUMINISTRO E INSTALACIÓN. INCLUYE BASE EN CONCRETO 1500 PSI, PREMEZCLADO)</v>
          </cell>
          <cell r="E104" t="str">
            <v>UN</v>
          </cell>
        </row>
        <row r="126">
          <cell r="C126" t="str">
            <v>10.17</v>
          </cell>
          <cell r="D126" t="str">
            <v>INSPECCIÓN DE REDES DE ALCANTARILLADO CON SISTEMAS CCTV PARA DIÁMETROS ENTRE 6" A 36"</v>
          </cell>
          <cell r="E126" t="str">
            <v>ML</v>
          </cell>
        </row>
        <row r="127">
          <cell r="C127" t="str">
            <v>10.18</v>
          </cell>
          <cell r="D127" t="str">
            <v>LAVADO Y SONDEO DE REDES DE ALCANTARILLADO ENTRE 6" Y 18" DE DIÁMETRO Y CON GRADO DE COLMATACIÓN MENOR DEL 30%. INCL MANO DE OBRA IDÓNEA, SEÑALIZACIÓN BÁSICA, SUMIN DE COMBUSTIBLE Y AGUA. INCL. IVA</v>
          </cell>
          <cell r="E127" t="str">
            <v>ML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BRA CARACOLÍ"/>
      <sheetName val="CANTIDADES"/>
      <sheetName val="Actualiz E y D CIVs Lote 4"/>
      <sheetName val="Pres Obras CIVs Lote 4"/>
      <sheetName val="AIU Obras CIVs Lote 4"/>
      <sheetName val="Interv-E y D CIVs Lote 4"/>
      <sheetName val="Interv-Obra CIVs Lote 4"/>
      <sheetName val="PROGRAMACIÓN Y PAC"/>
      <sheetName val="Comparativo EYD"/>
      <sheetName val="PRESUPUESTO OBRA CARACOLÍ (IDU)"/>
      <sheetName val="PARETO"/>
      <sheetName val="Comparativo AIU"/>
      <sheetName val="Comparativo Interventoría"/>
      <sheetName val="SMMLV 2026 AFECTACIÓN"/>
      <sheetName val="INDEXACIÓN"/>
      <sheetName val="Proyección presup C. B. Caracol"/>
      <sheetName val="INDEXACIÓN Y HONORARIOS"/>
      <sheetName val="FACTOR MULTIPLICADOR"/>
      <sheetName val="Diseños-Corredores-Lote 3"/>
      <sheetName val="Interv-E y D Corred Lote 3"/>
      <sheetName val="OBRAS LOTE 3"/>
      <sheetName val="AIU LOTE 3"/>
      <sheetName val="Interv-Obra Corred Lote 3"/>
      <sheetName val="Diseños-Corredores-Lote 4"/>
      <sheetName val="Interv-E y D Corred Lote 4"/>
      <sheetName val="OBRAS LOTE 4"/>
      <sheetName val="AIU LOTE 4"/>
      <sheetName val="Interv-Obra Corred Lote 4"/>
      <sheetName val="Diseños-Corredores-Lote 5"/>
      <sheetName val="Interv-E y D Corred Lote 5"/>
      <sheetName val="OBRAS LOTE 5"/>
      <sheetName val="AIU LOTE 5"/>
      <sheetName val="Interv-Obra Corred Lote 5"/>
      <sheetName val="Diseños-Corredores-Lote 6"/>
      <sheetName val="Interv-E y D Corred Lote 6"/>
      <sheetName val="OBRAS LOTE 6"/>
      <sheetName val="AIU LOTE 6"/>
      <sheetName val="Interv-Obra Corred Lote 6"/>
      <sheetName val="Diseños-Sumapaz-Lote 7"/>
      <sheetName val="Interv-E y D Sumapaz Lote 7"/>
      <sheetName val="OBRAS SUMAPAZ LOTE 7"/>
      <sheetName val="AIU SUMAPAZ LOTE 7"/>
      <sheetName val="Interv-Obra Sumapaz Lote 7"/>
      <sheetName val="CUADRO DE AREAS SUMAPAZ"/>
      <sheetName val="PRES NAZARETH"/>
      <sheetName val="PRES NUEVA GRANADA "/>
      <sheetName val="COSTOS TRANSPORTE RURALIDAD"/>
      <sheetName val="TIPOLOGIAS"/>
    </sheetNames>
    <sheetDataSet>
      <sheetData sheetId="0" refreshError="1"/>
      <sheetData sheetId="1" refreshError="1"/>
      <sheetData sheetId="2" refreshError="1"/>
      <sheetData sheetId="3" refreshError="1"/>
      <sheetData sheetId="4" refreshError="1"/>
      <sheetData sheetId="5" refreshError="1">
        <row r="1">
          <cell r="B1" t="str">
            <v>INTERVENCIONES INTEGRALES DEL HÁBITAT</v>
          </cell>
        </row>
        <row r="2">
          <cell r="B2" t="str">
            <v xml:space="preserve">PROYECTO DIAGNÓSTICO, ACTUALIZACIÓN ESTUDIOS, DISEÑOS Y CULMINACIÓN DE OBRAS EN ESPACIO PÚBLICO PARA EL MEJORAMIENTO INTEGRAL DEL BARRIO CARACOLÍ QUE HACE PARTE DEL TERRITORIO PRORIZADO POR LA SECRETARIA DISTRITAL EN LA LOCALIDAD DE CIUDAD BOLIVAR </v>
          </cell>
        </row>
        <row r="3">
          <cell r="B3" t="str">
            <v>DIRECCIÓN DE HABITAT Y ENTORNOS-LLAVE EN MANO 
SUBSECRETARÍA DE INTERVENCIONES INTEGRALES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  ESTIMADO OBRA  CARACOLI"/>
      <sheetName val="LISTA DE PRECIOS UNITARIOS"/>
      <sheetName val="E Y D PRESU ESTIMADO"/>
      <sheetName val="AIU"/>
      <sheetName val="FM"/>
      <sheetName val="INDEX ICOCIV"/>
      <sheetName val="SALARIOS"/>
      <sheetName val="CANTIDADES VALOR INICIAL"/>
      <sheetName val="Comparativo"/>
      <sheetName val="VALORES INDEXADOS OBRA CARACOLÍ"/>
      <sheetName val="VALORES INDEXADOS OBRA ALPES"/>
    </sheetNames>
    <sheetDataSet>
      <sheetData sheetId="0"/>
      <sheetData sheetId="1"/>
      <sheetData sheetId="2"/>
      <sheetData sheetId="3"/>
      <sheetData sheetId="4"/>
      <sheetData sheetId="5">
        <row r="20">
          <cell r="D20">
            <v>107.483</v>
          </cell>
        </row>
        <row r="85">
          <cell r="D85">
            <v>145.98239999999998</v>
          </cell>
        </row>
      </sheetData>
      <sheetData sheetId="6"/>
      <sheetData sheetId="7">
        <row r="8">
          <cell r="C8">
            <v>1</v>
          </cell>
          <cell r="D8" t="str">
            <v>PRELIMINARES</v>
          </cell>
        </row>
        <row r="9">
          <cell r="C9" t="str">
            <v>1.1</v>
          </cell>
          <cell r="D9" t="str">
            <v>REPLANTEO GENERAL</v>
          </cell>
          <cell r="E9" t="str">
            <v>M2</v>
          </cell>
          <cell r="G9">
            <v>0.13</v>
          </cell>
          <cell r="H9">
            <v>606</v>
          </cell>
          <cell r="I9">
            <v>824</v>
          </cell>
        </row>
        <row r="10">
          <cell r="C10" t="str">
            <v>1.2</v>
          </cell>
          <cell r="D10" t="str">
            <v>ALQUILER DE CERRAMIENTO TIPO 1: CONSTA DE SEÑALIZADORES TUBULARES PLÁSTICOS, TRIPLE CINTA PELIGRO CAL. 4, POLISOMBRA 65% PARA CERRAMIENTO. (INCLUYE INSTALACIÓN, MANTENIMIENTO Y DESINSTALACIÓN).</v>
          </cell>
          <cell r="E10" t="str">
            <v>ML/ME</v>
          </cell>
          <cell r="G10">
            <v>9539.34</v>
          </cell>
          <cell r="H10">
            <v>5490</v>
          </cell>
          <cell r="I10">
            <v>7466</v>
          </cell>
        </row>
        <row r="11">
          <cell r="C11" t="str">
            <v>1.3</v>
          </cell>
          <cell r="D11" t="str">
            <v>VALLA ESPECIAL 6X3 (INSTALAC.) SOLO LÁMINA Y BANNER</v>
          </cell>
          <cell r="E11" t="str">
            <v>UN</v>
          </cell>
          <cell r="G11">
            <v>0</v>
          </cell>
          <cell r="H11">
            <v>225895</v>
          </cell>
          <cell r="I11">
            <v>307217</v>
          </cell>
        </row>
        <row r="12">
          <cell r="C12">
            <v>2</v>
          </cell>
          <cell r="D12" t="str">
            <v>REDES HIDROSANITARIAS</v>
          </cell>
        </row>
        <row r="13">
          <cell r="C13" t="str">
            <v>2.1</v>
          </cell>
          <cell r="D13" t="str">
            <v>LOCALIZACION Y REPLANTEO PARA REDES</v>
          </cell>
          <cell r="E13" t="str">
            <v>ML</v>
          </cell>
          <cell r="G13">
            <v>974.60000000000014</v>
          </cell>
          <cell r="H13">
            <v>1587</v>
          </cell>
          <cell r="I13">
            <v>2158</v>
          </cell>
        </row>
        <row r="14">
          <cell r="C14" t="str">
            <v>2.2</v>
          </cell>
          <cell r="D14" t="str">
            <v>RELOCALIZACIÓN DE MEDIDOR DE ACUEDUCTO D= 1/2" (INCLUYE 1.0M TUBERÍA GALVANIZADA D= 1/2", SOLDADURA, CINTA DE TEFLON,  Y REPOSICIÓN DE CAJILLA EN POLIPROPILENO DE ALTA RESISTENCIA CON TAPA, NO INCLUYE MEDIDOR.).</v>
          </cell>
          <cell r="E14" t="str">
            <v>UN</v>
          </cell>
          <cell r="G14">
            <v>149</v>
          </cell>
          <cell r="H14">
            <v>211667</v>
          </cell>
          <cell r="I14">
            <v>287867</v>
          </cell>
        </row>
        <row r="15">
          <cell r="C15" t="str">
            <v>2.3</v>
          </cell>
          <cell r="D15" t="str">
            <v>EXCAVACION MANUAL EN MATERIAL COMUN. INCLUYE CARGUE.</v>
          </cell>
          <cell r="E15" t="str">
            <v>M3</v>
          </cell>
          <cell r="G15">
            <v>1282.8599999999999</v>
          </cell>
          <cell r="H15">
            <v>25927</v>
          </cell>
          <cell r="I15">
            <v>35261</v>
          </cell>
        </row>
        <row r="16">
          <cell r="C16" t="str">
            <v>2.4</v>
          </cell>
          <cell r="D16" t="str">
            <v>TRANSPORTE Y DISPOSICION FINAL DE ESCOMBROS EN SITIO AUTORIZADO (DISTANCIA DE TRANSPORTE 21 KM). A DISTANCIA MAYOR DEL ACARREO LIBRE (90 M) EN SITIO AUTORIZADO POR LA ENTIDAD AMBIENTAL COMPETENTE.</v>
          </cell>
          <cell r="E16" t="str">
            <v>M3</v>
          </cell>
          <cell r="G16">
            <v>2423.67</v>
          </cell>
          <cell r="H16">
            <v>26843</v>
          </cell>
          <cell r="I16">
            <v>36506</v>
          </cell>
        </row>
        <row r="17">
          <cell r="C17" t="str">
            <v>2.5</v>
          </cell>
          <cell r="D17" t="str">
            <v>NIVELACIÓN DE POZO (HASTA RASANTE EN CONCRETO 3000 PSI HECHO EN OBRA, H=0.15M. INCLUYE SUMINISTRO Y CONSTRUCCIÓN)</v>
          </cell>
          <cell r="E17" t="str">
            <v>UN</v>
          </cell>
          <cell r="G17">
            <v>23</v>
          </cell>
          <cell r="H17">
            <v>84326</v>
          </cell>
          <cell r="I17">
            <v>114683</v>
          </cell>
        </row>
        <row r="18">
          <cell r="C18" t="str">
            <v>2.6</v>
          </cell>
          <cell r="D18" t="str">
            <v>RELLENO PARA REDES EN ARENA DE PEÑA (SUMINISTRO, EXTENDIDO, HUMEDECIMIENTO Y COMPACTACIÓN)</v>
          </cell>
          <cell r="E18" t="str">
            <v>M3</v>
          </cell>
          <cell r="G18">
            <v>48.070000000000007</v>
          </cell>
          <cell r="H18">
            <v>155234</v>
          </cell>
          <cell r="I18">
            <v>211118</v>
          </cell>
        </row>
        <row r="19">
          <cell r="C19" t="str">
            <v>2.7</v>
          </cell>
          <cell r="D19" t="str">
            <v>RELLENO EN RECEBO COMUN (SUMINISTRO E INSTALACIÓN  EXTENDIDO MANUAL, HUMEDECIMIENTO Y COMPACTACIÓN. INCLUYE TRANSPORTE)</v>
          </cell>
          <cell r="E19" t="str">
            <v>M3</v>
          </cell>
          <cell r="G19">
            <v>556.15</v>
          </cell>
          <cell r="H19">
            <v>61292</v>
          </cell>
          <cell r="I19">
            <v>83357</v>
          </cell>
        </row>
        <row r="20">
          <cell r="C20" t="str">
            <v>2.8</v>
          </cell>
          <cell r="D20" t="str">
            <v>TUBERIA PVC U.M. EXT CORRUGADO/INT LISO U.M. NORMA NTC 3722-1 D=4" (INCLUYE SUMINISTRO E INSTALACIÓN)</v>
          </cell>
          <cell r="E20" t="str">
            <v>ML</v>
          </cell>
          <cell r="G20">
            <v>0</v>
          </cell>
          <cell r="H20">
            <v>22529</v>
          </cell>
          <cell r="I20">
            <v>30639</v>
          </cell>
        </row>
        <row r="21">
          <cell r="C21" t="str">
            <v>2.9</v>
          </cell>
          <cell r="D21" t="str">
            <v>TUBERIA PVC U.M. EXT CORRUGADO/INT LISO U.M. NORMA NTC 3722-1 D=6" (INCLUYE SUMINISTRO E INSTALACIÓN)</v>
          </cell>
          <cell r="E21" t="str">
            <v>ML</v>
          </cell>
          <cell r="G21">
            <v>356.87</v>
          </cell>
          <cell r="H21">
            <v>29592</v>
          </cell>
          <cell r="I21">
            <v>40245</v>
          </cell>
        </row>
        <row r="22">
          <cell r="C22" t="str">
            <v>2.10</v>
          </cell>
          <cell r="D22" t="str">
            <v>TUBERIA PVC U.M. EXT CORRUGADO/INT LISO U.M. NORMA NTC 3722-1 D=8" (INCLUYE SUMINISTRO E INSTALACIÓN)</v>
          </cell>
          <cell r="E22" t="str">
            <v>ML</v>
          </cell>
          <cell r="G22">
            <v>5.3100000000000005</v>
          </cell>
          <cell r="H22">
            <v>41968</v>
          </cell>
          <cell r="I22">
            <v>57076</v>
          </cell>
        </row>
        <row r="23">
          <cell r="C23" t="str">
            <v>2.11</v>
          </cell>
          <cell r="D23" t="str">
            <v>TUBERIA PVC U.M. EXT CORRUGADO/INT LISO U.M. NORMA NTC 3722-1 D=10" (INCLUYE SUMINISTRO E INSTALACIÓN)</v>
          </cell>
          <cell r="E23" t="str">
            <v>ML</v>
          </cell>
          <cell r="G23">
            <v>0</v>
          </cell>
          <cell r="H23">
            <v>61786</v>
          </cell>
          <cell r="I23">
            <v>84029</v>
          </cell>
        </row>
        <row r="24">
          <cell r="C24" t="str">
            <v>2.12</v>
          </cell>
          <cell r="D24" t="str">
            <v>TUBERIA PVC U.M. EXT CORRUGADO/INT LISO U.M. NORMA NTC 3722-1 D=12" (INCLUYE SUMINISTRO E INSTALACIÓN)</v>
          </cell>
          <cell r="E24" t="str">
            <v>ML</v>
          </cell>
          <cell r="G24">
            <v>0</v>
          </cell>
          <cell r="H24">
            <v>88692</v>
          </cell>
          <cell r="I24">
            <v>120621</v>
          </cell>
        </row>
        <row r="25">
          <cell r="C25" t="str">
            <v>2.13</v>
          </cell>
          <cell r="D25" t="str">
            <v>TUBERIA PVC U.M. EXT CORRUGADO/INT LISO U.M. NORMA NTC 3722-1 D=14" (INCLUYE SUMINISTRO E INSTALACIÓN)</v>
          </cell>
          <cell r="E25" t="str">
            <v>ML</v>
          </cell>
          <cell r="G25">
            <v>0</v>
          </cell>
          <cell r="H25">
            <v>120313</v>
          </cell>
          <cell r="I25">
            <v>163626</v>
          </cell>
        </row>
        <row r="26">
          <cell r="C26" t="str">
            <v>2.14</v>
          </cell>
          <cell r="D26" t="str">
            <v>TUBERIA PVC U.M. EXT CORRUGADO/INT LISO U.M. NORMA NTC 3722-1 D=16" (INCLUYE SUMINISTRO E INSTALACIÓN)</v>
          </cell>
          <cell r="E26" t="str">
            <v>ML</v>
          </cell>
          <cell r="G26">
            <v>0</v>
          </cell>
          <cell r="H26">
            <v>162058</v>
          </cell>
          <cell r="I26">
            <v>220399</v>
          </cell>
        </row>
        <row r="27">
          <cell r="C27" t="str">
            <v>2.15</v>
          </cell>
          <cell r="D27" t="str">
            <v>TUBERIA PVC U.M. EXT CORRUGADO/INT LISO U.M. NORMA NTC 3722-1 D=18" (INCLUYE SUMINISTRO E INSTALACIÓN)</v>
          </cell>
          <cell r="E27" t="str">
            <v>ML</v>
          </cell>
          <cell r="G27">
            <v>0</v>
          </cell>
          <cell r="H27">
            <v>199640</v>
          </cell>
          <cell r="I27">
            <v>271510</v>
          </cell>
        </row>
        <row r="28">
          <cell r="C28" t="str">
            <v>2.16</v>
          </cell>
          <cell r="D28" t="str">
            <v>TUBERIA PVC U.M. EXT CORRUGADO/INT LISO U.M. NORMA NTC 3722-1 D=20" (INCLUYE SUMINISTRO E INSTALACIÓN)</v>
          </cell>
          <cell r="E28" t="str">
            <v>ML</v>
          </cell>
          <cell r="G28">
            <v>0</v>
          </cell>
          <cell r="H28">
            <v>228283</v>
          </cell>
          <cell r="I28">
            <v>310465</v>
          </cell>
        </row>
        <row r="29">
          <cell r="C29" t="str">
            <v>2.17</v>
          </cell>
          <cell r="D29" t="str">
            <v>TUBERIA PVC U.M. EXT CORRUGADO/INT LISO U.M. NORMA NTC 3722-1 D=24" (INCLUYE SUMINISTRO E INSTALACIÓN)</v>
          </cell>
          <cell r="E29" t="str">
            <v>ML</v>
          </cell>
          <cell r="G29">
            <v>0</v>
          </cell>
          <cell r="H29">
            <v>318335</v>
          </cell>
          <cell r="I29">
            <v>432936</v>
          </cell>
        </row>
        <row r="30">
          <cell r="C30" t="str">
            <v>2.18</v>
          </cell>
          <cell r="D30" t="str">
            <v>CAJA DE INSPECCION 0.80X0.8M. SUMINISTRO Y CONSTRUCCION. (H=0.6M. INCLUYE MARCO Y TAPA, NO INCLUYE BASE Y CAÑUELA).</v>
          </cell>
          <cell r="E30" t="str">
            <v>UN</v>
          </cell>
          <cell r="G30">
            <v>22</v>
          </cell>
          <cell r="H30">
            <v>661101</v>
          </cell>
          <cell r="I30">
            <v>899097</v>
          </cell>
        </row>
        <row r="31">
          <cell r="C31" t="str">
            <v>2.19</v>
          </cell>
          <cell r="D31" t="str">
            <v>REPARACIÓN DE ACOMETIDA HIDRÁULICA DE LA CAJILLA HACIA EL PREDIO (INCLUYE EL RETIRO DE LA TUBERÍA EXISTENTE E INSTALACIÓN DE TUBERÍA NUEVA).</v>
          </cell>
          <cell r="E31" t="str">
            <v>UN</v>
          </cell>
          <cell r="G31">
            <v>95</v>
          </cell>
          <cell r="H31">
            <v>24456</v>
          </cell>
          <cell r="I31">
            <v>33260</v>
          </cell>
        </row>
        <row r="32">
          <cell r="C32" t="str">
            <v>2.20</v>
          </cell>
          <cell r="D32" t="str">
            <v>POZO DE INSPECCION D=1.7 M (INCL. SUMINISTRO E INSTALACION). INCLUYE CILINDRO POZO DE INSPECCION EN MAMPOSTERIA, CONO PREFABRICADO, PLACA FONDO.</v>
          </cell>
          <cell r="E32" t="str">
            <v>UN</v>
          </cell>
          <cell r="G32">
            <v>0</v>
          </cell>
          <cell r="H32">
            <v>3536396</v>
          </cell>
          <cell r="I32">
            <v>4809499</v>
          </cell>
        </row>
        <row r="33">
          <cell r="C33" t="str">
            <v>2.21</v>
          </cell>
          <cell r="D33" t="str">
            <v>POZO DE INSPECCION ENTRE 3 Y 5 METROS DIAMETRO 1,7 (CONO, TAPA Y MAMPOSTERIA)</v>
          </cell>
          <cell r="E33" t="str">
            <v>UN</v>
          </cell>
          <cell r="G33">
            <v>1</v>
          </cell>
          <cell r="H33">
            <v>4907021</v>
          </cell>
          <cell r="I33">
            <v>6673549</v>
          </cell>
        </row>
        <row r="34">
          <cell r="C34" t="str">
            <v>2.22</v>
          </cell>
          <cell r="D34" t="str">
            <v>POZO DE INSPECCION MAYOR  5 METROS DIAMETRO 1,7(CONO, TAPA Y MAMPOSTERIA)</v>
          </cell>
          <cell r="E34" t="str">
            <v>UN</v>
          </cell>
          <cell r="G34">
            <v>0</v>
          </cell>
          <cell r="H34">
            <v>6707368</v>
          </cell>
          <cell r="I34">
            <v>9122020</v>
          </cell>
        </row>
        <row r="35">
          <cell r="C35" t="str">
            <v>2.23</v>
          </cell>
          <cell r="D35" t="str">
            <v>POZO DE INSPECCION MENOR  3 METROS DIAMETRO 1,7(CONO, TAPA Y MAMPOSTERIA)</v>
          </cell>
          <cell r="E35" t="str">
            <v>UN</v>
          </cell>
          <cell r="G35">
            <v>0</v>
          </cell>
          <cell r="H35">
            <v>2900655</v>
          </cell>
          <cell r="I35">
            <v>3944891</v>
          </cell>
        </row>
        <row r="36">
          <cell r="C36" t="str">
            <v>2.24</v>
          </cell>
          <cell r="D36"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E36" t="str">
            <v>ML</v>
          </cell>
          <cell r="G36">
            <v>0</v>
          </cell>
          <cell r="H36">
            <v>400624</v>
          </cell>
          <cell r="I36">
            <v>544849</v>
          </cell>
        </row>
        <row r="37">
          <cell r="C37" t="str">
            <v>2.25</v>
          </cell>
          <cell r="D37" t="str">
            <v>ENTIBADO EC-2 CONTÍNUO MADERA CON PERFILES METÁLICOS Y PARALES TELESCÓPICOS. SUMINISTRO E INSTALACIÓN.</v>
          </cell>
          <cell r="E37" t="str">
            <v>M2</v>
          </cell>
          <cell r="G37">
            <v>327.40999999999997</v>
          </cell>
          <cell r="H37">
            <v>49952</v>
          </cell>
          <cell r="I37">
            <v>67935</v>
          </cell>
        </row>
        <row r="38">
          <cell r="C38" t="str">
            <v>2.26</v>
          </cell>
          <cell r="D38" t="str">
            <v>ENTIBADO TIPO EC3 CONTINUO METÁLICO CON PARALES METÁLICOS. INCLUYE SUMINISTRO E INSTALACIÓN</v>
          </cell>
          <cell r="E38" t="str">
            <v>M2</v>
          </cell>
          <cell r="G38">
            <v>0</v>
          </cell>
          <cell r="H38">
            <v>54365</v>
          </cell>
          <cell r="I38">
            <v>73936</v>
          </cell>
        </row>
        <row r="39">
          <cell r="C39" t="str">
            <v>2.27</v>
          </cell>
          <cell r="D39" t="str">
            <v>CÁRCAMO EN CONCRETO PARA TUBERÍA DE ACERO DE 8" EN CALZADA ASFALTO. INCLUYE SUMINISTRO Y COLOCACIÓN DE MATERIALES Y MANO DE OBRA.</v>
          </cell>
          <cell r="E39" t="str">
            <v>ML</v>
          </cell>
          <cell r="G39">
            <v>0</v>
          </cell>
          <cell r="H39">
            <v>103690</v>
          </cell>
          <cell r="I39">
            <v>141018</v>
          </cell>
        </row>
        <row r="40">
          <cell r="C40" t="str">
            <v>2.28</v>
          </cell>
          <cell r="D40" t="str">
            <v>SUMIDERO LATERAL SL-150A, H=1.7M (FUNDIDO EN SITIO, CONCRETO PREMEZCLADO. INCL. SUMIN, FORM, REF. Y CONSTR. INCL. TAPA)</v>
          </cell>
          <cell r="E40" t="str">
            <v>UN</v>
          </cell>
          <cell r="G40">
            <v>10</v>
          </cell>
          <cell r="H40">
            <v>2164678</v>
          </cell>
          <cell r="I40">
            <v>2943962</v>
          </cell>
        </row>
        <row r="41">
          <cell r="C41" t="str">
            <v>2.29</v>
          </cell>
          <cell r="D41" t="str">
            <v>FILTRO DE DRENAJE DE 0.6M X 1.0M. SUMINISTRO E INSTALACION. (INCLUYE TUBERIA PERFORADA  D=4", GRAVA COMUN 1/2" Y GEOTEXTIL NT 4000 O SIMILAR).</v>
          </cell>
          <cell r="E41" t="str">
            <v>ML</v>
          </cell>
          <cell r="G41">
            <v>0</v>
          </cell>
          <cell r="H41">
            <v>110274</v>
          </cell>
          <cell r="I41">
            <v>149973</v>
          </cell>
        </row>
        <row r="42">
          <cell r="C42" t="str">
            <v>2.30</v>
          </cell>
          <cell r="D42" t="str">
            <v>CAÑUELA TIPO A120 (SUMINISTRO E INSTALACIÓN. INCLUYE 3CM MORTERO 1:5)</v>
          </cell>
          <cell r="E42" t="str">
            <v>ML</v>
          </cell>
          <cell r="G42">
            <v>0</v>
          </cell>
          <cell r="H42">
            <v>47884</v>
          </cell>
          <cell r="I42">
            <v>65122</v>
          </cell>
        </row>
        <row r="43">
          <cell r="C43" t="str">
            <v>2.31</v>
          </cell>
          <cell r="D43" t="str">
            <v>CONSTRUCCION CANALETA DE AGUAS LLUVIAS DE 0.4 X 0.4 MT EN CONCRETO DE 3000PSI INCLUYE REJILLA PREFABRICADA.</v>
          </cell>
          <cell r="E43" t="str">
            <v>ML</v>
          </cell>
          <cell r="G43">
            <v>0</v>
          </cell>
          <cell r="H43">
            <v>165330</v>
          </cell>
          <cell r="I43">
            <v>224849</v>
          </cell>
        </row>
        <row r="44">
          <cell r="C44" t="str">
            <v>2.32</v>
          </cell>
          <cell r="D44" t="str">
            <v>CAJA DE INSPECCIÓN DE 0.3X0.3M (H=0.3M. INCLUYE SUMINISTRO Y CONSTRUCCIÓN. INCLUYE MARCO Y TAPA. NO INC. BASE Y CAÑUELA)</v>
          </cell>
          <cell r="E44" t="str">
            <v>UN</v>
          </cell>
          <cell r="G44">
            <v>0</v>
          </cell>
          <cell r="H44">
            <v>142353</v>
          </cell>
          <cell r="I44">
            <v>193600</v>
          </cell>
        </row>
        <row r="45">
          <cell r="C45" t="str">
            <v>2.33</v>
          </cell>
          <cell r="D45" t="str">
            <v>EXCAVACION MANUAL PARA REDES PROFUNDIDAD 0M - 2M (INCLUYE CARGUE)</v>
          </cell>
          <cell r="E45" t="str">
            <v>M3</v>
          </cell>
          <cell r="G45">
            <v>185.88</v>
          </cell>
          <cell r="H45">
            <v>25927</v>
          </cell>
          <cell r="I45">
            <v>35261</v>
          </cell>
        </row>
        <row r="46">
          <cell r="C46" t="str">
            <v>2.34</v>
          </cell>
          <cell r="D46" t="str">
            <v>EXCAVACION MANUAL PARA REDES PROFUNDIDAD 2M - 3.50M (INCLUYE CARGUE)</v>
          </cell>
          <cell r="E46" t="str">
            <v>M3</v>
          </cell>
          <cell r="G46">
            <v>0</v>
          </cell>
          <cell r="H46">
            <v>33502</v>
          </cell>
          <cell r="I46">
            <v>45563</v>
          </cell>
        </row>
        <row r="47">
          <cell r="C47" t="str">
            <v>2.35</v>
          </cell>
          <cell r="D47" t="str">
            <v>CAÑUELA EN CONCRETO  H=5CM, 1V:3H</v>
          </cell>
          <cell r="E47" t="str">
            <v>ML</v>
          </cell>
          <cell r="G47">
            <v>0</v>
          </cell>
          <cell r="H47">
            <v>68662</v>
          </cell>
          <cell r="I47">
            <v>93380</v>
          </cell>
        </row>
        <row r="48">
          <cell r="C48" t="str">
            <v>2.36</v>
          </cell>
          <cell r="D48" t="str">
            <v>CAJA RECOLECTORA AGUAS LLUVIA 0.30X0.30</v>
          </cell>
          <cell r="E48" t="str">
            <v>UN</v>
          </cell>
          <cell r="G48">
            <v>0</v>
          </cell>
          <cell r="H48">
            <v>153756</v>
          </cell>
          <cell r="I48">
            <v>209108</v>
          </cell>
        </row>
        <row r="49">
          <cell r="C49" t="str">
            <v>2.37</v>
          </cell>
          <cell r="D49" t="str">
            <v>CAJA RECOLECTORA AGUAS LLUVIA 0.60X0.60</v>
          </cell>
          <cell r="E49" t="str">
            <v>UN</v>
          </cell>
          <cell r="G49">
            <v>0</v>
          </cell>
          <cell r="H49">
            <v>293034</v>
          </cell>
          <cell r="I49">
            <v>398526</v>
          </cell>
        </row>
        <row r="50">
          <cell r="C50" t="str">
            <v>2.38</v>
          </cell>
          <cell r="D50" t="str">
            <v>CAJA DE PASO 0.60X0.60</v>
          </cell>
          <cell r="E50" t="str">
            <v>UN</v>
          </cell>
          <cell r="G50">
            <v>0</v>
          </cell>
          <cell r="H50">
            <v>307511</v>
          </cell>
          <cell r="I50">
            <v>418215</v>
          </cell>
        </row>
        <row r="51">
          <cell r="C51" t="str">
            <v>2.39</v>
          </cell>
          <cell r="D51" t="str">
            <v>CAJA DE PASO 0.30X0.30</v>
          </cell>
          <cell r="E51" t="str">
            <v>UN</v>
          </cell>
          <cell r="G51">
            <v>0</v>
          </cell>
          <cell r="H51">
            <v>153756</v>
          </cell>
          <cell r="I51">
            <v>209108</v>
          </cell>
        </row>
        <row r="52">
          <cell r="C52" t="str">
            <v>2.40</v>
          </cell>
          <cell r="D52" t="str">
            <v>SUMIDERO LATERAL SL-100, H=1.25M (FUNDIDO EN SITIO, CONCRETO PREMEZCLADO. INCL. SUMIN, FORM, REF. Y CONSTR. INCL. TAPA)</v>
          </cell>
          <cell r="E52" t="str">
            <v>UN</v>
          </cell>
          <cell r="G52">
            <v>0</v>
          </cell>
          <cell r="H52">
            <v>1558922</v>
          </cell>
          <cell r="I52">
            <v>2120134</v>
          </cell>
        </row>
        <row r="53">
          <cell r="C53" t="str">
            <v>2.41</v>
          </cell>
          <cell r="D53" t="str">
            <v>RECONSTRUCCIÓN DOMICILIARIA ALCANTARILLADO **</v>
          </cell>
          <cell r="E53" t="str">
            <v>UN</v>
          </cell>
          <cell r="G53">
            <v>19</v>
          </cell>
          <cell r="H53">
            <v>146768</v>
          </cell>
          <cell r="I53">
            <v>199604</v>
          </cell>
        </row>
        <row r="54">
          <cell r="C54" t="str">
            <v>2.42</v>
          </cell>
          <cell r="D54" t="str">
            <v>RECONSTRUCCIÓN ACOMETIDA ACUEDUCTO **</v>
          </cell>
          <cell r="E54" t="str">
            <v>UN</v>
          </cell>
          <cell r="G54">
            <v>14</v>
          </cell>
          <cell r="H54">
            <v>149314</v>
          </cell>
          <cell r="I54">
            <v>203067</v>
          </cell>
        </row>
        <row r="55">
          <cell r="C55">
            <v>3</v>
          </cell>
          <cell r="D55" t="str">
            <v>ESTRUCTURA DE ESPACIO PUBLICO</v>
          </cell>
        </row>
        <row r="56">
          <cell r="C56" t="str">
            <v>3.1</v>
          </cell>
          <cell r="D56" t="str">
            <v xml:space="preserve">CONSTRUCCION DE PAVIMENTO  039 KG/CM2 GRAVA1" 28DÍAS AS13CM (5") DE COLOR (CONVENCIONAL, ROJO, AMARILLO, MARRON, AZUL INCLUYE CORTE, SELLO Y AMPLIACION DE JUNTA) </v>
          </cell>
          <cell r="E56" t="str">
            <v>M3</v>
          </cell>
          <cell r="G56">
            <v>505.57</v>
          </cell>
          <cell r="H56">
            <v>534417</v>
          </cell>
          <cell r="I56">
            <v>726807</v>
          </cell>
        </row>
        <row r="57">
          <cell r="C57" t="str">
            <v>3.2</v>
          </cell>
          <cell r="D57" t="str">
            <v>TRANSPORTE Y DISPOSICION FINAL DE ESCOMBROS EN SITIO AUTORIZADO (DISTANCIA DE TRANSPORTE 28 KM) INCLUYE DERECHO A ESCOMBRERA</v>
          </cell>
          <cell r="E57" t="str">
            <v>M3</v>
          </cell>
          <cell r="G57">
            <v>1257.17</v>
          </cell>
          <cell r="H57">
            <v>28438</v>
          </cell>
          <cell r="I57">
            <v>38676</v>
          </cell>
        </row>
        <row r="58">
          <cell r="C58" t="str">
            <v>3.3</v>
          </cell>
          <cell r="D58" t="str">
            <v>HUMEDECIMIENTO, NIVELACION Y COMPACTACION CON VIBROCOMPACTADOR DE LA SUB RASANTE</v>
          </cell>
          <cell r="E58" t="str">
            <v>M2</v>
          </cell>
          <cell r="G58">
            <v>964.41</v>
          </cell>
          <cell r="H58">
            <v>15709</v>
          </cell>
          <cell r="I58">
            <v>21364</v>
          </cell>
        </row>
        <row r="59">
          <cell r="C59" t="str">
            <v>3.4</v>
          </cell>
          <cell r="D59" t="str">
            <v>SUBBASE GRANULAR CLASE A (SBG_A) ESTABILIZADA CON CEMENTO AL 4% (SUMINISTRO, EXTENDIDO, NIVELACIÓN, HUMEDECIMIENTO Y COMPACTACIÓN CON VIBROCOMPACTADOR) DISTANCIA DE TRANSPORTE 28 KM</v>
          </cell>
          <cell r="E59" t="str">
            <v>M3</v>
          </cell>
          <cell r="G59">
            <v>996.41999999999985</v>
          </cell>
          <cell r="H59">
            <v>135961</v>
          </cell>
          <cell r="I59">
            <v>184907</v>
          </cell>
        </row>
        <row r="60">
          <cell r="C60" t="str">
            <v>3.5</v>
          </cell>
          <cell r="D60" t="str">
            <v>CURADO DE LOSAS DE CONCRETO (SUMINISTRO Y APLICACIÓN)</v>
          </cell>
          <cell r="E60" t="str">
            <v>M2</v>
          </cell>
          <cell r="G60">
            <v>3728.1999999999989</v>
          </cell>
          <cell r="H60">
            <v>1533</v>
          </cell>
          <cell r="I60">
            <v>2085</v>
          </cell>
        </row>
        <row r="61">
          <cell r="C61" t="str">
            <v>3.6</v>
          </cell>
          <cell r="D61" t="str">
            <v>IMPRIMACIÓN CON EMULSIÓN ASFÁLTICA CRL-1 (INCLUYE SUMINISTRO, BARRIDO DE SUPERFICIE Y RIEGO).</v>
          </cell>
          <cell r="E61" t="str">
            <v>M2</v>
          </cell>
          <cell r="G61">
            <v>0</v>
          </cell>
          <cell r="H61">
            <v>1750</v>
          </cell>
          <cell r="I61">
            <v>2380</v>
          </cell>
        </row>
        <row r="62">
          <cell r="C62" t="str">
            <v>3.7</v>
          </cell>
          <cell r="D62" t="str">
            <v>GEOTEXTIL NT 1600 PARA SEPARACION SUBRASANTE/CAPAS GRANULARES (INCLUYE SUMINISTRO E INSTALACIÓN)</v>
          </cell>
          <cell r="E62" t="str">
            <v>M2</v>
          </cell>
          <cell r="G62">
            <v>3541.97</v>
          </cell>
          <cell r="H62">
            <v>5343</v>
          </cell>
          <cell r="I62">
            <v>7266</v>
          </cell>
        </row>
        <row r="63">
          <cell r="C63" t="str">
            <v>3.8</v>
          </cell>
          <cell r="D63" t="str">
            <v>MALLA ELECTROSOLDADA 0.15X0.15M, D=8MM, 8MM (INCLUYE SUMINISTRO, FIJACIÓN E INSTALACIÓN)</v>
          </cell>
          <cell r="E63" t="str">
            <v>KG</v>
          </cell>
          <cell r="G63">
            <v>0</v>
          </cell>
          <cell r="H63">
            <v>3095</v>
          </cell>
          <cell r="I63">
            <v>4209</v>
          </cell>
        </row>
        <row r="64">
          <cell r="C64" t="str">
            <v>3.9</v>
          </cell>
          <cell r="D64" t="str">
            <v>RELLENO EN RECEBO COMUN (SUMINISTRO E INSTALACIÓN  EXTENDIDO MANUAL, HUMEDECIMIENTO Y COMPACTACIÓN TRANSPORTE A 28 KM).</v>
          </cell>
          <cell r="E64" t="str">
            <v>M3</v>
          </cell>
          <cell r="G64">
            <v>620.68000000000006</v>
          </cell>
          <cell r="H64">
            <v>62768</v>
          </cell>
          <cell r="I64">
            <v>85364</v>
          </cell>
        </row>
        <row r="65">
          <cell r="C65" t="str">
            <v>3.10</v>
          </cell>
          <cell r="D65" t="str">
            <v>EXCAVACION MECANICA EN MATERIAL COMUN. INCLUYE CARGUE.</v>
          </cell>
          <cell r="E65" t="str">
            <v>M3</v>
          </cell>
          <cell r="G65">
            <v>986.21</v>
          </cell>
          <cell r="H65">
            <v>4561</v>
          </cell>
          <cell r="I65">
            <v>6203</v>
          </cell>
        </row>
        <row r="66">
          <cell r="C66">
            <v>4</v>
          </cell>
          <cell r="D66" t="str">
            <v>ANDENES</v>
          </cell>
        </row>
        <row r="67">
          <cell r="C67" t="str">
            <v>4.1</v>
          </cell>
          <cell r="D67" t="str">
            <v>DEMOLICION PISOS DE CONCRETO (INCLUYE CARGUE).  INCLUYE TRANSPORTE Y DISPOSICIÓN FINAL DE SOBRANTES. RENDIMIENTO ESTIMADO PARA ESPESORES DE 0.20M.</v>
          </cell>
          <cell r="E67" t="str">
            <v>M3</v>
          </cell>
          <cell r="G67">
            <v>99.55</v>
          </cell>
          <cell r="H67">
            <v>60184</v>
          </cell>
          <cell r="I67">
            <v>81850</v>
          </cell>
        </row>
        <row r="68">
          <cell r="C68" t="str">
            <v>4.2</v>
          </cell>
          <cell r="D68" t="str">
            <v>MURO EN BLOQUE DE CONCRETO KREATO LISO 19 O EQUIVALENTE PARA CONFORMACIÓN DE BORDILLO HASTA ALTURA DE H=0,6M. INCLUYE CONFORMACIÓN DE SUPERFICIE DE APOYO, CIMENTACIÓN DE BASE MURO MORTERO DE PEGA Y ACERO DE REFUERZO.</v>
          </cell>
          <cell r="E68" t="str">
            <v>ML</v>
          </cell>
          <cell r="G68">
            <v>215.32999999999998</v>
          </cell>
          <cell r="H68">
            <v>210396</v>
          </cell>
          <cell r="I68">
            <v>286139</v>
          </cell>
        </row>
        <row r="69">
          <cell r="C69" t="str">
            <v>4.3</v>
          </cell>
          <cell r="D69" t="str">
            <v>BORDILLO PREFABRICADO A80 (SUMINISTRO E INSTALACIÓN. INCLUYE 3CM MORTERO DE PEGA 2000 PSI Y NIVELACIÓN DEL TERRENO CON RELLENO EN MATERIAL SELECCIONADO PROVENIENTE DE EXCAVACIÓN).</v>
          </cell>
          <cell r="E69" t="str">
            <v>ML</v>
          </cell>
          <cell r="G69">
            <v>439.43999999999994</v>
          </cell>
          <cell r="H69">
            <v>46986</v>
          </cell>
          <cell r="I69">
            <v>63901</v>
          </cell>
        </row>
        <row r="70">
          <cell r="C70" t="str">
            <v>4.4</v>
          </cell>
          <cell r="D70" t="str">
            <v>PIEZA REMATE A105 PARA RAMPA TIPO A (SUMINISTRO E INSTALACIÓN. INCLUYE 3CM MORTERO 2000 PSI)</v>
          </cell>
          <cell r="E70" t="str">
            <v>UN</v>
          </cell>
          <cell r="G70">
            <v>0</v>
          </cell>
          <cell r="H70">
            <v>78832</v>
          </cell>
          <cell r="I70">
            <v>107212</v>
          </cell>
        </row>
        <row r="71">
          <cell r="C71" t="str">
            <v>4.5</v>
          </cell>
          <cell r="D71" t="str">
            <v>SARDINEL TIPO A10 (SUMINISTRO E INSTALACIÓN. INCLUYE 3CM MORTERO 1:5)</v>
          </cell>
          <cell r="E71" t="str">
            <v>ML</v>
          </cell>
          <cell r="G71">
            <v>585.73</v>
          </cell>
          <cell r="H71">
            <v>57545</v>
          </cell>
          <cell r="I71">
            <v>78261</v>
          </cell>
        </row>
        <row r="72">
          <cell r="C72" t="str">
            <v>4.6</v>
          </cell>
          <cell r="D72" t="str">
            <v>CENEFA LINEAL EN LOSETA PREFABRICADA TÁCTIL ALERTA A55 / A56 ANCHO 0.40M (SUMINISTRO E INSTALACIÓN. INCLUYE BASE EN ARENA DE NIVELACIÓN E= 4CM Y ARENA DE SELLO).</v>
          </cell>
          <cell r="E72" t="str">
            <v>ML</v>
          </cell>
          <cell r="G72">
            <v>307.89999999999998</v>
          </cell>
          <cell r="H72">
            <v>25086</v>
          </cell>
          <cell r="I72">
            <v>34117</v>
          </cell>
        </row>
        <row r="73">
          <cell r="C73" t="str">
            <v>4.7</v>
          </cell>
          <cell r="D73" t="str">
            <v>CENEFA LINEAL EN LOSETA PREFABRICADA TÁCTIL ALERTA A55 / A56 ANCHO 0.40M (SUMINISTRO E INSTALACIÓN. INCLUYE BASE EN ARENA DE NIVELACIÓN E= 4CM Y ARENA DE SELLO).</v>
          </cell>
          <cell r="E73" t="str">
            <v>ML</v>
          </cell>
          <cell r="G73">
            <v>0</v>
          </cell>
          <cell r="H73">
            <v>25086</v>
          </cell>
          <cell r="I73">
            <v>34117</v>
          </cell>
        </row>
        <row r="74">
          <cell r="C74" t="str">
            <v>4.8</v>
          </cell>
          <cell r="D74" t="str">
            <v>CENEFA LINEAL EN LOSETA PREFABRICADA TÁCTIL ALERTA A57 ANCHO 0.40M (SUMINISTRO E INSTALACIÓN. INCLUYE BASE EN ARENA DE NIVELACIÓN E= 4CM Y ARENA DE SELLO).</v>
          </cell>
          <cell r="E74" t="str">
            <v>ML</v>
          </cell>
          <cell r="G74">
            <v>0</v>
          </cell>
          <cell r="H74">
            <v>31731</v>
          </cell>
          <cell r="I74">
            <v>43154</v>
          </cell>
        </row>
        <row r="75">
          <cell r="C75" t="str">
            <v>4.9</v>
          </cell>
          <cell r="D75" t="str">
            <v>CONSTRUCCION DE ESCALERAS EN CONCRETO</v>
          </cell>
          <cell r="E75" t="str">
            <v>M2</v>
          </cell>
          <cell r="G75">
            <v>292.72999999999996</v>
          </cell>
          <cell r="H75">
            <v>224403</v>
          </cell>
          <cell r="I75">
            <v>305188</v>
          </cell>
        </row>
        <row r="76">
          <cell r="C76" t="str">
            <v>4.10</v>
          </cell>
          <cell r="D76" t="str">
            <v>RAMPA VEHICULAR FUNDIDA EN EL SITIO EN CONCRETO PREMEZCLADO DE 3000 PSI (GRAVA COMUN) SUM, CONSTR. E INSTALACIÓN. INCLUYE X TIPO TRÁFICO PESADO O SIMILAR, BASE DE 4CM EN MORTERO DE 2000 PSI.</v>
          </cell>
          <cell r="E76" t="str">
            <v>M2</v>
          </cell>
          <cell r="G76">
            <v>0</v>
          </cell>
          <cell r="H76">
            <v>109554</v>
          </cell>
          <cell r="I76">
            <v>148993</v>
          </cell>
        </row>
        <row r="77">
          <cell r="C77" t="str">
            <v>4.11</v>
          </cell>
          <cell r="D77" t="str">
            <v xml:space="preserve"> MURO EN BLOQUE KREATO LISO (0,39X0,19X0,19) INLCUYE ( EXCAVACION, RELLENO EN RECEBO COMUN, GEOMALLA, ACERO DE REFUERZO Y RELLENO FLUIDO FLUIDO)</v>
          </cell>
          <cell r="E77" t="str">
            <v>M2</v>
          </cell>
          <cell r="G77">
            <v>0</v>
          </cell>
          <cell r="H77">
            <v>184820</v>
          </cell>
          <cell r="I77">
            <v>251355</v>
          </cell>
        </row>
        <row r="78">
          <cell r="C78" t="str">
            <v>4.12</v>
          </cell>
          <cell r="D78" t="str">
            <v xml:space="preserve">VIGA DE CIMENTACION DE 0,40 X 0,60 PARA MURO EN BLOQUE KREATO LISO (0,39X0,19X0,19)  </v>
          </cell>
          <cell r="E78" t="str">
            <v>ML</v>
          </cell>
          <cell r="G78">
            <v>254.05</v>
          </cell>
          <cell r="H78">
            <v>158684</v>
          </cell>
          <cell r="I78">
            <v>215810</v>
          </cell>
        </row>
        <row r="79">
          <cell r="C79" t="str">
            <v>4.13</v>
          </cell>
          <cell r="D79" t="str">
            <v>VIGA CINTA DE 0,19 X 0,20 PARA REMATE DE MURO EN BLOQUE KREATO LISO (0,39X0,19X0,19) F"C  21 MPA</v>
          </cell>
          <cell r="E79" t="str">
            <v>ML</v>
          </cell>
          <cell r="G79">
            <v>273.88</v>
          </cell>
          <cell r="H79">
            <v>38615</v>
          </cell>
          <cell r="I79">
            <v>52516</v>
          </cell>
        </row>
        <row r="80">
          <cell r="C80" t="str">
            <v>4.14</v>
          </cell>
          <cell r="D80" t="str">
            <v>MURO EN CONCRETO DE 21 MPA REFORZADO INCLUYE EXCAVACION, CAISSON Ø=1,0 M, ACERO DE REFUERZO)</v>
          </cell>
          <cell r="E80" t="str">
            <v>M2</v>
          </cell>
          <cell r="G80">
            <v>0</v>
          </cell>
          <cell r="H80">
            <v>1324605</v>
          </cell>
          <cell r="I80">
            <v>1801463</v>
          </cell>
        </row>
        <row r="81">
          <cell r="C81">
            <v>5</v>
          </cell>
          <cell r="D81" t="str">
            <v>REDES ELECTRICAS</v>
          </cell>
        </row>
        <row r="82">
          <cell r="C82" t="str">
            <v>5.1</v>
          </cell>
          <cell r="D82" t="str">
            <v>TRASLADO POSTE CONCRETO 8-10M</v>
          </cell>
          <cell r="E82" t="str">
            <v>UN</v>
          </cell>
          <cell r="G82">
            <v>0</v>
          </cell>
          <cell r="H82">
            <v>1750802</v>
          </cell>
          <cell r="I82">
            <v>2381091</v>
          </cell>
        </row>
        <row r="83">
          <cell r="C83" t="str">
            <v>5.2</v>
          </cell>
          <cell r="D83" t="str">
            <v>TRASLADO DE CAJA DE INSPECCION ELECTRICA</v>
          </cell>
          <cell r="E83" t="str">
            <v>UN</v>
          </cell>
          <cell r="G83">
            <v>0</v>
          </cell>
          <cell r="H83">
            <v>1177520</v>
          </cell>
          <cell r="I83">
            <v>1601427</v>
          </cell>
        </row>
        <row r="84">
          <cell r="C84" t="str">
            <v>5.3</v>
          </cell>
          <cell r="D84" t="str">
            <v>RECONSTRUCCIÓN DE CAJA DE INSP DE AP</v>
          </cell>
          <cell r="E84" t="str">
            <v>UN</v>
          </cell>
          <cell r="G84">
            <v>0</v>
          </cell>
          <cell r="H84">
            <v>496546</v>
          </cell>
          <cell r="I84">
            <v>675303</v>
          </cell>
        </row>
        <row r="85">
          <cell r="C85" t="str">
            <v>5.4</v>
          </cell>
          <cell r="D85" t="str">
            <v>RECONSTRUCCIÓN DE CAJA DE INSP SENCILLA</v>
          </cell>
          <cell r="E85" t="str">
            <v>UN</v>
          </cell>
          <cell r="G85">
            <v>0</v>
          </cell>
          <cell r="H85">
            <v>526707</v>
          </cell>
          <cell r="I85">
            <v>716322</v>
          </cell>
        </row>
        <row r="86">
          <cell r="C86" t="str">
            <v>5.5</v>
          </cell>
          <cell r="D86" t="str">
            <v>RECONSTRUCCIÓN DE CAJA DE INSP DOBLE</v>
          </cell>
          <cell r="E86" t="str">
            <v>UN</v>
          </cell>
          <cell r="G86">
            <v>0</v>
          </cell>
          <cell r="H86">
            <v>526707</v>
          </cell>
          <cell r="I86">
            <v>716322</v>
          </cell>
        </row>
        <row r="87">
          <cell r="C87" t="str">
            <v>5.6</v>
          </cell>
          <cell r="D87" t="str">
            <v>RECONSTRUCCIÓN DE CAJA DE INSP VEHICULAR</v>
          </cell>
          <cell r="E87" t="str">
            <v>UN</v>
          </cell>
          <cell r="G87">
            <v>0</v>
          </cell>
          <cell r="H87">
            <v>533944</v>
          </cell>
          <cell r="I87">
            <v>726164</v>
          </cell>
        </row>
        <row r="88">
          <cell r="C88">
            <v>6</v>
          </cell>
          <cell r="D88" t="str">
            <v>REDES GAS</v>
          </cell>
        </row>
        <row r="89">
          <cell r="C89" t="str">
            <v>6.1</v>
          </cell>
          <cell r="D89" t="str">
            <v>REPARACION DE REDES DE GAS</v>
          </cell>
          <cell r="E89" t="str">
            <v>UN</v>
          </cell>
          <cell r="G89">
            <v>257</v>
          </cell>
          <cell r="H89">
            <v>274133</v>
          </cell>
          <cell r="I89">
            <v>372821</v>
          </cell>
        </row>
        <row r="90">
          <cell r="C90">
            <v>7</v>
          </cell>
          <cell r="D90" t="str">
            <v>PAISAJISMO</v>
          </cell>
        </row>
        <row r="91">
          <cell r="C91" t="str">
            <v>7.1</v>
          </cell>
          <cell r="D91" t="str">
            <v>REVEGETALIZACIÓN CON SEMILLA</v>
          </cell>
          <cell r="E91" t="str">
            <v>M2</v>
          </cell>
          <cell r="G91">
            <v>0</v>
          </cell>
          <cell r="H91">
            <v>13291</v>
          </cell>
          <cell r="I91">
            <v>18076</v>
          </cell>
        </row>
        <row r="92">
          <cell r="C92" t="str">
            <v>7.2</v>
          </cell>
          <cell r="D92" t="str">
            <v xml:space="preserve">CONSTRUCCIÓN. DE MURO EN BLOQUE KREATO INSTALADO CON MORTERO DE 1500 PSI, PARCIALMENTE REFORZADO,   CON DOVELAS INYECTADAS EN RELLENO FLUIDO  10 KG/CM2  MAS REFUERZO  PARA JARDINERAS,INCLUYE  VIGA DE CIMENTACION Y VIGA CINTA </v>
          </cell>
          <cell r="E92" t="str">
            <v>M2</v>
          </cell>
          <cell r="G92">
            <v>0</v>
          </cell>
          <cell r="H92">
            <v>190998</v>
          </cell>
          <cell r="I92">
            <v>259757</v>
          </cell>
        </row>
        <row r="93">
          <cell r="C93" t="str">
            <v>7.3</v>
          </cell>
          <cell r="D93" t="str">
            <v>PAÑETE IMPERMEABILIZADO 1.5 CM</v>
          </cell>
          <cell r="E93" t="str">
            <v>M2</v>
          </cell>
          <cell r="G93">
            <v>173.75</v>
          </cell>
          <cell r="H93">
            <v>21924</v>
          </cell>
          <cell r="I93">
            <v>29817</v>
          </cell>
        </row>
        <row r="94">
          <cell r="C94" t="str">
            <v>7.4</v>
          </cell>
          <cell r="D94" t="str">
            <v>RELLENO EN MATERIAL SELECCIONADO PROVENIENTE DE LA EXCAVACIÓN (EXTENDIDO MANUAL, HUMEDECIMIENTO Y COMPACTACIÓN)</v>
          </cell>
          <cell r="E94" t="str">
            <v>M3</v>
          </cell>
          <cell r="G94">
            <v>11.27</v>
          </cell>
          <cell r="H94">
            <v>22648</v>
          </cell>
          <cell r="I94">
            <v>30801</v>
          </cell>
        </row>
        <row r="95">
          <cell r="C95" t="str">
            <v>7.5</v>
          </cell>
          <cell r="D95" t="str">
            <v>RELLENO EN TIERRA NEGRA PARA EMPRADIZACION (SUMINISTRO Y EXTENDIDO)</v>
          </cell>
          <cell r="E95" t="str">
            <v>M3</v>
          </cell>
          <cell r="G95">
            <v>0</v>
          </cell>
          <cell r="H95">
            <v>55289</v>
          </cell>
          <cell r="I95">
            <v>75193</v>
          </cell>
        </row>
        <row r="96">
          <cell r="C96" t="str">
            <v>7.6</v>
          </cell>
          <cell r="D96" t="str">
            <v>CONTENEDOR DE RAICES TIPO B20 (TIPO A) (1.2X1.2X1.40M. INC. SUMINISTRO, CONSTRUCCIÓN Y FILTRO EN GRAVILLA. NO INC. TIERRA)</v>
          </cell>
          <cell r="E96" t="str">
            <v>UN</v>
          </cell>
          <cell r="G96">
            <v>0</v>
          </cell>
          <cell r="H96">
            <v>534776</v>
          </cell>
          <cell r="I96">
            <v>727295</v>
          </cell>
        </row>
        <row r="97">
          <cell r="C97">
            <v>8</v>
          </cell>
          <cell r="D97" t="str">
            <v>MOBILIARIO URBANO</v>
          </cell>
        </row>
        <row r="98">
          <cell r="C98" t="str">
            <v>8.1</v>
          </cell>
          <cell r="D98" t="str">
            <v>BARANDA METALIC0A M-81 PREFABRICADA INCLUYE INSTALACION SOBRE VIGA CINTA, PIINTURA ANTICORROSIVA Y ESMALTE COLOR POR DEFINIR.     ( LA BARANDA SE INSTALARÁ ANTES DE FUNFIR LA VIGA CINTA, ANCLADA A LOS  ACEROS DE REFUERZO CON SOLDADURA ELECTRICA) APOYOS CADA 1,00 MTS.</v>
          </cell>
          <cell r="E98" t="str">
            <v>ML</v>
          </cell>
          <cell r="G98">
            <v>1021.91</v>
          </cell>
          <cell r="H98">
            <v>208962</v>
          </cell>
          <cell r="I98">
            <v>284188</v>
          </cell>
        </row>
        <row r="99">
          <cell r="C99" t="str">
            <v>8.2</v>
          </cell>
          <cell r="D99" t="str">
            <v>CANECA TIPO M120 (EN MALLA METÁLICA. INCLUYE SUMINISTRO E INSTALACIÓN. INCLUYE BASE EN CONCRETO 1500 PSI, HECHO EN OBRA)</v>
          </cell>
          <cell r="E99" t="str">
            <v>UN</v>
          </cell>
          <cell r="G99">
            <v>0</v>
          </cell>
          <cell r="H99">
            <v>272268</v>
          </cell>
          <cell r="I99">
            <v>370284</v>
          </cell>
        </row>
        <row r="100">
          <cell r="C100" t="str">
            <v>8.3</v>
          </cell>
          <cell r="D100" t="str">
            <v>BOLARDO EN HIERRO TIPO M62 (SUMINISTRO E INSTALACIÓN. INCLUYE BASE EN CONCRETO 1500 PSI, PREMEZCLADO)</v>
          </cell>
          <cell r="E100" t="str">
            <v>UN</v>
          </cell>
          <cell r="G100">
            <v>9</v>
          </cell>
          <cell r="H100">
            <v>143786</v>
          </cell>
          <cell r="I100">
            <v>195549</v>
          </cell>
        </row>
        <row r="101">
          <cell r="C101" t="str">
            <v>8.4</v>
          </cell>
          <cell r="D101" t="str">
            <v>BANCA EN CONCRETO TIPO M30 (SUMINISTRO E INSTALACIÓN. NO INCLUYE MATERIAL DE BASE)</v>
          </cell>
          <cell r="E101" t="str">
            <v>UN</v>
          </cell>
          <cell r="G101">
            <v>0</v>
          </cell>
          <cell r="H101">
            <v>590749</v>
          </cell>
          <cell r="I101">
            <v>803419</v>
          </cell>
        </row>
        <row r="102">
          <cell r="C102" t="str">
            <v>8.5</v>
          </cell>
          <cell r="D102" t="str">
            <v>BANCA EN CONCRETO TIPO M31 (SUMINISTRO E INSTALACIÓN)</v>
          </cell>
          <cell r="E102" t="str">
            <v>UN</v>
          </cell>
          <cell r="G102">
            <v>0</v>
          </cell>
          <cell r="H102">
            <v>314256</v>
          </cell>
          <cell r="I102">
            <v>427388</v>
          </cell>
        </row>
        <row r="103">
          <cell r="C103">
            <v>9</v>
          </cell>
          <cell r="D103" t="str">
            <v>VARIOS</v>
          </cell>
        </row>
        <row r="104">
          <cell r="C104" t="str">
            <v>9.1</v>
          </cell>
          <cell r="D104" t="str">
            <v xml:space="preserve">LIMPIEZA Y ACOPIO MANUAL DE BASURAS AL FINALIZAR LA OBRA PARA POSTERIORMENTE HACER ENTREGA DE LA OBRA  </v>
          </cell>
          <cell r="E104" t="str">
            <v>M2</v>
          </cell>
          <cell r="G104">
            <v>5596.12</v>
          </cell>
          <cell r="H104">
            <v>165</v>
          </cell>
          <cell r="I104">
            <v>224</v>
          </cell>
        </row>
        <row r="105">
          <cell r="C105">
            <v>10</v>
          </cell>
          <cell r="D105" t="str">
            <v>ITMENS NO PREVISTOS</v>
          </cell>
        </row>
        <row r="106">
          <cell r="C106" t="str">
            <v>10.01</v>
          </cell>
          <cell r="D106" t="str">
            <v>RELLENO EN TRITURADO DE 3/4`` (INCLUYE TRANSPORTE, SUMINISTRO, EXTENDIDO MANUAL Y COLOCACIÓN)</v>
          </cell>
          <cell r="E106" t="str">
            <v>M3</v>
          </cell>
          <cell r="G106">
            <v>87.5</v>
          </cell>
          <cell r="H106">
            <v>107123</v>
          </cell>
          <cell r="I106">
            <v>145687</v>
          </cell>
        </row>
        <row r="107">
          <cell r="C107" t="str">
            <v>10.02</v>
          </cell>
          <cell r="D107" t="str">
            <v>BASE Y CAÑUELA EN MORTERO IMPERMEABILIZADO ( SUMINISTRO E INSTALACIÓN, BASE H=0,10M, CAÑUELA H=0,15M)</v>
          </cell>
          <cell r="E107" t="str">
            <v>M2</v>
          </cell>
          <cell r="G107">
            <v>107.25</v>
          </cell>
          <cell r="H107">
            <v>129752</v>
          </cell>
          <cell r="I107">
            <v>176463</v>
          </cell>
        </row>
        <row r="108">
          <cell r="C108" t="str">
            <v>10.03</v>
          </cell>
          <cell r="D108" t="str">
            <v>CONEXIONES KIT SILLA YEE 200 X 160 PVC. SUMINISTRO E INSTALACIÓN. SUMINISTRO Y CONSTRUCCIÓN</v>
          </cell>
          <cell r="E108" t="str">
            <v>UN</v>
          </cell>
          <cell r="G108">
            <v>80</v>
          </cell>
          <cell r="H108">
            <v>122666</v>
          </cell>
          <cell r="I108">
            <v>166826</v>
          </cell>
        </row>
        <row r="109">
          <cell r="C109" t="str">
            <v>10.04</v>
          </cell>
          <cell r="D109" t="str">
            <v>PROTECCION A SUMIDEROS (INCLUYE SUMINISTRO Y COLOCACIÓN DE BOLSAS DE LONA Y GEOTEXTIL NT 1600 O SIMILAR)</v>
          </cell>
          <cell r="E109" t="str">
            <v>UN/MES</v>
          </cell>
          <cell r="G109">
            <v>66</v>
          </cell>
          <cell r="H109">
            <v>9151</v>
          </cell>
          <cell r="I109">
            <v>12445</v>
          </cell>
        </row>
        <row r="110">
          <cell r="C110" t="str">
            <v>10.05</v>
          </cell>
          <cell r="D110" t="str">
            <v>EMPALME POR TERMOFUSIÓN DE TUBERÍA PAD</v>
          </cell>
          <cell r="E110" t="str">
            <v>UN</v>
          </cell>
          <cell r="G110">
            <v>0</v>
          </cell>
          <cell r="H110">
            <v>1048432</v>
          </cell>
          <cell r="I110">
            <v>1425868</v>
          </cell>
        </row>
        <row r="111">
          <cell r="C111" t="str">
            <v>10.06</v>
          </cell>
          <cell r="D111" t="str">
            <v>CAJA DE INSPECCION 0.80X0.8M. SUMINISTRO Y CONSTRUCCION.  (H=1M. INCLUYE MARCO Y TAPA, NO INCLUYE BASE Y CAÑUELA)</v>
          </cell>
          <cell r="E111" t="str">
            <v>UN</v>
          </cell>
          <cell r="G111">
            <v>1</v>
          </cell>
          <cell r="H111">
            <v>749159</v>
          </cell>
          <cell r="I111">
            <v>1018856</v>
          </cell>
        </row>
        <row r="112">
          <cell r="C112" t="str">
            <v>10.07</v>
          </cell>
          <cell r="D112" t="str">
            <v>CAJA DE INSPECCION 1.0X1.0M. SUMINISTRO Y CONSTRUCCION.  (H=1.5M. INCLUYE MARCO Y TAPA, NO INCLUYE BASE Y CAÑUELA)</v>
          </cell>
          <cell r="E112" t="str">
            <v>UN</v>
          </cell>
          <cell r="G112">
            <v>0</v>
          </cell>
          <cell r="H112">
            <v>1134584</v>
          </cell>
          <cell r="I112">
            <v>1543034</v>
          </cell>
        </row>
        <row r="113">
          <cell r="C113" t="str">
            <v>10.08</v>
          </cell>
          <cell r="D113" t="str">
            <v>CAJA DE INSPECCION 1.0X1.0M. SUMINISTRO Y CONSTRUCCION.  (H=2.0M. INCLUYE MARCO Y TAPA, NO INCLUYE BASE Y CAÑUELA)</v>
          </cell>
          <cell r="E113" t="str">
            <v>UN</v>
          </cell>
          <cell r="G113">
            <v>8</v>
          </cell>
          <cell r="H113">
            <v>1291259</v>
          </cell>
          <cell r="I113">
            <v>1756112</v>
          </cell>
        </row>
        <row r="114">
          <cell r="C114" t="str">
            <v>10.09</v>
          </cell>
          <cell r="D114" t="str">
            <v>CAJA DE INSPECCION 1.0X1.0M. SUMINISTRO Y CONSTRUCCION.  (H=2.5M. INCLUYE MARCO Y TAPA, NO INCLUYE BASE Y CAÑUELA)</v>
          </cell>
          <cell r="E114" t="str">
            <v>UN</v>
          </cell>
          <cell r="G114">
            <v>3</v>
          </cell>
          <cell r="H114">
            <v>1447933</v>
          </cell>
          <cell r="I114">
            <v>1969189</v>
          </cell>
        </row>
        <row r="115">
          <cell r="C115" t="str">
            <v>10.10</v>
          </cell>
          <cell r="D115" t="str">
            <v>MURO DE CONTENCIÓN EN CONCRETO 3000 PSI PREMEZCLADO, GRAVA FINA. (INCLUYE SUMINISTRO, FORMALETEO, BOMBEO, COLOCACIÓN Y CURADO. NO INCL. REFUERZO)</v>
          </cell>
          <cell r="E115" t="str">
            <v>M3</v>
          </cell>
          <cell r="G115">
            <v>423.81000000000006</v>
          </cell>
          <cell r="H115">
            <v>702460</v>
          </cell>
          <cell r="I115">
            <v>955346</v>
          </cell>
        </row>
        <row r="116">
          <cell r="C116" t="str">
            <v>10.11</v>
          </cell>
          <cell r="D116" t="str">
            <v>SUMINISTRO E INSTALACIÓN DE VARILLA DE ACERO NTC 2289 GRADO 60</v>
          </cell>
          <cell r="E116" t="str">
            <v>KG</v>
          </cell>
          <cell r="G116">
            <v>74760.639999999999</v>
          </cell>
          <cell r="H116">
            <v>5536</v>
          </cell>
          <cell r="I116">
            <v>7529</v>
          </cell>
        </row>
        <row r="117">
          <cell r="C117" t="str">
            <v>10.12</v>
          </cell>
          <cell r="D117" t="str">
            <v>TUBERÍA PVC SANITARIA D=4" TIPO U.S. (INCLUYE SUMINISTRO E INSTALACIÓN)</v>
          </cell>
          <cell r="E117" t="str">
            <v>ML</v>
          </cell>
          <cell r="G117">
            <v>272.02999999999997</v>
          </cell>
          <cell r="H117">
            <v>31808</v>
          </cell>
          <cell r="I117">
            <v>43259</v>
          </cell>
        </row>
        <row r="118">
          <cell r="C118" t="str">
            <v>10.13</v>
          </cell>
          <cell r="D118" t="str">
            <v>CODO 90° CXE PVC SANITARIA D=4" (INCLUYE SUMINISTRO E INSTALACIÓN)</v>
          </cell>
          <cell r="E118" t="str">
            <v>UN</v>
          </cell>
          <cell r="G118">
            <v>163</v>
          </cell>
          <cell r="H118">
            <v>20789</v>
          </cell>
          <cell r="I118">
            <v>28273</v>
          </cell>
        </row>
        <row r="119">
          <cell r="C119" t="str">
            <v>10.14</v>
          </cell>
          <cell r="D119" t="str">
            <v>CONCRETO 1500 PSI (HECHO EN OBRA 1:3:5 CON ARENA Y GRAVILLA DE RÍO)</v>
          </cell>
          <cell r="E119" t="str">
            <v>M3</v>
          </cell>
          <cell r="G119">
            <v>35.880000000000003</v>
          </cell>
          <cell r="H119">
            <v>323343</v>
          </cell>
          <cell r="I119">
            <v>439746</v>
          </cell>
        </row>
        <row r="120">
          <cell r="G120">
            <v>0</v>
          </cell>
        </row>
        <row r="121">
          <cell r="C121" t="str">
            <v>10.16</v>
          </cell>
          <cell r="D121" t="str">
            <v>COMISIÓN TOPOGRÁFICA Y DIBUJANTE</v>
          </cell>
          <cell r="E121" t="str">
            <v>UN/MES</v>
          </cell>
          <cell r="G121">
            <v>0</v>
          </cell>
          <cell r="H121">
            <v>12575572</v>
          </cell>
          <cell r="I121">
            <v>17102778</v>
          </cell>
        </row>
        <row r="122">
          <cell r="C122" t="str">
            <v>10.17</v>
          </cell>
          <cell r="D122" t="str">
            <v>INSPECCIÓN DE REDES DE ALCANTARILLADO CON SISTEMAS CCTV PARA DIÁMETROS ENTRE 6" A 36"</v>
          </cell>
          <cell r="E122" t="str">
            <v>ML</v>
          </cell>
          <cell r="G122">
            <v>0</v>
          </cell>
          <cell r="H122">
            <v>10710</v>
          </cell>
          <cell r="I122">
            <v>14566</v>
          </cell>
        </row>
        <row r="123">
          <cell r="C123" t="str">
            <v>10.18</v>
          </cell>
          <cell r="D123" t="str">
            <v>LAVADO Y SONDEO DE REDES DE ALCANTARILLADO ENTRE 6" Y 18" DE DIÁMETRO Y CON GRADO DE COLMATACIÓN MENOR DEL 30%. INCL MANO DE OBRA IDÓNEA, SEÑALIZACIÓN BÁSICA, SUMIN DE COMBUSTIBLE Y AGUA. INCL. IVA</v>
          </cell>
          <cell r="E123" t="str">
            <v>ML</v>
          </cell>
          <cell r="G123">
            <v>0</v>
          </cell>
          <cell r="H123">
            <v>14875</v>
          </cell>
          <cell r="I123">
            <v>20230</v>
          </cell>
        </row>
        <row r="124">
          <cell r="G124">
            <v>0</v>
          </cell>
        </row>
        <row r="125">
          <cell r="C125" t="str">
            <v>10.20</v>
          </cell>
          <cell r="D125" t="str">
            <v>TRASIEGO DE MATERIAL DE EXCAVACIÓN DISTANCIA 45 ML INCLUYE CARGUE</v>
          </cell>
          <cell r="E125" t="str">
            <v>M3</v>
          </cell>
          <cell r="G125">
            <v>3164.01</v>
          </cell>
          <cell r="H125">
            <v>74731</v>
          </cell>
          <cell r="I125">
            <v>101634</v>
          </cell>
        </row>
      </sheetData>
      <sheetData sheetId="8"/>
      <sheetData sheetId="9"/>
      <sheetData sheetId="1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AAE6CE6-0DCF-6C45-B16B-72E7727AC57D}" name="tblComparativoIndexado" displayName="tblComparativoIndexado" ref="A8:M30" totalsRowShown="0" headerRowDxfId="17">
  <autoFilter ref="A8:M30" xr:uid="{F94F3A96-83DA-5F4B-9168-4382308EBD6F}"/>
  <tableColumns count="13">
    <tableColumn id="1" xr3:uid="{334E766C-D38A-924C-8DB9-9D31FC2A873B}" name="ACTIVIDAD ALPES" dataDxfId="16"/>
    <tableColumn id="2" xr3:uid="{0B0D937C-6E0C-0A4B-8B18-EB7FECF70D18}" name="NUMERAL ALPES" dataDxfId="15"/>
    <tableColumn id="3" xr3:uid="{9EDE2E1D-6381-5344-BAC4-1E4206A9A954}" name="UNIDAD ALPES" dataDxfId="14"/>
    <tableColumn id="4" xr3:uid="{4AABFAEE-DBD2-6B49-BF48-625238DF4FC8}" name="VALOR INDEXADO ALPES" dataDxfId="13"/>
    <tableColumn id="5" xr3:uid="{AD0606FA-D6A1-8147-8610-9C2DB4B44162}" name="ACTIVIDAD CARACOLÍ" dataDxfId="12"/>
    <tableColumn id="6" xr3:uid="{FF08F0C0-1C78-5B40-AA00-CCBCD54C887E}" name="NUMERAL CARACOLÍ" dataDxfId="11"/>
    <tableColumn id="7" xr3:uid="{B4E6F054-2F29-8F4F-825B-4DCDE2664071}" name="UNIDAD CARACOLÍ" dataDxfId="10"/>
    <tableColumn id="8" xr3:uid="{2FFC2627-EADB-874B-9F99-77673AA49C2B}" name="VALOR INDEXADO CARACOLÍ" dataDxfId="9"/>
    <tableColumn id="9" xr3:uid="{B14F96EB-F5A4-7547-91BB-27ECDD464DBA}" name="SIMILITUD %" dataDxfId="8"/>
    <tableColumn id="10" xr3:uid="{2EC0A5F4-FF8D-3B4B-A8C7-03A7885B0B95}" name="DIFERENCIA" dataDxfId="7">
      <calculatedColumnFormula>D9-H9</calculatedColumnFormula>
    </tableColumn>
    <tableColumn id="11" xr3:uid="{F93F4924-9465-754B-9351-9C2B7FDFCFD1}" name="VARIACIÓN %" dataDxfId="6">
      <calculatedColumnFormula>IF(H9=0,"",J9/H9)</calculatedColumnFormula>
    </tableColumn>
    <tableColumn id="12" xr3:uid="{7E1133B8-3017-4942-B951-9D9953FE13BF}" name="COMPARACIÓN" dataDxfId="5">
      <calculatedColumnFormula>IF(D9&gt;H9,"Alpes mayor",IF(D9&lt;H9,"Alpes menor","Iguales"))</calculatedColumnFormula>
    </tableColumn>
    <tableColumn id="13" xr3:uid="{C8716A15-8F99-9844-90AE-95F940769F28}" name="MENOR VALOR" dataDxfId="4">
      <calculatedColumnFormula>MIN(tblComparativoIndexado[[#This Row],[VALOR INDEXADO ALPES]],tblComparativoIndexado[[#This Row],[VALOR INDEXADO CARACOLÍ]])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9101C-B356-6C43-B37B-6B3476C921F3}">
  <sheetPr>
    <tabColor rgb="FF92D050"/>
    <outlinePr summaryBelow="0"/>
    <pageSetUpPr fitToPage="1"/>
  </sheetPr>
  <dimension ref="A2:K100"/>
  <sheetViews>
    <sheetView tabSelected="1" view="pageBreakPreview" topLeftCell="D71" zoomScale="69" zoomScaleNormal="75" workbookViewId="0">
      <selection activeCell="J96" sqref="J96"/>
    </sheetView>
  </sheetViews>
  <sheetFormatPr baseColWidth="10" defaultColWidth="11.5" defaultRowHeight="15" customHeight="1" outlineLevelRow="1" x14ac:dyDescent="0.2"/>
  <cols>
    <col min="1" max="1" width="9.1640625" style="1" customWidth="1"/>
    <col min="2" max="2" width="1.6640625" style="1" customWidth="1"/>
    <col min="3" max="3" width="7.5" style="3" customWidth="1"/>
    <col min="4" max="4" width="65.83203125" style="4" customWidth="1"/>
    <col min="5" max="5" width="8.83203125" style="3" customWidth="1"/>
    <col min="6" max="6" width="20.33203125" style="1" customWidth="1"/>
    <col min="7" max="7" width="19.1640625" style="386" customWidth="1"/>
    <col min="8" max="8" width="21" style="1" customWidth="1"/>
    <col min="9" max="9" width="1.33203125" style="1" customWidth="1"/>
    <col min="10" max="11" width="16.33203125" style="1" bestFit="1" customWidth="1"/>
    <col min="12" max="16384" width="11.5" style="1"/>
  </cols>
  <sheetData>
    <row r="2" spans="1:8" ht="68.5" customHeight="1" x14ac:dyDescent="0.2">
      <c r="C2" s="490"/>
      <c r="D2" s="491"/>
      <c r="E2" s="491"/>
      <c r="F2" s="491"/>
      <c r="G2" s="491"/>
      <c r="H2" s="492"/>
    </row>
    <row r="3" spans="1:8" ht="20.25" customHeight="1" x14ac:dyDescent="0.2">
      <c r="C3" s="493" t="s">
        <v>0</v>
      </c>
      <c r="D3" s="494"/>
      <c r="E3" s="494"/>
      <c r="F3" s="494"/>
      <c r="G3" s="494"/>
      <c r="H3" s="495"/>
    </row>
    <row r="4" spans="1:8" ht="41" customHeight="1" x14ac:dyDescent="0.2">
      <c r="C4" s="487" t="s">
        <v>714</v>
      </c>
      <c r="D4" s="494"/>
      <c r="E4" s="494"/>
      <c r="F4" s="494"/>
      <c r="G4" s="494"/>
      <c r="H4" s="495"/>
    </row>
    <row r="5" spans="1:8" ht="41.25" customHeight="1" x14ac:dyDescent="0.2">
      <c r="C5" s="487" t="s">
        <v>721</v>
      </c>
      <c r="D5" s="488"/>
      <c r="E5" s="488"/>
      <c r="F5" s="488"/>
      <c r="G5" s="488"/>
      <c r="H5" s="489"/>
    </row>
    <row r="6" spans="1:8" ht="24" customHeight="1" x14ac:dyDescent="0.2">
      <c r="C6" s="487" t="s">
        <v>715</v>
      </c>
      <c r="D6" s="488"/>
      <c r="E6" s="488"/>
      <c r="F6" s="488"/>
      <c r="G6" s="488"/>
      <c r="H6" s="489"/>
    </row>
    <row r="7" spans="1:8" ht="8" customHeight="1" thickBot="1" x14ac:dyDescent="0.25"/>
    <row r="8" spans="1:8" s="3" customFormat="1" ht="43.25" customHeight="1" x14ac:dyDescent="0.2">
      <c r="C8" s="470" t="s">
        <v>5</v>
      </c>
      <c r="D8" s="473" t="s">
        <v>6</v>
      </c>
      <c r="E8" s="476" t="s">
        <v>7</v>
      </c>
      <c r="F8" s="473" t="s">
        <v>8</v>
      </c>
      <c r="G8" s="479" t="s">
        <v>590</v>
      </c>
      <c r="H8" s="482" t="s">
        <v>9</v>
      </c>
    </row>
    <row r="9" spans="1:8" s="3" customFormat="1" ht="13" x14ac:dyDescent="0.2">
      <c r="A9" s="5"/>
      <c r="C9" s="471"/>
      <c r="D9" s="474"/>
      <c r="E9" s="477"/>
      <c r="F9" s="474"/>
      <c r="G9" s="480"/>
      <c r="H9" s="483"/>
    </row>
    <row r="10" spans="1:8" s="3" customFormat="1" ht="14" thickBot="1" x14ac:dyDescent="0.25">
      <c r="C10" s="472"/>
      <c r="D10" s="475"/>
      <c r="E10" s="478"/>
      <c r="F10" s="475"/>
      <c r="G10" s="481"/>
      <c r="H10" s="484"/>
    </row>
    <row r="11" spans="1:8" ht="21" customHeight="1" x14ac:dyDescent="0.2">
      <c r="C11" s="6"/>
      <c r="D11" s="7" t="s">
        <v>10</v>
      </c>
      <c r="E11" s="8"/>
      <c r="F11" s="9"/>
      <c r="G11" s="387"/>
      <c r="H11" s="10"/>
    </row>
    <row r="12" spans="1:8" ht="21" customHeight="1" x14ac:dyDescent="0.2">
      <c r="C12" s="27" t="s">
        <v>690</v>
      </c>
      <c r="D12" s="28" t="s">
        <v>11</v>
      </c>
      <c r="E12" s="29"/>
      <c r="F12" s="14"/>
      <c r="G12" s="388"/>
      <c r="H12" s="16">
        <f>+H13</f>
        <v>485215051</v>
      </c>
    </row>
    <row r="13" spans="1:8" ht="36" customHeight="1" outlineLevel="1" x14ac:dyDescent="0.2">
      <c r="A13" s="3"/>
      <c r="C13" s="17"/>
      <c r="D13" s="18" t="s">
        <v>691</v>
      </c>
      <c r="E13" s="19" t="s">
        <v>12</v>
      </c>
      <c r="F13" s="20">
        <v>1</v>
      </c>
      <c r="G13" s="389">
        <f>'E Y D PRESU ESTIMADO'!M61</f>
        <v>485215051</v>
      </c>
      <c r="H13" s="21">
        <f>F13*G13</f>
        <v>485215051</v>
      </c>
    </row>
    <row r="14" spans="1:8" ht="21" customHeight="1" x14ac:dyDescent="0.2">
      <c r="C14" s="345"/>
      <c r="D14" s="338" t="s">
        <v>13</v>
      </c>
      <c r="E14" s="337"/>
      <c r="F14" s="339"/>
      <c r="G14" s="390"/>
      <c r="H14" s="346"/>
    </row>
    <row r="15" spans="1:8" ht="21" customHeight="1" x14ac:dyDescent="0.2">
      <c r="C15" s="27">
        <v>1</v>
      </c>
      <c r="D15" s="28" t="s">
        <v>14</v>
      </c>
      <c r="E15" s="29"/>
      <c r="F15" s="14"/>
      <c r="G15" s="417"/>
      <c r="H15" s="418">
        <f>SUM(H16:H23)</f>
        <v>74578754</v>
      </c>
    </row>
    <row r="16" spans="1:8" ht="31" customHeight="1" outlineLevel="1" x14ac:dyDescent="0.2">
      <c r="A16" s="3"/>
      <c r="C16" s="17" t="s">
        <v>15</v>
      </c>
      <c r="D16" s="22" t="s">
        <v>16</v>
      </c>
      <c r="E16" s="23" t="s">
        <v>188</v>
      </c>
      <c r="F16" s="416">
        <f>'CANTIDADES VALOR INICIAL'!G9</f>
        <v>95.740000000000009</v>
      </c>
      <c r="G16" s="426">
        <f>ROUND(Comparativo!M9,0)</f>
        <v>824</v>
      </c>
      <c r="H16" s="421">
        <f t="shared" ref="H16:H23" si="0">ROUND(F16*G16,0)</f>
        <v>78890</v>
      </c>
    </row>
    <row r="17" spans="1:8" ht="42" outlineLevel="1" x14ac:dyDescent="0.2">
      <c r="A17" s="3"/>
      <c r="C17" s="17" t="s">
        <v>18</v>
      </c>
      <c r="D17" s="22" t="s">
        <v>609</v>
      </c>
      <c r="E17" s="23" t="s">
        <v>183</v>
      </c>
      <c r="F17" s="24">
        <f>'CANTIDADES VALOR INICIAL'!G11</f>
        <v>43.02</v>
      </c>
      <c r="G17" s="419">
        <f>ROUND(_xlfn.XLOOKUP(C17,'CANTIDADES VALOR INICIAL'!$C$9:$C$185,'CANTIDADES VALOR INICIAL'!$H$9:$H$185)*'INDEX ICOCIV'!$R$85,0)</f>
        <v>51176</v>
      </c>
      <c r="H17" s="420">
        <f t="shared" si="0"/>
        <v>2201592</v>
      </c>
    </row>
    <row r="18" spans="1:8" ht="42" outlineLevel="1" x14ac:dyDescent="0.2">
      <c r="C18" s="17" t="s">
        <v>21</v>
      </c>
      <c r="D18" s="22" t="s">
        <v>22</v>
      </c>
      <c r="E18" s="23" t="s">
        <v>183</v>
      </c>
      <c r="F18" s="24">
        <f>'CANTIDADES VALOR INICIAL'!G14</f>
        <v>29.13</v>
      </c>
      <c r="G18" s="391">
        <f>ROUND(_xlfn.XLOOKUP(C18,'CANTIDADES VALOR INICIAL'!$C$9:$C$185,'CANTIDADES VALOR INICIAL'!$H$9:$H$185)*'INDEX ICOCIV'!$R$85,0)</f>
        <v>258227</v>
      </c>
      <c r="H18" s="402">
        <f t="shared" si="0"/>
        <v>7522153</v>
      </c>
    </row>
    <row r="19" spans="1:8" ht="42" outlineLevel="1" x14ac:dyDescent="0.2">
      <c r="C19" s="17" t="s">
        <v>23</v>
      </c>
      <c r="D19" s="22" t="s">
        <v>613</v>
      </c>
      <c r="E19" s="23" t="s">
        <v>188</v>
      </c>
      <c r="F19" s="24">
        <f>'CANTIDADES VALOR INICIAL'!G15</f>
        <v>830.14</v>
      </c>
      <c r="G19" s="391">
        <f>ROUND(_xlfn.XLOOKUP(C19,'CANTIDADES VALOR INICIAL'!$C$9:$C$185,'CANTIDADES VALOR INICIAL'!$H$9:$H$185)*'INDEX ICOCIV'!$R$85,0)</f>
        <v>7116</v>
      </c>
      <c r="H19" s="402">
        <f t="shared" si="0"/>
        <v>5907276</v>
      </c>
    </row>
    <row r="20" spans="1:8" ht="28" outlineLevel="1" x14ac:dyDescent="0.2">
      <c r="C20" s="17" t="s">
        <v>24</v>
      </c>
      <c r="D20" s="22" t="s">
        <v>614</v>
      </c>
      <c r="E20" s="23" t="s">
        <v>183</v>
      </c>
      <c r="F20" s="24">
        <f>'CANTIDADES VALOR INICIAL'!G16</f>
        <v>1</v>
      </c>
      <c r="G20" s="392">
        <f>ROUND(_xlfn.XLOOKUP(C20,'CANTIDADES VALOR INICIAL'!$C$9:$C$185,'CANTIDADES VALOR INICIAL'!$H$9:$H$185)*'INDEX ICOCIV'!$R$85,0)</f>
        <v>166889</v>
      </c>
      <c r="H20" s="403">
        <f t="shared" si="0"/>
        <v>166889</v>
      </c>
    </row>
    <row r="21" spans="1:8" ht="23" customHeight="1" outlineLevel="1" x14ac:dyDescent="0.2">
      <c r="C21" s="17" t="s">
        <v>25</v>
      </c>
      <c r="D21" s="22" t="s">
        <v>615</v>
      </c>
      <c r="E21" s="23" t="s">
        <v>183</v>
      </c>
      <c r="F21" s="416">
        <f>'CANTIDADES VALOR INICIAL'!G17</f>
        <v>645.33969999999999</v>
      </c>
      <c r="G21" s="426">
        <f>ROUND(Comparativo!M10,0)</f>
        <v>6203</v>
      </c>
      <c r="H21" s="421">
        <f t="shared" si="0"/>
        <v>4003042</v>
      </c>
    </row>
    <row r="22" spans="1:8" ht="28" outlineLevel="1" x14ac:dyDescent="0.2">
      <c r="C22" s="17" t="s">
        <v>26</v>
      </c>
      <c r="D22" s="22" t="s">
        <v>27</v>
      </c>
      <c r="E22" s="23" t="s">
        <v>183</v>
      </c>
      <c r="F22" s="24">
        <f>'CANTIDADES VALOR INICIAL'!G18</f>
        <v>95.83</v>
      </c>
      <c r="G22" s="422">
        <f>ROUND(_xlfn.XLOOKUP(C22,'CANTIDADES VALOR INICIAL'!$C$9:$C$185,'CANTIDADES VALOR INICIAL'!$H$9:$H$185)*'INDEX ICOCIV'!$R$85,0)</f>
        <v>79702</v>
      </c>
      <c r="H22" s="423">
        <f t="shared" si="0"/>
        <v>7637843</v>
      </c>
    </row>
    <row r="23" spans="1:8" ht="56" outlineLevel="1" x14ac:dyDescent="0.2">
      <c r="C23" s="17" t="s">
        <v>30</v>
      </c>
      <c r="D23" s="22" t="s">
        <v>618</v>
      </c>
      <c r="E23" s="23" t="s">
        <v>183</v>
      </c>
      <c r="F23" s="416">
        <f>'CANTIDADES VALOR INICIAL'!G21</f>
        <v>1450.13</v>
      </c>
      <c r="G23" s="426">
        <f>ROUND(Comparativo!M11,0)</f>
        <v>32453</v>
      </c>
      <c r="H23" s="421">
        <f t="shared" si="0"/>
        <v>47061069</v>
      </c>
    </row>
    <row r="24" spans="1:8" ht="21" customHeight="1" x14ac:dyDescent="0.2">
      <c r="C24" s="27">
        <v>2</v>
      </c>
      <c r="D24" s="28" t="s">
        <v>31</v>
      </c>
      <c r="E24" s="29"/>
      <c r="F24" s="30"/>
      <c r="G24" s="424"/>
      <c r="H24" s="425">
        <f>SUM(H25:H36)</f>
        <v>414085293</v>
      </c>
    </row>
    <row r="25" spans="1:8" ht="37" customHeight="1" outlineLevel="1" x14ac:dyDescent="0.2">
      <c r="C25" s="17" t="s">
        <v>32</v>
      </c>
      <c r="D25" s="22" t="s">
        <v>33</v>
      </c>
      <c r="E25" s="23" t="s">
        <v>188</v>
      </c>
      <c r="F25" s="24">
        <f>'CANTIDADES VALOR INICIAL'!G23</f>
        <v>2002.3700000000001</v>
      </c>
      <c r="G25" s="391">
        <f>ROUND(_xlfn.XLOOKUP(C25,'CANTIDADES VALOR INICIAL'!$C$9:$C$185,'CANTIDADES VALOR INICIAL'!$H$9:$H$185)*'INDEX ICOCIV'!$R$85,0)</f>
        <v>1535</v>
      </c>
      <c r="H25" s="402">
        <f t="shared" ref="H25:H36" si="1">ROUND(F25*G25,0)</f>
        <v>3073638</v>
      </c>
    </row>
    <row r="26" spans="1:8" ht="42" outlineLevel="1" x14ac:dyDescent="0.2">
      <c r="C26" s="17" t="s">
        <v>34</v>
      </c>
      <c r="D26" s="22" t="s">
        <v>35</v>
      </c>
      <c r="E26" s="23" t="s">
        <v>183</v>
      </c>
      <c r="F26" s="24">
        <f>'CANTIDADES VALOR INICIAL'!G24</f>
        <v>601.29000000000008</v>
      </c>
      <c r="G26" s="391">
        <f>ROUND(_xlfn.XLOOKUP(C26,'CANTIDADES VALOR INICIAL'!$C$9:$C$185,'CANTIDADES VALOR INICIAL'!$H$9:$H$185)*'INDEX ICOCIV'!$R$85,0)</f>
        <v>112382</v>
      </c>
      <c r="H26" s="402">
        <f t="shared" si="1"/>
        <v>67574173</v>
      </c>
    </row>
    <row r="27" spans="1:8" ht="42" outlineLevel="1" x14ac:dyDescent="0.2">
      <c r="C27" s="17" t="s">
        <v>37</v>
      </c>
      <c r="D27" s="22" t="s">
        <v>620</v>
      </c>
      <c r="E27" s="23" t="s">
        <v>183</v>
      </c>
      <c r="F27" s="24">
        <f>'CANTIDADES VALOR INICIAL'!G26</f>
        <v>382.35</v>
      </c>
      <c r="G27" s="391">
        <f>ROUND(_xlfn.XLOOKUP(C27,'CANTIDADES VALOR INICIAL'!$C$9:$C$185,'CANTIDADES VALOR INICIAL'!$H$9:$H$185)*'INDEX ICOCIV'!$R$85,0)</f>
        <v>163202</v>
      </c>
      <c r="H27" s="402">
        <f t="shared" si="1"/>
        <v>62400285</v>
      </c>
    </row>
    <row r="28" spans="1:8" ht="28" outlineLevel="1" x14ac:dyDescent="0.2">
      <c r="C28" s="17" t="s">
        <v>38</v>
      </c>
      <c r="D28" s="22" t="s">
        <v>621</v>
      </c>
      <c r="E28" s="23" t="s">
        <v>188</v>
      </c>
      <c r="F28" s="24">
        <f>'CANTIDADES VALOR INICIAL'!G27</f>
        <v>49</v>
      </c>
      <c r="G28" s="391">
        <f>ROUND(_xlfn.XLOOKUP(C28,'CANTIDADES VALOR INICIAL'!$C$9:$C$185,'CANTIDADES VALOR INICIAL'!$H$9:$H$185)*'INDEX ICOCIV'!$R$85,0)</f>
        <v>3056</v>
      </c>
      <c r="H28" s="402">
        <f t="shared" si="1"/>
        <v>149744</v>
      </c>
    </row>
    <row r="29" spans="1:8" ht="56" outlineLevel="1" x14ac:dyDescent="0.2">
      <c r="C29" s="17" t="s">
        <v>39</v>
      </c>
      <c r="D29" s="22" t="s">
        <v>622</v>
      </c>
      <c r="E29" s="23" t="s">
        <v>183</v>
      </c>
      <c r="F29" s="24">
        <f>'CANTIDADES VALOR INICIAL'!G28</f>
        <v>15.35</v>
      </c>
      <c r="G29" s="391">
        <f>ROUND(_xlfn.XLOOKUP(C29,'CANTIDADES VALOR INICIAL'!$C$9:$C$185,'CANTIDADES VALOR INICIAL'!$H$9:$H$185)*'INDEX ICOCIV'!$R$85,0)</f>
        <v>812380</v>
      </c>
      <c r="H29" s="402">
        <f t="shared" si="1"/>
        <v>12470033</v>
      </c>
    </row>
    <row r="30" spans="1:8" ht="42" outlineLevel="1" x14ac:dyDescent="0.2">
      <c r="C30" s="17" t="s">
        <v>40</v>
      </c>
      <c r="D30" s="22" t="s">
        <v>623</v>
      </c>
      <c r="E30" s="23" t="s">
        <v>183</v>
      </c>
      <c r="F30" s="24">
        <f>'CANTIDADES VALOR INICIAL'!G29</f>
        <v>305.07000000000005</v>
      </c>
      <c r="G30" s="392">
        <f>ROUND(_xlfn.XLOOKUP(C30,'CANTIDADES VALOR INICIAL'!$C$9:$C$185,'CANTIDADES VALOR INICIAL'!$H$9:$H$185)*'INDEX ICOCIV'!$R$85,0)</f>
        <v>672560</v>
      </c>
      <c r="H30" s="403">
        <f t="shared" si="1"/>
        <v>205177879</v>
      </c>
    </row>
    <row r="31" spans="1:8" ht="26" customHeight="1" outlineLevel="1" x14ac:dyDescent="0.2">
      <c r="C31" s="17" t="s">
        <v>41</v>
      </c>
      <c r="D31" s="22" t="s">
        <v>624</v>
      </c>
      <c r="E31" s="23" t="s">
        <v>188</v>
      </c>
      <c r="F31" s="416">
        <f>'CANTIDADES VALOR INICIAL'!G30</f>
        <v>945.06</v>
      </c>
      <c r="G31" s="426">
        <f>ROUND(Comparativo!M12,0)</f>
        <v>2038</v>
      </c>
      <c r="H31" s="421">
        <f t="shared" si="1"/>
        <v>1926032</v>
      </c>
    </row>
    <row r="32" spans="1:8" ht="28" outlineLevel="1" x14ac:dyDescent="0.2">
      <c r="C32" s="17" t="s">
        <v>42</v>
      </c>
      <c r="D32" s="22" t="s">
        <v>43</v>
      </c>
      <c r="E32" s="23" t="s">
        <v>611</v>
      </c>
      <c r="F32" s="24">
        <f>'CANTIDADES VALOR INICIAL'!G31</f>
        <v>1053.46</v>
      </c>
      <c r="G32" s="419">
        <f>ROUND(_xlfn.XLOOKUP(C32,'CANTIDADES VALOR INICIAL'!$C$9:$C$185,'CANTIDADES VALOR INICIAL'!$H$9:$H$185)*'INDEX ICOCIV'!$R$85,0)</f>
        <v>6334</v>
      </c>
      <c r="H32" s="420">
        <f t="shared" si="1"/>
        <v>6672616</v>
      </c>
    </row>
    <row r="33" spans="3:8" ht="28" outlineLevel="1" x14ac:dyDescent="0.2">
      <c r="C33" s="17" t="s">
        <v>44</v>
      </c>
      <c r="D33" s="22" t="s">
        <v>625</v>
      </c>
      <c r="E33" s="23" t="s">
        <v>611</v>
      </c>
      <c r="F33" s="24">
        <f>'CANTIDADES VALOR INICIAL'!G32</f>
        <v>1111.02</v>
      </c>
      <c r="G33" s="391">
        <f>ROUND(_xlfn.XLOOKUP(C33,'CANTIDADES VALOR INICIAL'!$C$9:$C$185,'CANTIDADES VALOR INICIAL'!$H$9:$H$185)*'INDEX ICOCIV'!$R$85,0)</f>
        <v>11880</v>
      </c>
      <c r="H33" s="402">
        <f t="shared" si="1"/>
        <v>13198918</v>
      </c>
    </row>
    <row r="34" spans="3:8" ht="70" outlineLevel="1" x14ac:dyDescent="0.2">
      <c r="C34" s="17" t="s">
        <v>45</v>
      </c>
      <c r="D34" s="22" t="s">
        <v>46</v>
      </c>
      <c r="E34" s="23" t="s">
        <v>188</v>
      </c>
      <c r="F34" s="24">
        <f>'CANTIDADES VALOR INICIAL'!G33</f>
        <v>157</v>
      </c>
      <c r="G34" s="391">
        <f>ROUND(_xlfn.XLOOKUP(C34,'CANTIDADES VALOR INICIAL'!$C$9:$C$185,'CANTIDADES VALOR INICIAL'!$H$9:$H$185)*'INDEX ICOCIV'!$R$85,0)</f>
        <v>48279</v>
      </c>
      <c r="H34" s="402">
        <f t="shared" si="1"/>
        <v>7579803</v>
      </c>
    </row>
    <row r="35" spans="3:8" ht="27" customHeight="1" outlineLevel="1" x14ac:dyDescent="0.2">
      <c r="C35" s="17" t="s">
        <v>48</v>
      </c>
      <c r="D35" s="22" t="s">
        <v>628</v>
      </c>
      <c r="E35" s="23" t="s">
        <v>627</v>
      </c>
      <c r="F35" s="24">
        <f>'CANTIDADES VALOR INICIAL'!G35</f>
        <v>1160.81</v>
      </c>
      <c r="G35" s="391">
        <f>ROUND(_xlfn.XLOOKUP(C35,'CANTIDADES VALOR INICIAL'!$C$9:$C$185,'CANTIDADES VALOR INICIAL'!$H$9:$H$185)*'INDEX ICOCIV'!$R$85,0)</f>
        <v>6989</v>
      </c>
      <c r="H35" s="402">
        <f t="shared" si="1"/>
        <v>8112901</v>
      </c>
    </row>
    <row r="36" spans="3:8" ht="28" outlineLevel="1" x14ac:dyDescent="0.2">
      <c r="C36" s="17" t="s">
        <v>49</v>
      </c>
      <c r="D36" s="22" t="s">
        <v>629</v>
      </c>
      <c r="E36" s="23" t="s">
        <v>188</v>
      </c>
      <c r="F36" s="24">
        <f>'CANTIDADES VALOR INICIAL'!G36</f>
        <v>2777.1000000000004</v>
      </c>
      <c r="G36" s="391">
        <f>ROUND(_xlfn.XLOOKUP(C36,'CANTIDADES VALOR INICIAL'!$C$9:$C$185,'CANTIDADES VALOR INICIAL'!$H$9:$H$185)*'INDEX ICOCIV'!$R$85,0)</f>
        <v>9272</v>
      </c>
      <c r="H36" s="402">
        <f t="shared" si="1"/>
        <v>25749271</v>
      </c>
    </row>
    <row r="37" spans="3:8" ht="21" customHeight="1" x14ac:dyDescent="0.2">
      <c r="C37" s="27">
        <v>3</v>
      </c>
      <c r="D37" s="28" t="s">
        <v>50</v>
      </c>
      <c r="E37" s="29"/>
      <c r="F37" s="30"/>
      <c r="G37" s="388"/>
      <c r="H37" s="16">
        <f>SUM(H38:H47)</f>
        <v>334509767</v>
      </c>
    </row>
    <row r="38" spans="3:8" ht="28" outlineLevel="1" x14ac:dyDescent="0.2">
      <c r="C38" s="17" t="s">
        <v>51</v>
      </c>
      <c r="D38" s="22" t="s">
        <v>630</v>
      </c>
      <c r="E38" s="23" t="s">
        <v>611</v>
      </c>
      <c r="F38" s="24">
        <f>'CANTIDADES VALOR INICIAL'!G38</f>
        <v>305.76</v>
      </c>
      <c r="G38" s="391">
        <f>ROUND(_xlfn.XLOOKUP(C38,'CANTIDADES VALOR INICIAL'!$C$9:$C$185,'CANTIDADES VALOR INICIAL'!$H$9:$H$185)*'INDEX ICOCIV'!$R$85,0)</f>
        <v>62500</v>
      </c>
      <c r="H38" s="402">
        <f t="shared" ref="H38:H47" si="2">ROUND(F38*G38,0)</f>
        <v>19110000</v>
      </c>
    </row>
    <row r="39" spans="3:8" ht="28" outlineLevel="1" x14ac:dyDescent="0.2">
      <c r="C39" s="17" t="s">
        <v>52</v>
      </c>
      <c r="D39" s="22" t="s">
        <v>631</v>
      </c>
      <c r="E39" s="23" t="s">
        <v>611</v>
      </c>
      <c r="F39" s="24">
        <f>'CANTIDADES VALOR INICIAL'!G39</f>
        <v>193.93</v>
      </c>
      <c r="G39" s="391">
        <f>ROUND(_xlfn.XLOOKUP(C39,'CANTIDADES VALOR INICIAL'!$C$9:$C$185,'CANTIDADES VALOR INICIAL'!$H$9:$H$185)*'INDEX ICOCIV'!$R$85,0)</f>
        <v>60804</v>
      </c>
      <c r="H39" s="402">
        <f t="shared" si="2"/>
        <v>11791720</v>
      </c>
    </row>
    <row r="40" spans="3:8" ht="42" outlineLevel="1" x14ac:dyDescent="0.2">
      <c r="C40" s="17" t="s">
        <v>56</v>
      </c>
      <c r="D40" s="22" t="s">
        <v>57</v>
      </c>
      <c r="E40" s="23" t="s">
        <v>188</v>
      </c>
      <c r="F40" s="24">
        <f>'CANTIDADES VALOR INICIAL'!G42</f>
        <v>45.2</v>
      </c>
      <c r="G40" s="391">
        <f>ROUND(_xlfn.XLOOKUP(C40,'CANTIDADES VALOR INICIAL'!$C$9:$C$185,'CANTIDADES VALOR INICIAL'!$H$9:$H$185)*'INDEX ICOCIV'!$R$85,0)</f>
        <v>93052</v>
      </c>
      <c r="H40" s="402">
        <f t="shared" si="2"/>
        <v>4205950</v>
      </c>
    </row>
    <row r="41" spans="3:8" ht="26" customHeight="1" outlineLevel="1" x14ac:dyDescent="0.2">
      <c r="C41" s="17" t="s">
        <v>58</v>
      </c>
      <c r="D41" s="22" t="s">
        <v>59</v>
      </c>
      <c r="E41" s="23" t="s">
        <v>188</v>
      </c>
      <c r="F41" s="24">
        <f>'CANTIDADES VALOR INICIAL'!G43</f>
        <v>48.980000000000004</v>
      </c>
      <c r="G41" s="391">
        <f>ROUND(_xlfn.XLOOKUP(C41,'CANTIDADES VALOR INICIAL'!$C$9:$C$185,'CANTIDADES VALOR INICIAL'!$H$9:$H$185)*'INDEX ICOCIV'!$R$85,0)</f>
        <v>95061</v>
      </c>
      <c r="H41" s="402">
        <f t="shared" si="2"/>
        <v>4656088</v>
      </c>
    </row>
    <row r="42" spans="3:8" ht="28" outlineLevel="1" x14ac:dyDescent="0.2">
      <c r="C42" s="17" t="s">
        <v>60</v>
      </c>
      <c r="D42" s="22" t="s">
        <v>633</v>
      </c>
      <c r="E42" s="23" t="s">
        <v>188</v>
      </c>
      <c r="F42" s="24">
        <f>'CANTIDADES VALOR INICIAL'!G44</f>
        <v>1251.2</v>
      </c>
      <c r="G42" s="391">
        <f>ROUND(_xlfn.XLOOKUP(C42,'CANTIDADES VALOR INICIAL'!$C$9:$C$185,'CANTIDADES VALOR INICIAL'!$H$9:$H$185)*'INDEX ICOCIV'!$R$85,0)</f>
        <v>92393</v>
      </c>
      <c r="H42" s="402">
        <f t="shared" si="2"/>
        <v>115602122</v>
      </c>
    </row>
    <row r="43" spans="3:8" ht="42" outlineLevel="1" x14ac:dyDescent="0.2">
      <c r="C43" s="17" t="s">
        <v>61</v>
      </c>
      <c r="D43" s="22" t="s">
        <v>62</v>
      </c>
      <c r="E43" s="23" t="s">
        <v>183</v>
      </c>
      <c r="F43" s="24">
        <f>'CANTIDADES VALOR INICIAL'!G45</f>
        <v>97.95</v>
      </c>
      <c r="G43" s="391">
        <f>ROUND(_xlfn.XLOOKUP(C43,'CANTIDADES VALOR INICIAL'!$C$9:$C$185,'CANTIDADES VALOR INICIAL'!$H$9:$H$185)*'INDEX ICOCIV'!$R$85,0)</f>
        <v>794846</v>
      </c>
      <c r="H43" s="402">
        <f t="shared" si="2"/>
        <v>77855166</v>
      </c>
    </row>
    <row r="44" spans="3:8" ht="22" customHeight="1" outlineLevel="1" x14ac:dyDescent="0.2">
      <c r="C44" s="17" t="s">
        <v>63</v>
      </c>
      <c r="D44" s="22" t="s">
        <v>626</v>
      </c>
      <c r="E44" s="23" t="s">
        <v>627</v>
      </c>
      <c r="F44" s="24">
        <f>'CANTIDADES VALOR INICIAL'!G46</f>
        <v>4382.75</v>
      </c>
      <c r="G44" s="391">
        <f>ROUND(_xlfn.XLOOKUP(C44,'CANTIDADES VALOR INICIAL'!$C$9:$C$185,'CANTIDADES VALOR INICIAL'!$H$9:$H$185)*'INDEX ICOCIV'!$R$85,0)</f>
        <v>7176</v>
      </c>
      <c r="H44" s="402">
        <f t="shared" si="2"/>
        <v>31450614</v>
      </c>
    </row>
    <row r="45" spans="3:8" ht="27" customHeight="1" outlineLevel="1" x14ac:dyDescent="0.2">
      <c r="C45" s="17" t="s">
        <v>64</v>
      </c>
      <c r="D45" s="22" t="s">
        <v>65</v>
      </c>
      <c r="E45" s="23" t="s">
        <v>188</v>
      </c>
      <c r="F45" s="24">
        <f>'CANTIDADES VALOR INICIAL'!G47</f>
        <v>355.61</v>
      </c>
      <c r="G45" s="391">
        <f>ROUND(_xlfn.XLOOKUP(C45,'CANTIDADES VALOR INICIAL'!$C$9:$C$185,'CANTIDADES VALOR INICIAL'!$H$9:$H$185)*'INDEX ICOCIV'!$R$85,0)</f>
        <v>99707</v>
      </c>
      <c r="H45" s="402">
        <f t="shared" si="2"/>
        <v>35456806</v>
      </c>
    </row>
    <row r="46" spans="3:8" ht="28" outlineLevel="1" x14ac:dyDescent="0.2">
      <c r="C46" s="17" t="s">
        <v>66</v>
      </c>
      <c r="D46" s="22" t="s">
        <v>634</v>
      </c>
      <c r="E46" s="23" t="s">
        <v>611</v>
      </c>
      <c r="F46" s="24">
        <f>'CANTIDADES VALOR INICIAL'!G48</f>
        <v>1692.6</v>
      </c>
      <c r="G46" s="391">
        <f>ROUND(_xlfn.XLOOKUP(C46,'CANTIDADES VALOR INICIAL'!$C$9:$C$185,'CANTIDADES VALOR INICIAL'!$H$9:$H$185)*'INDEX ICOCIV'!$R$85,0)</f>
        <v>13698</v>
      </c>
      <c r="H46" s="402">
        <f t="shared" si="2"/>
        <v>23185235</v>
      </c>
    </row>
    <row r="47" spans="3:8" ht="28" outlineLevel="1" x14ac:dyDescent="0.2">
      <c r="C47" s="17" t="s">
        <v>70</v>
      </c>
      <c r="D47" s="455" t="s">
        <v>638</v>
      </c>
      <c r="E47" s="456" t="s">
        <v>627</v>
      </c>
      <c r="F47" s="457">
        <f>'CANTIDADES VALOR INICIAL'!G52</f>
        <v>2660.03</v>
      </c>
      <c r="G47" s="458">
        <f>ROUND(Comparativo!M30,0)</f>
        <v>4209</v>
      </c>
      <c r="H47" s="459">
        <f t="shared" si="2"/>
        <v>11196066</v>
      </c>
    </row>
    <row r="48" spans="3:8" ht="21" customHeight="1" x14ac:dyDescent="0.2">
      <c r="C48" s="27">
        <v>4</v>
      </c>
      <c r="D48" s="28" t="s">
        <v>71</v>
      </c>
      <c r="E48" s="29"/>
      <c r="F48" s="30"/>
      <c r="G48" s="424"/>
      <c r="H48" s="425">
        <f>SUM(H49:H56)</f>
        <v>846887300</v>
      </c>
    </row>
    <row r="49" spans="3:8" ht="84" outlineLevel="1" x14ac:dyDescent="0.2">
      <c r="C49" s="17" t="s">
        <v>72</v>
      </c>
      <c r="D49" s="22" t="s">
        <v>639</v>
      </c>
      <c r="E49" s="23" t="s">
        <v>611</v>
      </c>
      <c r="F49" s="24">
        <f>'CANTIDADES VALOR INICIAL'!G54</f>
        <v>33.9</v>
      </c>
      <c r="G49" s="391">
        <f>ROUND(_xlfn.XLOOKUP(C49,'CANTIDADES VALOR INICIAL'!$C$9:$C$185,'CANTIDADES VALOR INICIAL'!$H$9:$H$185)*'INDEX ICOCIV'!$R$85,0)</f>
        <v>2339985</v>
      </c>
      <c r="H49" s="402">
        <f t="shared" ref="H49:H56" si="3">ROUND(F49*G49,0)</f>
        <v>79325492</v>
      </c>
    </row>
    <row r="50" spans="3:8" ht="84" outlineLevel="1" x14ac:dyDescent="0.2">
      <c r="C50" s="17" t="s">
        <v>73</v>
      </c>
      <c r="D50" s="22" t="s">
        <v>640</v>
      </c>
      <c r="E50" s="23" t="s">
        <v>611</v>
      </c>
      <c r="F50" s="24">
        <f>'CANTIDADES VALOR INICIAL'!G55</f>
        <v>50.5</v>
      </c>
      <c r="G50" s="391">
        <f>ROUND(_xlfn.XLOOKUP(C50,'CANTIDADES VALOR INICIAL'!$C$9:$C$185,'CANTIDADES VALOR INICIAL'!$H$9:$H$185)*'INDEX ICOCIV'!$R$85,0)</f>
        <v>1861615</v>
      </c>
      <c r="H50" s="402">
        <f t="shared" si="3"/>
        <v>94011558</v>
      </c>
    </row>
    <row r="51" spans="3:8" ht="84" outlineLevel="1" x14ac:dyDescent="0.2">
      <c r="C51" s="17" t="s">
        <v>74</v>
      </c>
      <c r="D51" s="22" t="s">
        <v>641</v>
      </c>
      <c r="E51" s="23" t="s">
        <v>611</v>
      </c>
      <c r="F51" s="24">
        <f>'CANTIDADES VALOR INICIAL'!G56</f>
        <v>137.19999999999999</v>
      </c>
      <c r="G51" s="391">
        <f>ROUND(_xlfn.XLOOKUP(C51,'CANTIDADES VALOR INICIAL'!$C$9:$C$185,'CANTIDADES VALOR INICIAL'!$H$9:$H$185)*'INDEX ICOCIV'!$R$85,0)</f>
        <v>1515836</v>
      </c>
      <c r="H51" s="402">
        <f t="shared" si="3"/>
        <v>207972699</v>
      </c>
    </row>
    <row r="52" spans="3:8" ht="76.25" customHeight="1" outlineLevel="1" x14ac:dyDescent="0.2">
      <c r="C52" s="17" t="s">
        <v>75</v>
      </c>
      <c r="D52" s="22" t="s">
        <v>642</v>
      </c>
      <c r="E52" s="23" t="s">
        <v>611</v>
      </c>
      <c r="F52" s="24">
        <f>'CANTIDADES VALOR INICIAL'!G57</f>
        <v>249.07999999999998</v>
      </c>
      <c r="G52" s="391">
        <f>ROUND(_xlfn.XLOOKUP(C52,'CANTIDADES VALOR INICIAL'!$C$9:$C$185,'CANTIDADES VALOR INICIAL'!$H$9:$H$185)*'INDEX ICOCIV'!$R$85,0)</f>
        <v>1147638</v>
      </c>
      <c r="H52" s="402">
        <f t="shared" si="3"/>
        <v>285853673</v>
      </c>
    </row>
    <row r="53" spans="3:8" ht="70" outlineLevel="1" x14ac:dyDescent="0.2">
      <c r="C53" s="17" t="s">
        <v>76</v>
      </c>
      <c r="D53" s="22" t="s">
        <v>643</v>
      </c>
      <c r="E53" s="23" t="s">
        <v>611</v>
      </c>
      <c r="F53" s="24">
        <f>'CANTIDADES VALOR INICIAL'!G58</f>
        <v>75.599999999999994</v>
      </c>
      <c r="G53" s="391">
        <f>ROUND(_xlfn.XLOOKUP(C53,'CANTIDADES VALOR INICIAL'!$C$9:$C$185,'CANTIDADES VALOR INICIAL'!$H$9:$H$185)*'INDEX ICOCIV'!$R$85,0)</f>
        <v>686289</v>
      </c>
      <c r="H53" s="402">
        <f t="shared" si="3"/>
        <v>51883448</v>
      </c>
    </row>
    <row r="54" spans="3:8" ht="70" outlineLevel="1" x14ac:dyDescent="0.2">
      <c r="C54" s="17" t="s">
        <v>77</v>
      </c>
      <c r="D54" s="22" t="s">
        <v>644</v>
      </c>
      <c r="E54" s="23" t="s">
        <v>611</v>
      </c>
      <c r="F54" s="24">
        <f>'CANTIDADES VALOR INICIAL'!G59</f>
        <v>109.8</v>
      </c>
      <c r="G54" s="391">
        <f>ROUND(_xlfn.XLOOKUP(C54,'CANTIDADES VALOR INICIAL'!$C$9:$C$185,'CANTIDADES VALOR INICIAL'!$H$9:$H$185)*'INDEX ICOCIV'!$R$85,0)</f>
        <v>662219</v>
      </c>
      <c r="H54" s="402">
        <f t="shared" si="3"/>
        <v>72711646</v>
      </c>
    </row>
    <row r="55" spans="3:8" ht="70" outlineLevel="1" x14ac:dyDescent="0.2">
      <c r="C55" s="17" t="s">
        <v>78</v>
      </c>
      <c r="D55" s="22" t="s">
        <v>645</v>
      </c>
      <c r="E55" s="23" t="s">
        <v>611</v>
      </c>
      <c r="F55" s="24">
        <f>'CANTIDADES VALOR INICIAL'!G60</f>
        <v>93</v>
      </c>
      <c r="G55" s="391">
        <f>ROUND(_xlfn.XLOOKUP(C55,'CANTIDADES VALOR INICIAL'!$C$9:$C$185,'CANTIDADES VALOR INICIAL'!$H$9:$H$185)*'INDEX ICOCIV'!$R$85,0)</f>
        <v>503543</v>
      </c>
      <c r="H55" s="402">
        <f t="shared" si="3"/>
        <v>46829499</v>
      </c>
    </row>
    <row r="56" spans="3:8" ht="70" outlineLevel="1" x14ac:dyDescent="0.2">
      <c r="C56" s="17" t="s">
        <v>79</v>
      </c>
      <c r="D56" s="22" t="s">
        <v>646</v>
      </c>
      <c r="E56" s="23" t="s">
        <v>611</v>
      </c>
      <c r="F56" s="24">
        <f>'CANTIDADES VALOR INICIAL'!G61</f>
        <v>18.5</v>
      </c>
      <c r="G56" s="391">
        <f>ROUND(_xlfn.XLOOKUP(C56,'CANTIDADES VALOR INICIAL'!$C$9:$C$185,'CANTIDADES VALOR INICIAL'!$H$9:$H$185)*'INDEX ICOCIV'!$R$85,0)</f>
        <v>448610</v>
      </c>
      <c r="H56" s="402">
        <f t="shared" si="3"/>
        <v>8299285</v>
      </c>
    </row>
    <row r="57" spans="3:8" ht="21" customHeight="1" x14ac:dyDescent="0.2">
      <c r="C57" s="27">
        <v>5</v>
      </c>
      <c r="D57" s="28" t="s">
        <v>88</v>
      </c>
      <c r="E57" s="29"/>
      <c r="F57" s="14"/>
      <c r="G57" s="388"/>
      <c r="H57" s="16">
        <f>SUM(H58:H62)</f>
        <v>244409923</v>
      </c>
    </row>
    <row r="58" spans="3:8" ht="32" customHeight="1" outlineLevel="1" x14ac:dyDescent="0.2">
      <c r="C58" s="17" t="s">
        <v>89</v>
      </c>
      <c r="D58" s="22" t="s">
        <v>652</v>
      </c>
      <c r="E58" s="23" t="s">
        <v>611</v>
      </c>
      <c r="F58" s="24">
        <f>'CANTIDADES VALOR INICIAL'!G70</f>
        <v>819.4</v>
      </c>
      <c r="G58" s="392">
        <f>ROUND(_xlfn.XLOOKUP(C58,'CANTIDADES VALOR INICIAL'!$C$9:$C$185,'CANTIDADES VALOR INICIAL'!$H$9:$H$185)*'INDEX ICOCIV'!$R$85,0)</f>
        <v>296744</v>
      </c>
      <c r="H58" s="403">
        <f>ROUND(F58*G58,0)</f>
        <v>243152034</v>
      </c>
    </row>
    <row r="59" spans="3:8" ht="28" outlineLevel="1" x14ac:dyDescent="0.2">
      <c r="C59" s="17" t="s">
        <v>90</v>
      </c>
      <c r="D59" s="22" t="s">
        <v>91</v>
      </c>
      <c r="E59" s="23" t="s">
        <v>176</v>
      </c>
      <c r="F59" s="416">
        <f>'CANTIDADES VALOR INICIAL'!G71</f>
        <v>1</v>
      </c>
      <c r="G59" s="426">
        <f>ROUND(Comparativo!M28,0)</f>
        <v>195549</v>
      </c>
      <c r="H59" s="421">
        <f>ROUND(F59*G59,0)</f>
        <v>195549</v>
      </c>
    </row>
    <row r="60" spans="3:8" ht="42" outlineLevel="1" x14ac:dyDescent="0.2">
      <c r="C60" s="17" t="s">
        <v>93</v>
      </c>
      <c r="D60" s="22" t="s">
        <v>94</v>
      </c>
      <c r="E60" s="23" t="s">
        <v>176</v>
      </c>
      <c r="F60" s="24">
        <f>'CANTIDADES VALOR INICIAL'!G73</f>
        <v>1</v>
      </c>
      <c r="G60" s="422">
        <f>ROUND(_xlfn.XLOOKUP(C60,'CANTIDADES VALOR INICIAL'!$C$9:$C$185,'CANTIDADES VALOR INICIAL'!$H$9:$H$185)*'INDEX ICOCIV'!$R$85,0)</f>
        <v>719546</v>
      </c>
      <c r="H60" s="423">
        <f>ROUND(F60*G60,0)</f>
        <v>719546</v>
      </c>
    </row>
    <row r="61" spans="3:8" ht="28" outlineLevel="1" x14ac:dyDescent="0.2">
      <c r="C61" s="17" t="s">
        <v>99</v>
      </c>
      <c r="D61" s="22" t="s">
        <v>100</v>
      </c>
      <c r="E61" s="23" t="s">
        <v>183</v>
      </c>
      <c r="F61" s="416">
        <f>'CANTIDADES VALOR INICIAL'!G76</f>
        <v>1</v>
      </c>
      <c r="G61" s="426">
        <f>ROUND(Comparativo!M13,0)</f>
        <v>44094</v>
      </c>
      <c r="H61" s="421">
        <f>ROUND(F61*G61,0)</f>
        <v>44094</v>
      </c>
    </row>
    <row r="62" spans="3:8" ht="26" customHeight="1" outlineLevel="1" x14ac:dyDescent="0.2">
      <c r="C62" s="17" t="s">
        <v>105</v>
      </c>
      <c r="D62" s="22" t="s">
        <v>106</v>
      </c>
      <c r="E62" s="23" t="s">
        <v>188</v>
      </c>
      <c r="F62" s="24">
        <f>'CANTIDADES VALOR INICIAL'!G80</f>
        <v>5</v>
      </c>
      <c r="G62" s="419">
        <f>ROUND(_xlfn.XLOOKUP(C62,'CANTIDADES VALOR INICIAL'!$C$9:$C$185,'CANTIDADES VALOR INICIAL'!$H$9:$H$185)*'INDEX ICOCIV'!$R$85,0)</f>
        <v>59740</v>
      </c>
      <c r="H62" s="420">
        <f>ROUND(F62*G62,0)</f>
        <v>298700</v>
      </c>
    </row>
    <row r="63" spans="3:8" ht="21" customHeight="1" x14ac:dyDescent="0.2">
      <c r="C63" s="27">
        <v>6</v>
      </c>
      <c r="D63" s="28" t="s">
        <v>107</v>
      </c>
      <c r="E63" s="29"/>
      <c r="F63" s="14"/>
      <c r="G63" s="388"/>
      <c r="H63" s="16">
        <f>SUM(H64:H73)</f>
        <v>174507912</v>
      </c>
    </row>
    <row r="64" spans="3:8" ht="28" outlineLevel="1" x14ac:dyDescent="0.2">
      <c r="C64" s="17" t="s">
        <v>108</v>
      </c>
      <c r="D64" s="22" t="s">
        <v>656</v>
      </c>
      <c r="E64" s="23" t="s">
        <v>176</v>
      </c>
      <c r="F64" s="24">
        <f>'CANTIDADES VALOR INICIAL'!G82</f>
        <v>44.599999999999994</v>
      </c>
      <c r="G64" s="391">
        <f>ROUND(_xlfn.XLOOKUP(C64,'CANTIDADES VALOR INICIAL'!$C$9:$C$185,'CANTIDADES VALOR INICIAL'!$H$9:$H$185)*'INDEX ICOCIV'!$R$85,0)</f>
        <v>450928</v>
      </c>
      <c r="H64" s="402">
        <f t="shared" ref="H64:H73" si="4">ROUND(F64*G64,0)</f>
        <v>20111389</v>
      </c>
    </row>
    <row r="65" spans="3:8" ht="56" outlineLevel="1" x14ac:dyDescent="0.2">
      <c r="C65" s="376" t="s">
        <v>109</v>
      </c>
      <c r="D65" s="377" t="s">
        <v>657</v>
      </c>
      <c r="E65" s="378" t="s">
        <v>176</v>
      </c>
      <c r="F65" s="379">
        <f>'CANTIDADES VALOR INICIAL'!G83</f>
        <v>60</v>
      </c>
      <c r="G65" s="392">
        <f>ROUND(_xlfn.XLOOKUP(C65,'CANTIDADES VALOR INICIAL'!$C$9:$C$185,'CANTIDADES VALOR INICIAL'!$H$9:$H$185)*'INDEX ICOCIV'!$R$85,0)</f>
        <v>334822</v>
      </c>
      <c r="H65" s="403">
        <f t="shared" si="4"/>
        <v>20089320</v>
      </c>
    </row>
    <row r="66" spans="3:8" ht="42" outlineLevel="1" x14ac:dyDescent="0.2">
      <c r="C66" s="17" t="s">
        <v>110</v>
      </c>
      <c r="D66" s="22" t="s">
        <v>111</v>
      </c>
      <c r="E66" s="23" t="s">
        <v>176</v>
      </c>
      <c r="F66" s="24">
        <f>'CANTIDADES VALOR INICIAL'!G84</f>
        <v>9</v>
      </c>
      <c r="G66" s="468">
        <f>ROUND(Comparativo!M14,0)</f>
        <v>3966096</v>
      </c>
      <c r="H66" s="469">
        <f t="shared" si="4"/>
        <v>35694864</v>
      </c>
    </row>
    <row r="67" spans="3:8" ht="28" outlineLevel="1" x14ac:dyDescent="0.2">
      <c r="C67" s="17" t="s">
        <v>112</v>
      </c>
      <c r="D67" s="22" t="s">
        <v>658</v>
      </c>
      <c r="E67" s="23" t="s">
        <v>176</v>
      </c>
      <c r="F67" s="24">
        <f>'CANTIDADES VALOR INICIAL'!G85</f>
        <v>9</v>
      </c>
      <c r="G67" s="391">
        <f>ROUND(_xlfn.XLOOKUP(C67,'CANTIDADES VALOR INICIAL'!$C$9:$C$185,'CANTIDADES VALOR INICIAL'!$H$9:$H$185)*'INDEX ICOCIV'!$R$85,0)</f>
        <v>1686547</v>
      </c>
      <c r="H67" s="402">
        <f t="shared" si="4"/>
        <v>15178923</v>
      </c>
    </row>
    <row r="68" spans="3:8" ht="31" customHeight="1" outlineLevel="1" x14ac:dyDescent="0.2">
      <c r="C68" s="17" t="s">
        <v>113</v>
      </c>
      <c r="D68" s="22" t="s">
        <v>114</v>
      </c>
      <c r="E68" s="23" t="s">
        <v>176</v>
      </c>
      <c r="F68" s="24">
        <f>'CANTIDADES VALOR INICIAL'!G86</f>
        <v>8</v>
      </c>
      <c r="G68" s="391">
        <f>ROUND(_xlfn.XLOOKUP(C68,'CANTIDADES VALOR INICIAL'!$C$9:$C$185,'CANTIDADES VALOR INICIAL'!$H$9:$H$185)*'INDEX ICOCIV'!$R$85,0)</f>
        <v>7531358</v>
      </c>
      <c r="H68" s="402">
        <f t="shared" si="4"/>
        <v>60250864</v>
      </c>
    </row>
    <row r="69" spans="3:8" ht="28" outlineLevel="1" x14ac:dyDescent="0.2">
      <c r="C69" s="17" t="s">
        <v>118</v>
      </c>
      <c r="D69" s="22" t="s">
        <v>660</v>
      </c>
      <c r="E69" s="23" t="s">
        <v>183</v>
      </c>
      <c r="F69" s="24">
        <f>'CANTIDADES VALOR INICIAL'!G89</f>
        <v>60</v>
      </c>
      <c r="G69" s="391">
        <f>ROUND(_xlfn.XLOOKUP(C69,'CANTIDADES VALOR INICIAL'!$C$9:$C$185,'CANTIDADES VALOR INICIAL'!$H$9:$H$185)*'INDEX ICOCIV'!$R$85,0)</f>
        <v>6599</v>
      </c>
      <c r="H69" s="402">
        <f t="shared" si="4"/>
        <v>395940</v>
      </c>
    </row>
    <row r="70" spans="3:8" ht="28" outlineLevel="1" x14ac:dyDescent="0.2">
      <c r="C70" s="17" t="s">
        <v>119</v>
      </c>
      <c r="D70" s="22" t="s">
        <v>661</v>
      </c>
      <c r="E70" s="23" t="s">
        <v>183</v>
      </c>
      <c r="F70" s="24">
        <f>'CANTIDADES VALOR INICIAL'!G90</f>
        <v>50.47</v>
      </c>
      <c r="G70" s="468">
        <f>ROUND(Comparativo!M16,0)</f>
        <v>85364</v>
      </c>
      <c r="H70" s="469">
        <f t="shared" si="4"/>
        <v>4308321</v>
      </c>
    </row>
    <row r="71" spans="3:8" ht="42" outlineLevel="1" x14ac:dyDescent="0.2">
      <c r="C71" s="466" t="s">
        <v>122</v>
      </c>
      <c r="D71" s="455" t="s">
        <v>662</v>
      </c>
      <c r="E71" s="456" t="s">
        <v>183</v>
      </c>
      <c r="F71" s="467">
        <f>'CANTIDADES VALOR INICIAL'!G92</f>
        <v>7.5</v>
      </c>
      <c r="G71" s="422">
        <f>ROUND(_xlfn.XLOOKUP(C71,'CANTIDADES VALOR INICIAL'!$C$9:$C$185,'CANTIDADES VALOR INICIAL'!$H$9:$H$185)*'INDEX ICOCIV'!$R$85,0)</f>
        <v>175638</v>
      </c>
      <c r="H71" s="423">
        <f t="shared" si="4"/>
        <v>1317285</v>
      </c>
    </row>
    <row r="72" spans="3:8" ht="28" outlineLevel="1" x14ac:dyDescent="0.2">
      <c r="C72" s="17" t="s">
        <v>126</v>
      </c>
      <c r="D72" s="22" t="s">
        <v>664</v>
      </c>
      <c r="E72" s="23" t="s">
        <v>611</v>
      </c>
      <c r="F72" s="416">
        <f>'CANTIDADES VALOR INICIAL'!G95</f>
        <v>30</v>
      </c>
      <c r="G72" s="426">
        <f>ROUND(Comparativo!M19,0)</f>
        <v>69943</v>
      </c>
      <c r="H72" s="421">
        <f t="shared" si="4"/>
        <v>2098290</v>
      </c>
    </row>
    <row r="73" spans="3:8" ht="34" customHeight="1" outlineLevel="1" x14ac:dyDescent="0.2">
      <c r="C73" s="17" t="s">
        <v>144</v>
      </c>
      <c r="D73" s="22" t="s">
        <v>145</v>
      </c>
      <c r="E73" s="23" t="s">
        <v>176</v>
      </c>
      <c r="F73" s="24">
        <f>'CANTIDADES VALOR INICIAL'!G113</f>
        <v>2</v>
      </c>
      <c r="G73" s="419">
        <f>ROUND(_xlfn.XLOOKUP(C73,'CANTIDADES VALOR INICIAL'!$C$9:$C$185,'CANTIDADES VALOR INICIAL'!$H$9:$H$185)*'INDEX ICOCIV'!$R$85,0)</f>
        <v>7531358</v>
      </c>
      <c r="H73" s="420">
        <f t="shared" si="4"/>
        <v>15062716</v>
      </c>
    </row>
    <row r="74" spans="3:8" ht="21" customHeight="1" x14ac:dyDescent="0.2">
      <c r="C74" s="27">
        <v>7</v>
      </c>
      <c r="D74" s="28" t="s">
        <v>146</v>
      </c>
      <c r="E74" s="29"/>
      <c r="F74" s="14"/>
      <c r="G74" s="388"/>
      <c r="H74" s="16">
        <f>SUM(H75)</f>
        <v>10133120</v>
      </c>
    </row>
    <row r="75" spans="3:8" ht="28" outlineLevel="1" x14ac:dyDescent="0.2">
      <c r="C75" s="17" t="s">
        <v>147</v>
      </c>
      <c r="D75" s="22" t="s">
        <v>680</v>
      </c>
      <c r="E75" s="23" t="s">
        <v>176</v>
      </c>
      <c r="F75" s="24">
        <f>'CANTIDADES VALOR INICIAL'!G115</f>
        <v>16</v>
      </c>
      <c r="G75" s="391">
        <f>ROUND(_xlfn.XLOOKUP(C75,'CANTIDADES VALOR INICIAL'!$C$9:$C$185,'CANTIDADES VALOR INICIAL'!$H$9:$H$185)*'INDEX ICOCIV'!$R$85,0)</f>
        <v>633320</v>
      </c>
      <c r="H75" s="402">
        <f>ROUND(F75*G75,0)</f>
        <v>10133120</v>
      </c>
    </row>
    <row r="76" spans="3:8" ht="21" customHeight="1" x14ac:dyDescent="0.2">
      <c r="C76" s="27">
        <v>8</v>
      </c>
      <c r="D76" s="28" t="s">
        <v>148</v>
      </c>
      <c r="E76" s="29"/>
      <c r="F76" s="14"/>
      <c r="G76" s="388"/>
      <c r="H76" s="16">
        <f>SUM(H77:H78)</f>
        <v>4625834</v>
      </c>
    </row>
    <row r="77" spans="3:8" ht="28" outlineLevel="1" x14ac:dyDescent="0.2">
      <c r="C77" s="17" t="s">
        <v>149</v>
      </c>
      <c r="D77" s="22" t="s">
        <v>150</v>
      </c>
      <c r="E77" s="23" t="s">
        <v>171</v>
      </c>
      <c r="F77" s="24">
        <f>'CANTIDADES VALOR INICIAL'!G117</f>
        <v>28.98</v>
      </c>
      <c r="G77" s="391">
        <f>ROUND(_xlfn.XLOOKUP(C77,'CANTIDADES VALOR INICIAL'!$C$9:$C$185,'CANTIDADES VALOR INICIAL'!$H$9:$H$185)*'INDEX ICOCIV'!$R$85,0)</f>
        <v>134247</v>
      </c>
      <c r="H77" s="402">
        <f>ROUND(F77*G77,0)</f>
        <v>3890478</v>
      </c>
    </row>
    <row r="78" spans="3:8" ht="28" outlineLevel="1" x14ac:dyDescent="0.2">
      <c r="C78" s="17" t="s">
        <v>151</v>
      </c>
      <c r="D78" s="22" t="s">
        <v>152</v>
      </c>
      <c r="E78" s="23" t="s">
        <v>176</v>
      </c>
      <c r="F78" s="24">
        <f>'CANTIDADES VALOR INICIAL'!G118</f>
        <v>1</v>
      </c>
      <c r="G78" s="391">
        <f>ROUND(_xlfn.XLOOKUP(C78,'CANTIDADES VALOR INICIAL'!$C$9:$C$185,'CANTIDADES VALOR INICIAL'!$H$9:$H$185)*'INDEX ICOCIV'!$R$85,0)</f>
        <v>735356</v>
      </c>
      <c r="H78" s="402">
        <f>ROUND(F78*G78,0)</f>
        <v>735356</v>
      </c>
    </row>
    <row r="79" spans="3:8" ht="21" customHeight="1" x14ac:dyDescent="0.2">
      <c r="C79" s="27">
        <v>9</v>
      </c>
      <c r="D79" s="28" t="s">
        <v>159</v>
      </c>
      <c r="E79" s="29"/>
      <c r="F79" s="14"/>
      <c r="G79" s="388"/>
      <c r="H79" s="16">
        <f>SUM(H80:H81)</f>
        <v>1740771</v>
      </c>
    </row>
    <row r="80" spans="3:8" ht="28" outlineLevel="1" x14ac:dyDescent="0.2">
      <c r="C80" s="17" t="s">
        <v>160</v>
      </c>
      <c r="D80" s="22" t="s">
        <v>161</v>
      </c>
      <c r="E80" s="23" t="s">
        <v>171</v>
      </c>
      <c r="F80" s="24">
        <f>'CANTIDADES VALOR INICIAL'!G123</f>
        <v>10</v>
      </c>
      <c r="G80" s="391">
        <f>ROUND(_xlfn.XLOOKUP(C80,'CANTIDADES VALOR INICIAL'!$C$9:$C$185,'CANTIDADES VALOR INICIAL'!$H$9:$H$185)*'INDEX ICOCIV'!$R$85,0)</f>
        <v>76714</v>
      </c>
      <c r="H80" s="402">
        <f>ROUND(F80*G80,0)</f>
        <v>767140</v>
      </c>
    </row>
    <row r="81" spans="1:11" ht="28" outlineLevel="1" x14ac:dyDescent="0.2">
      <c r="C81" s="376" t="s">
        <v>162</v>
      </c>
      <c r="D81" s="377" t="s">
        <v>163</v>
      </c>
      <c r="E81" s="378" t="s">
        <v>176</v>
      </c>
      <c r="F81" s="379">
        <f>'CANTIDADES VALOR INICIAL'!G124</f>
        <v>1</v>
      </c>
      <c r="G81" s="392">
        <f>ROUND(_xlfn.XLOOKUP(C81,'CANTIDADES VALOR INICIAL'!$C$9:$C$185,'CANTIDADES VALOR INICIAL'!$H$9:$H$185)*'INDEX ICOCIV'!$R$85,0)</f>
        <v>973631</v>
      </c>
      <c r="H81" s="403">
        <f>ROUND(F81*G81,0)</f>
        <v>973631</v>
      </c>
    </row>
    <row r="82" spans="1:11" ht="32" customHeight="1" x14ac:dyDescent="0.2">
      <c r="C82" s="27">
        <v>11</v>
      </c>
      <c r="D82" s="28" t="s">
        <v>603</v>
      </c>
      <c r="E82" s="29"/>
      <c r="F82" s="14"/>
      <c r="G82" s="388"/>
      <c r="H82" s="16">
        <f>SUM(H83)</f>
        <v>206336910</v>
      </c>
    </row>
    <row r="83" spans="1:11" ht="28" outlineLevel="1" x14ac:dyDescent="0.2">
      <c r="A83" s="3"/>
      <c r="C83" s="31"/>
      <c r="D83" s="32" t="s">
        <v>604</v>
      </c>
      <c r="E83" s="33" t="s">
        <v>12</v>
      </c>
      <c r="F83" s="34">
        <v>1</v>
      </c>
      <c r="G83" s="393">
        <f>ROUND((H79+H76+H74+H63+H57+H48+H37+H24+H15)*9.8%,0)</f>
        <v>206336910</v>
      </c>
      <c r="H83" s="371">
        <f>G83*F83</f>
        <v>206336910</v>
      </c>
    </row>
    <row r="84" spans="1:11" ht="21" customHeight="1" x14ac:dyDescent="0.2">
      <c r="C84" s="27">
        <v>12</v>
      </c>
      <c r="D84" s="28" t="s">
        <v>281</v>
      </c>
      <c r="E84" s="29"/>
      <c r="F84" s="14"/>
      <c r="G84" s="388"/>
      <c r="H84" s="16">
        <f>SUM(H85)</f>
        <v>100000000</v>
      </c>
    </row>
    <row r="85" spans="1:11" ht="43" outlineLevel="1" thickBot="1" x14ac:dyDescent="0.25">
      <c r="A85" s="3"/>
      <c r="C85" s="460"/>
      <c r="D85" s="461" t="s">
        <v>282</v>
      </c>
      <c r="E85" s="462" t="s">
        <v>12</v>
      </c>
      <c r="F85" s="463">
        <v>1</v>
      </c>
      <c r="G85" s="464">
        <v>100000000</v>
      </c>
      <c r="H85" s="465">
        <f>F85*G85</f>
        <v>100000000</v>
      </c>
    </row>
    <row r="86" spans="1:11" ht="8" customHeight="1" thickBot="1" x14ac:dyDescent="0.25">
      <c r="F86" s="35"/>
      <c r="H86" s="36"/>
    </row>
    <row r="87" spans="1:11" ht="21" customHeight="1" x14ac:dyDescent="0.2">
      <c r="C87" s="37"/>
      <c r="D87" s="38" t="s">
        <v>284</v>
      </c>
      <c r="E87" s="39"/>
      <c r="F87" s="40"/>
      <c r="G87" s="394"/>
      <c r="H87" s="41">
        <f>+ROUND(H15+H24+H37+H48+H57+H63+H74+H76+H79+H82+H84,0)</f>
        <v>2411815584</v>
      </c>
    </row>
    <row r="88" spans="1:11" ht="21" customHeight="1" x14ac:dyDescent="0.2">
      <c r="C88" s="42"/>
      <c r="D88" s="43" t="s">
        <v>285</v>
      </c>
      <c r="E88" s="2"/>
      <c r="F88" s="44"/>
      <c r="G88" s="333">
        <f>AIU!H37</f>
        <v>0.27310000000000001</v>
      </c>
      <c r="H88" s="45">
        <f>+ROUND(H$87*G88,0)</f>
        <v>658666836</v>
      </c>
    </row>
    <row r="89" spans="1:11" ht="21" customHeight="1" x14ac:dyDescent="0.2">
      <c r="C89" s="42"/>
      <c r="D89" s="43" t="s">
        <v>286</v>
      </c>
      <c r="E89" s="2"/>
      <c r="F89" s="44"/>
      <c r="G89" s="333">
        <f>AIU!H39</f>
        <v>0.01</v>
      </c>
      <c r="H89" s="45">
        <f>+ROUND(H$87*G89,0)</f>
        <v>24118156</v>
      </c>
    </row>
    <row r="90" spans="1:11" ht="21" customHeight="1" x14ac:dyDescent="0.2">
      <c r="C90" s="42"/>
      <c r="D90" s="43" t="s">
        <v>287</v>
      </c>
      <c r="E90" s="2"/>
      <c r="F90" s="44"/>
      <c r="G90" s="333">
        <f>AIU!H41</f>
        <v>0.05</v>
      </c>
      <c r="H90" s="45">
        <f>+ROUND(H$87*G90,0)</f>
        <v>120590779</v>
      </c>
    </row>
    <row r="91" spans="1:11" ht="26.25" customHeight="1" x14ac:dyDescent="0.2">
      <c r="C91" s="443"/>
      <c r="D91" s="485" t="s">
        <v>283</v>
      </c>
      <c r="E91" s="485"/>
      <c r="F91" s="486"/>
      <c r="G91" s="381">
        <v>0.01</v>
      </c>
      <c r="H91" s="382">
        <f>ROUND(+H87*G91,0)</f>
        <v>24118156</v>
      </c>
      <c r="J91" s="444" t="s">
        <v>692</v>
      </c>
    </row>
    <row r="92" spans="1:11" ht="21" customHeight="1" thickBot="1" x14ac:dyDescent="0.25">
      <c r="C92" s="46"/>
      <c r="D92" s="47" t="s">
        <v>717</v>
      </c>
      <c r="E92" s="48"/>
      <c r="F92" s="49"/>
      <c r="G92" s="395"/>
      <c r="H92" s="50">
        <f>+SUM(H87:H91)</f>
        <v>3239309511</v>
      </c>
      <c r="J92" s="373">
        <v>3240626087</v>
      </c>
      <c r="K92" s="372">
        <f>J92-H92</f>
        <v>1316576</v>
      </c>
    </row>
    <row r="93" spans="1:11" ht="8" customHeight="1" thickBot="1" x14ac:dyDescent="0.25">
      <c r="F93" s="35"/>
      <c r="H93" s="36"/>
    </row>
    <row r="94" spans="1:11" ht="21" customHeight="1" thickBot="1" x14ac:dyDescent="0.25">
      <c r="C94" s="353"/>
      <c r="D94" s="354" t="s">
        <v>716</v>
      </c>
      <c r="E94" s="355"/>
      <c r="F94" s="356"/>
      <c r="G94" s="396"/>
      <c r="H94" s="375">
        <f>+H12</f>
        <v>485215051</v>
      </c>
      <c r="J94" s="373">
        <v>487350225</v>
      </c>
      <c r="K94" s="372">
        <f>J94-H94</f>
        <v>2135174</v>
      </c>
    </row>
    <row r="95" spans="1:11" ht="8" customHeight="1" thickBot="1" x14ac:dyDescent="0.25">
      <c r="F95" s="35"/>
      <c r="H95" s="36"/>
    </row>
    <row r="96" spans="1:11" ht="21" customHeight="1" thickBot="1" x14ac:dyDescent="0.25">
      <c r="C96" s="51"/>
      <c r="D96" s="52" t="s">
        <v>592</v>
      </c>
      <c r="E96" s="53"/>
      <c r="F96" s="54"/>
      <c r="G96" s="397"/>
      <c r="H96" s="55">
        <f>H92+H94</f>
        <v>3724524562</v>
      </c>
      <c r="J96" s="374">
        <f>J92+J94</f>
        <v>3727976312</v>
      </c>
      <c r="K96" s="372">
        <f>J96-H96</f>
        <v>3451750</v>
      </c>
    </row>
    <row r="97" spans="6:8" ht="8" customHeight="1" x14ac:dyDescent="0.2">
      <c r="F97" s="35"/>
      <c r="H97" s="36"/>
    </row>
    <row r="99" spans="6:8" ht="15" customHeight="1" x14ac:dyDescent="0.2">
      <c r="H99" s="56"/>
    </row>
    <row r="100" spans="6:8" ht="15" customHeight="1" x14ac:dyDescent="0.2">
      <c r="H100" s="56"/>
    </row>
  </sheetData>
  <autoFilter ref="C8:H92" xr:uid="{64146A1C-DAC3-4499-852A-509B8BEBAC2D}"/>
  <mergeCells count="12">
    <mergeCell ref="H8:H10"/>
    <mergeCell ref="D91:F91"/>
    <mergeCell ref="C6:H6"/>
    <mergeCell ref="C2:H2"/>
    <mergeCell ref="C3:H3"/>
    <mergeCell ref="C4:H4"/>
    <mergeCell ref="C5:H5"/>
    <mergeCell ref="C8:C10"/>
    <mergeCell ref="D8:D10"/>
    <mergeCell ref="E8:E10"/>
    <mergeCell ref="F8:F10"/>
    <mergeCell ref="G8:G10"/>
  </mergeCells>
  <pageMargins left="0.70866141732283472" right="0.70866141732283472" top="0.74803149606299213" bottom="0.74803149606299213" header="0.31496062992125984" footer="0.31496062992125984"/>
  <pageSetup paperSize="9" scale="56" fitToHeight="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7BE5C-7A63-054C-8EBA-34C1D81606B7}">
  <sheetPr>
    <tabColor rgb="FF92D050"/>
    <outlinePr summaryBelow="0"/>
    <pageSetUpPr fitToPage="1"/>
  </sheetPr>
  <dimension ref="A2:F199"/>
  <sheetViews>
    <sheetView view="pageBreakPreview" zoomScale="59" zoomScaleNormal="85" workbookViewId="0">
      <selection activeCell="D12" sqref="D12"/>
    </sheetView>
  </sheetViews>
  <sheetFormatPr baseColWidth="10" defaultColWidth="11.5" defaultRowHeight="18" outlineLevelRow="1" x14ac:dyDescent="0.2"/>
  <cols>
    <col min="1" max="1" width="9.1640625" style="1" customWidth="1"/>
    <col min="2" max="2" width="1.6640625" style="1" customWidth="1"/>
    <col min="3" max="3" width="10.83203125" style="3" customWidth="1"/>
    <col min="4" max="4" width="85.33203125" style="4" customWidth="1"/>
    <col min="5" max="5" width="10.83203125" style="3" customWidth="1"/>
    <col min="6" max="6" width="23.33203125" style="445" customWidth="1"/>
    <col min="7" max="7" width="1.33203125" style="1" customWidth="1"/>
    <col min="8" max="16384" width="11.5" style="1"/>
  </cols>
  <sheetData>
    <row r="2" spans="1:6" ht="65" customHeight="1" x14ac:dyDescent="0.2">
      <c r="C2" s="490"/>
      <c r="D2" s="491"/>
      <c r="E2" s="491"/>
      <c r="F2" s="492"/>
    </row>
    <row r="3" spans="1:6" ht="27" customHeight="1" x14ac:dyDescent="0.2">
      <c r="C3" s="493" t="s">
        <v>0</v>
      </c>
      <c r="D3" s="494"/>
      <c r="E3" s="494"/>
      <c r="F3" s="495"/>
    </row>
    <row r="4" spans="1:6" ht="35" customHeight="1" x14ac:dyDescent="0.2">
      <c r="C4" s="487" t="s">
        <v>714</v>
      </c>
      <c r="D4" s="494"/>
      <c r="E4" s="494"/>
      <c r="F4" s="495"/>
    </row>
    <row r="5" spans="1:6" ht="67" customHeight="1" x14ac:dyDescent="0.2">
      <c r="C5" s="487" t="s">
        <v>721</v>
      </c>
      <c r="D5" s="488"/>
      <c r="E5" s="488"/>
      <c r="F5" s="489"/>
    </row>
    <row r="6" spans="1:6" ht="34" customHeight="1" x14ac:dyDescent="0.2">
      <c r="C6" s="499" t="s">
        <v>718</v>
      </c>
      <c r="D6" s="500"/>
      <c r="E6" s="500"/>
      <c r="F6" s="500"/>
    </row>
    <row r="7" spans="1:6" ht="6" customHeight="1" x14ac:dyDescent="0.2"/>
    <row r="8" spans="1:6" s="3" customFormat="1" ht="13" x14ac:dyDescent="0.2">
      <c r="C8" s="496" t="s">
        <v>5</v>
      </c>
      <c r="D8" s="497" t="s">
        <v>6</v>
      </c>
      <c r="E8" s="496" t="s">
        <v>7</v>
      </c>
      <c r="F8" s="498" t="s">
        <v>590</v>
      </c>
    </row>
    <row r="9" spans="1:6" s="3" customFormat="1" ht="25" customHeight="1" x14ac:dyDescent="0.2">
      <c r="A9" s="5"/>
      <c r="C9" s="496"/>
      <c r="D9" s="497"/>
      <c r="E9" s="496"/>
      <c r="F9" s="498"/>
    </row>
    <row r="10" spans="1:6" s="3" customFormat="1" ht="25" customHeight="1" x14ac:dyDescent="0.2">
      <c r="C10" s="496"/>
      <c r="D10" s="497"/>
      <c r="E10" s="496"/>
      <c r="F10" s="498"/>
    </row>
    <row r="11" spans="1:6" ht="19" outlineLevel="1" x14ac:dyDescent="0.2">
      <c r="A11" s="3"/>
      <c r="C11" s="334">
        <f>'VALORES INDEXADOS OBRA ALPES'!C12</f>
        <v>1</v>
      </c>
      <c r="D11" s="335" t="str">
        <f>'VALORES INDEXADOS OBRA ALPES'!D12</f>
        <v>REPLANTEO, DEMOLICIONES Y EXCAVACIONES</v>
      </c>
      <c r="E11" s="334"/>
      <c r="F11" s="446"/>
    </row>
    <row r="12" spans="1:6" ht="73" customHeight="1" outlineLevel="1" x14ac:dyDescent="0.2">
      <c r="A12" s="3"/>
      <c r="C12" s="254" t="str">
        <f>'VALORES INDEXADOS OBRA ALPES'!C14</f>
        <v>1.2</v>
      </c>
      <c r="D12" s="336" t="str">
        <f>'VALORES INDEXADOS OBRA ALPES'!D14</f>
        <v>DEMOLICION PAVIMENTO ASFALTICO (ESPESOR VARIABLE. INCLUYE CARGUE). NO INCLUYE TRANSPORTE Y DISPOSICIÓN FINAL DE SOBRANTES. RENDIMIENTO ESTIMADO PARA ESPESORES MÁX. 0.15M.</v>
      </c>
      <c r="E12" s="254" t="str">
        <f>'VALORES INDEXADOS OBRA ALPES'!E14</f>
        <v>M3</v>
      </c>
      <c r="F12" s="447">
        <f>_xlfn.XLOOKUP(C12,'CANTIDADES VALOR INICIAL'!$C$9:$C$185,'CANTIDADES VALOR INICIAL'!$I$9:$I$185)</f>
        <v>34008</v>
      </c>
    </row>
    <row r="13" spans="1:6" ht="32" outlineLevel="1" x14ac:dyDescent="0.2">
      <c r="C13" s="254" t="str">
        <f>'VALORES INDEXADOS OBRA ALPES'!C16</f>
        <v>1.4</v>
      </c>
      <c r="D13" s="336" t="str">
        <f>'VALORES INDEXADOS OBRA ALPES'!D16</f>
        <v>DEMOLICION MANUAL SARDINEL EXISTENTE (INCLUYE CARGUE). NO INCLUYE TRANSPORTE Y DISPOSICIÓN FINAL DE SOBRANTES.</v>
      </c>
      <c r="E13" s="254" t="str">
        <f>'VALORES INDEXADOS OBRA ALPES'!E16</f>
        <v>M</v>
      </c>
      <c r="F13" s="447">
        <f>_xlfn.XLOOKUP(C13,'CANTIDADES VALOR INICIAL'!$C$9:$C$185,'CANTIDADES VALOR INICIAL'!$I$9:$I$185)</f>
        <v>5439</v>
      </c>
    </row>
    <row r="14" spans="1:6" ht="30" customHeight="1" outlineLevel="1" x14ac:dyDescent="0.2">
      <c r="C14" s="254" t="str">
        <f>'VALORES INDEXADOS OBRA ALPES'!C17</f>
        <v>1.5</v>
      </c>
      <c r="D14" s="336" t="str">
        <f>'VALORES INDEXADOS OBRA ALPES'!D17</f>
        <v>DEMOLICION SUMIDERO EXISTENTE (INCLUYE CARGUE)</v>
      </c>
      <c r="E14" s="254" t="str">
        <f>'VALORES INDEXADOS OBRA ALPES'!E17</f>
        <v>UN</v>
      </c>
      <c r="F14" s="447">
        <f>_xlfn.XLOOKUP(C14,'CANTIDADES VALOR INICIAL'!$C$9:$C$185,'CANTIDADES VALOR INICIAL'!$I$9:$I$185)</f>
        <v>167644</v>
      </c>
    </row>
    <row r="15" spans="1:6" ht="30" customHeight="1" outlineLevel="1" x14ac:dyDescent="0.2">
      <c r="C15" s="254" t="str">
        <f>'VALORES INDEXADOS OBRA ALPES'!C23</f>
        <v>1.11</v>
      </c>
      <c r="D15" s="336" t="str">
        <f>'VALORES INDEXADOS OBRA ALPES'!D23</f>
        <v>FRESADO PAVIMENTO ASFALTICO PROFUNDIDAD DE FRESADO 0 - 18 CM. (INCLUYE CARGUE)</v>
      </c>
      <c r="E15" s="254" t="str">
        <f>'VALORES INDEXADOS OBRA ALPES'!E23</f>
        <v>M3</v>
      </c>
      <c r="F15" s="447">
        <f>_xlfn.XLOOKUP(C15,'CANTIDADES VALOR INICIAL'!$C$9:$C$185,'CANTIDADES VALOR INICIAL'!$I$9:$I$185)</f>
        <v>102518</v>
      </c>
    </row>
    <row r="16" spans="1:6" ht="30" customHeight="1" outlineLevel="1" x14ac:dyDescent="0.2">
      <c r="C16" s="254" t="str">
        <f>'VALORES INDEXADOS OBRA ALPES'!C24</f>
        <v>1.12</v>
      </c>
      <c r="D16" s="336" t="str">
        <f>'VALORES INDEXADOS OBRA ALPES'!D24</f>
        <v>TALA DE ARBOLES CLASE I (H&lt;5M. INCLUYE DESENRAÍCE, RETIRO Y DISPOSICIÓN FINAL)</v>
      </c>
      <c r="E16" s="254" t="str">
        <f>'VALORES INDEXADOS OBRA ALPES'!E24</f>
        <v>UN</v>
      </c>
      <c r="F16" s="447">
        <f>_xlfn.XLOOKUP(C16,'CANTIDADES VALOR INICIAL'!$C$9:$C$185,'CANTIDADES VALOR INICIAL'!$I$9:$I$185)</f>
        <v>178280</v>
      </c>
    </row>
    <row r="17" spans="3:6" ht="19" outlineLevel="1" x14ac:dyDescent="0.2">
      <c r="C17" s="334">
        <f>'VALORES INDEXADOS OBRA ALPES'!C26</f>
        <v>2</v>
      </c>
      <c r="D17" s="335" t="str">
        <f>'VALORES INDEXADOS OBRA ALPES'!D26</f>
        <v>RELLENOS Y PAVIMENTOS</v>
      </c>
      <c r="E17" s="334"/>
      <c r="F17" s="446"/>
    </row>
    <row r="18" spans="3:6" ht="32" outlineLevel="1" x14ac:dyDescent="0.2">
      <c r="C18" s="254" t="str">
        <f>'VALORES INDEXADOS OBRA ALPES'!C29</f>
        <v>2.3</v>
      </c>
      <c r="D18" s="336" t="str">
        <f>'VALORES INDEXADOS OBRA ALPES'!D29</f>
        <v>SUBBASE GRANULAR CLASE A (SBG_A) (SUMINISTRO, EXTENDIDO, NIVELACIÓN, HUMEDECIMIENTO Y COMPACTACIÓN CON VIBRO COMPACTADOR)</v>
      </c>
      <c r="E18" s="254" t="str">
        <f>'VALORES INDEXADOS OBRA ALPES'!E29</f>
        <v>M3</v>
      </c>
      <c r="F18" s="447">
        <f>_xlfn.XLOOKUP(C18,'CANTIDADES VALOR INICIAL'!$C$9:$C$185,'CANTIDADES VALOR INICIAL'!$I$9:$I$185)</f>
        <v>152497</v>
      </c>
    </row>
    <row r="19" spans="3:6" ht="36" customHeight="1" outlineLevel="1" x14ac:dyDescent="0.2">
      <c r="C19" s="254" t="str">
        <f>'VALORES INDEXADOS OBRA ALPES'!C38</f>
        <v>2.12</v>
      </c>
      <c r="D19" s="336" t="str">
        <f>'VALORES INDEXADOS OBRA ALPES'!D38</f>
        <v>ACERO DE REFUERZO (INCLUYE SUMINISTRO, FIGURADO Y FIJACIÓN)</v>
      </c>
      <c r="E19" s="254" t="str">
        <f>'VALORES INDEXADOS OBRA ALPES'!E38</f>
        <v>KG</v>
      </c>
      <c r="F19" s="447">
        <f>_xlfn.XLOOKUP(C19,'CANTIDADES VALOR INICIAL'!$C$9:$C$185,'CANTIDADES VALOR INICIAL'!$I$9:$I$185)</f>
        <v>7176</v>
      </c>
    </row>
    <row r="20" spans="3:6" ht="19" outlineLevel="1" x14ac:dyDescent="0.2">
      <c r="C20" s="334">
        <f>'VALORES INDEXADOS OBRA ALPES'!C41</f>
        <v>3</v>
      </c>
      <c r="D20" s="335" t="str">
        <f>'VALORES INDEXADOS OBRA ALPES'!D41</f>
        <v>ACABADOS DE PISOS Y PREFABRICADOS</v>
      </c>
      <c r="E20" s="334"/>
      <c r="F20" s="446"/>
    </row>
    <row r="21" spans="3:6" ht="48" outlineLevel="1" x14ac:dyDescent="0.2">
      <c r="C21" s="254" t="str">
        <f>'VALORES INDEXADOS OBRA ALPES'!C44</f>
        <v>3.3</v>
      </c>
      <c r="D21" s="336" t="str">
        <f>'VALORES INDEXADOS OBRA ALPES'!D44</f>
        <v>RAMPA VEHICULAR FUNDIDA EN EL SITIO EN CONCRETO PREMEZCLADO DE 3000 PSI (GRAVA COMUN) SUM, CONSTR. E INSTALACIÓN. INCLUYE ACABADO EN ADOQUIN DE ARCILLA TIPO TRÁFICO PESADO O SIMILAR, BASE DE 4CM EN MORTERO DE 2000 PSI.</v>
      </c>
      <c r="E21" s="254" t="str">
        <f>'VALORES INDEXADOS OBRA ALPES'!E44</f>
        <v>M2</v>
      </c>
      <c r="F21" s="448">
        <f>_xlfn.XLOOKUP(C21,'CANTIDADES VALOR INICIAL'!$C$9:$C$185,'CANTIDADES VALOR INICIAL'!$I$9:$I$185)</f>
        <v>155156</v>
      </c>
    </row>
    <row r="22" spans="3:6" ht="31" customHeight="1" outlineLevel="1" x14ac:dyDescent="0.2">
      <c r="C22" s="254" t="str">
        <f>'VALORES INDEXADOS OBRA ALPES'!C45</f>
        <v>3.4</v>
      </c>
      <c r="D22" s="336" t="str">
        <f>'VALORES INDEXADOS OBRA ALPES'!D45</f>
        <v>SARDINEL TIPO A-10 (SUMINISTRO E INSTALACIÓN, INCLUYE 3 CM MORTERO 1:5)</v>
      </c>
      <c r="E22" s="427" t="str">
        <f>'VALORES INDEXADOS OBRA ALPES'!E45</f>
        <v>M</v>
      </c>
      <c r="F22" s="449">
        <f>ROUND(Comparativo!M29,0)</f>
        <v>72134</v>
      </c>
    </row>
    <row r="23" spans="3:6" ht="31" customHeight="1" outlineLevel="1" x14ac:dyDescent="0.2">
      <c r="C23" s="254" t="str">
        <f>'VALORES INDEXADOS OBRA ALPES'!C53</f>
        <v>3.12</v>
      </c>
      <c r="D23" s="336" t="str">
        <f>'VALORES INDEXADOS OBRA ALPES'!D53</f>
        <v>SIEMBRA DE GRAMA (INCLUYE SUMINISTRO E INSTALACIÓN. INCLUYE 10CM DE TIERRA NEGRA)</v>
      </c>
      <c r="E23" s="254" t="str">
        <f>'VALORES INDEXADOS OBRA ALPES'!E53</f>
        <v>M2</v>
      </c>
      <c r="F23" s="450">
        <f>_xlfn.XLOOKUP(C23,'CANTIDADES VALOR INICIAL'!$C$9:$C$185,'CANTIDADES VALOR INICIAL'!$I$9:$I$185)</f>
        <v>13511</v>
      </c>
    </row>
    <row r="24" spans="3:6" ht="32" outlineLevel="1" x14ac:dyDescent="0.2">
      <c r="C24" s="254" t="str">
        <f>'VALORES INDEXADOS OBRA ALPES'!C54</f>
        <v>3.13</v>
      </c>
      <c r="D24" s="336" t="str">
        <f>'VALORES INDEXADOS OBRA ALPES'!D54</f>
        <v>PIEDRA RAJÓN E= 30 CM INCLUYE MORTERO 2500 PSI PARA PEGA E= 10 CM (INCLUYE SUMINISTRO E INSTALACIÓN)</v>
      </c>
      <c r="E24" s="254" t="str">
        <f>'VALORES INDEXADOS OBRA ALPES'!E54</f>
        <v>M3</v>
      </c>
      <c r="F24" s="447">
        <f>_xlfn.XLOOKUP(C24,'CANTIDADES VALOR INICIAL'!$C$9:$C$185,'CANTIDADES VALOR INICIAL'!$I$9:$I$185)</f>
        <v>159128</v>
      </c>
    </row>
    <row r="25" spans="3:6" ht="36" customHeight="1" outlineLevel="1" x14ac:dyDescent="0.2">
      <c r="C25" s="254" t="str">
        <f>'VALORES INDEXADOS OBRA ALPES'!C55</f>
        <v>3.14</v>
      </c>
      <c r="D25" s="336" t="str">
        <f>'VALORES INDEXADOS OBRA ALPES'!D55</f>
        <v>CAÑUELA TIPO C - FUNDIDA EN SITIO 2500 PSI</v>
      </c>
      <c r="E25" s="254" t="str">
        <f>'VALORES INDEXADOS OBRA ALPES'!E55</f>
        <v>ML</v>
      </c>
      <c r="F25" s="447">
        <f>_xlfn.XLOOKUP(C25,'CANTIDADES VALOR INICIAL'!$C$9:$C$185,'CANTIDADES VALOR INICIAL'!$I$9:$I$185)</f>
        <v>78125</v>
      </c>
    </row>
    <row r="26" spans="3:6" ht="19" outlineLevel="1" x14ac:dyDescent="0.2">
      <c r="C26" s="334">
        <f>'VALORES INDEXADOS OBRA ALPES'!C57</f>
        <v>4</v>
      </c>
      <c r="D26" s="335" t="str">
        <f>'VALORES INDEXADOS OBRA ALPES'!D57</f>
        <v>MUROS ESTRUCTURALES</v>
      </c>
      <c r="E26" s="334"/>
      <c r="F26" s="446"/>
    </row>
    <row r="27" spans="3:6" ht="32" outlineLevel="1" x14ac:dyDescent="0.2">
      <c r="C27" s="254" t="str">
        <f>'VALORES INDEXADOS OBRA ALPES'!C66</f>
        <v>4.9</v>
      </c>
      <c r="D27" s="336" t="str">
        <f>'VALORES INDEXADOS OBRA ALPES'!D66</f>
        <v>CONCRETO 3500 PSI PARA MURO ESTRUCTURAL (PREMEZCLADO. INCL. SUMIN, FORMALETEO, BOMBEO Y COLOCACIÓN. NO INCL. REFUERZO, CURADO)</v>
      </c>
      <c r="E27" s="254" t="str">
        <f>'VALORES INDEXADOS OBRA ALPES'!E66</f>
        <v>M3</v>
      </c>
      <c r="F27" s="447">
        <f>_xlfn.XLOOKUP(C27,'CANTIDADES VALOR INICIAL'!$C$9:$C$185,'CANTIDADES VALOR INICIAL'!$I$9:$I$185)</f>
        <v>975600</v>
      </c>
    </row>
    <row r="28" spans="3:6" ht="31" customHeight="1" outlineLevel="1" x14ac:dyDescent="0.2">
      <c r="C28" s="254" t="str">
        <f>'VALORES INDEXADOS OBRA ALPES'!C67</f>
        <v>4.10</v>
      </c>
      <c r="D28" s="336" t="str">
        <f>'VALORES INDEXADOS OBRA ALPES'!D67</f>
        <v>ACERO DE REFUERZO (INCLUYE SUMINISTRO, FIGURADO Y FIJACIÓN)</v>
      </c>
      <c r="E28" s="254" t="str">
        <f>'VALORES INDEXADOS OBRA ALPES'!E67</f>
        <v>KG</v>
      </c>
      <c r="F28" s="447">
        <f>_xlfn.XLOOKUP(C28,'CANTIDADES VALOR INICIAL'!$C$9:$C$185,'CANTIDADES VALOR INICIAL'!$I$9:$I$185)</f>
        <v>3419</v>
      </c>
    </row>
    <row r="29" spans="3:6" ht="31" customHeight="1" outlineLevel="1" x14ac:dyDescent="0.2">
      <c r="C29" s="254" t="str">
        <f>'VALORES INDEXADOS OBRA ALPES'!C68</f>
        <v>4.11</v>
      </c>
      <c r="D29" s="336" t="str">
        <f>'VALORES INDEXADOS OBRA ALPES'!D68</f>
        <v xml:space="preserve">CURADO DE CONCRETO (SUMINISTRO Y APLICACIÓN) </v>
      </c>
      <c r="E29" s="254" t="str">
        <f>'VALORES INDEXADOS OBRA ALPES'!E68</f>
        <v>M2</v>
      </c>
      <c r="F29" s="447">
        <f>_xlfn.XLOOKUP(C29,'CANTIDADES VALOR INICIAL'!$C$9:$C$185,'CANTIDADES VALOR INICIAL'!$I$9:$I$185)</f>
        <v>1854</v>
      </c>
    </row>
    <row r="30" spans="3:6" ht="31" customHeight="1" outlineLevel="1" x14ac:dyDescent="0.2">
      <c r="C30" s="254" t="str">
        <f>'VALORES INDEXADOS OBRA ALPES'!C69</f>
        <v>4.12</v>
      </c>
      <c r="D30" s="336" t="str">
        <f>'VALORES INDEXADOS OBRA ALPES'!D69</f>
        <v>CONCRETO 2000 PSI (HECHO EN OBRA 1:3:3 CON ARENA DE RÍO Y TRITURADO DE 3/4")</v>
      </c>
      <c r="E30" s="254" t="str">
        <f>'VALORES INDEXADOS OBRA ALPES'!E69</f>
        <v>M3</v>
      </c>
      <c r="F30" s="447">
        <f>_xlfn.XLOOKUP(C30,'CANTIDADES VALOR INICIAL'!$C$9:$C$185,'CANTIDADES VALOR INICIAL'!$I$9:$I$185)</f>
        <v>386031</v>
      </c>
    </row>
    <row r="31" spans="3:6" ht="31" customHeight="1" outlineLevel="1" x14ac:dyDescent="0.2">
      <c r="C31" s="254" t="str">
        <f>'VALORES INDEXADOS OBRA ALPES'!C70</f>
        <v>4.13</v>
      </c>
      <c r="D31" s="336" t="str">
        <f>'VALORES INDEXADOS OBRA ALPES'!D70</f>
        <v>GEODREN PLANAR H=1.0 M. SUMINISTRO E INSTALACION.</v>
      </c>
      <c r="E31" s="254" t="str">
        <f>'VALORES INDEXADOS OBRA ALPES'!E70</f>
        <v>ML</v>
      </c>
      <c r="F31" s="447">
        <f>_xlfn.XLOOKUP(C31,'CANTIDADES VALOR INICIAL'!$C$9:$C$185,'CANTIDADES VALOR INICIAL'!$I$9:$I$185)</f>
        <v>37717</v>
      </c>
    </row>
    <row r="32" spans="3:6" ht="31" customHeight="1" outlineLevel="1" x14ac:dyDescent="0.2">
      <c r="C32" s="254" t="str">
        <f>'VALORES INDEXADOS OBRA ALPES'!C71</f>
        <v>4.14</v>
      </c>
      <c r="D32" s="336" t="str">
        <f>'VALORES INDEXADOS OBRA ALPES'!D71</f>
        <v>TUBERIA PVC PARA DRENAJE D=4" SIN FILTRO (INCLUYE SUMINISTRO E INSTALACIÓN)</v>
      </c>
      <c r="E32" s="254" t="str">
        <f>'VALORES INDEXADOS OBRA ALPES'!E71</f>
        <v>ML</v>
      </c>
      <c r="F32" s="447">
        <f>_xlfn.XLOOKUP(C32,'CANTIDADES VALOR INICIAL'!$C$9:$C$185,'CANTIDADES VALOR INICIAL'!$I$9:$I$185)</f>
        <v>32694</v>
      </c>
    </row>
    <row r="33" spans="3:6" ht="31" customHeight="1" outlineLevel="1" x14ac:dyDescent="0.2">
      <c r="C33" s="254" t="str">
        <f>'VALORES INDEXADOS OBRA ALPES'!C72</f>
        <v>4.15</v>
      </c>
      <c r="D33" s="336" t="str">
        <f>'VALORES INDEXADOS OBRA ALPES'!D72</f>
        <v>TUBERIA PVC D=2" TIPO U.M. RDE 21 (SUMINISTRO E INSTALACIÓN)</v>
      </c>
      <c r="E33" s="254" t="str">
        <f>'VALORES INDEXADOS OBRA ALPES'!E72</f>
        <v>ML</v>
      </c>
      <c r="F33" s="447">
        <f>_xlfn.XLOOKUP(C33,'CANTIDADES VALOR INICIAL'!$C$9:$C$185,'CANTIDADES VALOR INICIAL'!$I$9:$I$185)</f>
        <v>13548</v>
      </c>
    </row>
    <row r="34" spans="3:6" ht="19" outlineLevel="1" x14ac:dyDescent="0.2">
      <c r="C34" s="334">
        <f>'VALORES INDEXADOS OBRA ALPES'!C73</f>
        <v>5</v>
      </c>
      <c r="D34" s="335" t="str">
        <f>'VALORES INDEXADOS OBRA ALPES'!D73</f>
        <v>MOBILIARIO URBANO</v>
      </c>
      <c r="E34" s="334"/>
      <c r="F34" s="446"/>
    </row>
    <row r="35" spans="3:6" ht="33" customHeight="1" outlineLevel="1" x14ac:dyDescent="0.2">
      <c r="C35" s="254" t="str">
        <f>'VALORES INDEXADOS OBRA ALPES'!C76</f>
        <v>5.3</v>
      </c>
      <c r="D35" s="336" t="str">
        <f>'VALORES INDEXADOS OBRA ALPES'!D76</f>
        <v>BANCA EN CONCRETO TIPO M40 (SUMINISTRO E INSTALACIÓN)</v>
      </c>
      <c r="E35" s="254" t="str">
        <f>'VALORES INDEXADOS OBRA ALPES'!E76</f>
        <v>UN</v>
      </c>
      <c r="F35" s="447">
        <f>_xlfn.XLOOKUP(C35,'CANTIDADES VALOR INICIAL'!$C$9:$C$185,'CANTIDADES VALOR INICIAL'!$I$9:$I$185)</f>
        <v>201227</v>
      </c>
    </row>
    <row r="36" spans="3:6" ht="61" customHeight="1" outlineLevel="1" x14ac:dyDescent="0.2">
      <c r="C36" s="254" t="str">
        <f>'VALORES INDEXADOS OBRA ALPES'!C78</f>
        <v>5.5</v>
      </c>
      <c r="D36" s="336" t="str">
        <f>'VALORES INDEXADOS OBRA ALPES'!D78</f>
        <v xml:space="preserve">CONTENEDOR DE RAÍCES, INCLUYE MUROS EN CONCRETO GRAVA COMÚN 300 PSI (210 KG/CM2), SUMINISTRO Y CONSTRUCCIÓN Y FILTRO EN GRAVILLA ½”, FORMALETA Y REFUERZO NO INCLUYE TIERRA NEGRA. </v>
      </c>
      <c r="E36" s="254" t="str">
        <f>'VALORES INDEXADOS OBRA ALPES'!E78</f>
        <v>M2</v>
      </c>
      <c r="F36" s="447">
        <f>_xlfn.XLOOKUP(C36,'CANTIDADES VALOR INICIAL'!$C$9:$C$185,'CANTIDADES VALOR INICIAL'!$I$9:$I$185)</f>
        <v>840674</v>
      </c>
    </row>
    <row r="37" spans="3:6" ht="32" outlineLevel="1" x14ac:dyDescent="0.2">
      <c r="C37" s="254" t="str">
        <f>'VALORES INDEXADOS OBRA ALPES'!C79</f>
        <v>5.6</v>
      </c>
      <c r="D37" s="336" t="str">
        <f>'VALORES INDEXADOS OBRA ALPES'!D79</f>
        <v>BORDE CONTENEDOR DE RAÍCES A-70 (INCLUYE SUMINISTRO E INSTALACIÓN, INCLUYE BASE DE 3CM EN MORTERO 1:3 HECHO EN OBRA</v>
      </c>
      <c r="E37" s="254" t="str">
        <f>'VALORES INDEXADOS OBRA ALPES'!E79</f>
        <v>M</v>
      </c>
      <c r="F37" s="447">
        <f>_xlfn.XLOOKUP(C37,'CANTIDADES VALOR INICIAL'!$C$9:$C$185,'CANTIDADES VALOR INICIAL'!$I$9:$I$185)</f>
        <v>37503</v>
      </c>
    </row>
    <row r="38" spans="3:6" ht="32" outlineLevel="1" x14ac:dyDescent="0.2">
      <c r="C38" s="254" t="str">
        <f>'VALORES INDEXADOS OBRA ALPES'!C81</f>
        <v>5.8</v>
      </c>
      <c r="D38" s="336" t="str">
        <f>'VALORES INDEXADOS OBRA ALPES'!D81</f>
        <v>FUCCIA H=1.3MT (INCLUYE TIERRA, ABONO, TUTOR, TRANSPORTE Y DISPOSICIÓN FINAL DE ESCOMBROS A 28 KM). SUMINISTRO Y PLANTACION.</v>
      </c>
      <c r="E38" s="254" t="str">
        <f>'VALORES INDEXADOS OBRA ALPES'!E81</f>
        <v>UN</v>
      </c>
      <c r="F38" s="447">
        <f>_xlfn.XLOOKUP(C38,'CANTIDADES VALOR INICIAL'!$C$9:$C$185,'CANTIDADES VALOR INICIAL'!$I$9:$I$185)</f>
        <v>296852</v>
      </c>
    </row>
    <row r="39" spans="3:6" ht="32" outlineLevel="1" x14ac:dyDescent="0.2">
      <c r="C39" s="254" t="str">
        <f>'VALORES INDEXADOS OBRA ALPES'!C82</f>
        <v>5.9</v>
      </c>
      <c r="D39" s="336" t="str">
        <f>'VALORES INDEXADOS OBRA ALPES'!D82</f>
        <v>CHICALA H=1.5MT (INCLUYE SIEMBRA, CAJA, TIERRA, ABONO, TUTOR, TRANSPORTE Y DISPOSICIÓN FINAL DE ESCOMBROS 28 KM).  SUMINISTRO Y PLANTACION.</v>
      </c>
      <c r="E39" s="254" t="str">
        <f>'VALORES INDEXADOS OBRA ALPES'!E82</f>
        <v>UN</v>
      </c>
      <c r="F39" s="447">
        <f>_xlfn.XLOOKUP(C39,'CANTIDADES VALOR INICIAL'!$C$9:$C$185,'CANTIDADES VALOR INICIAL'!$I$9:$I$185)</f>
        <v>288254</v>
      </c>
    </row>
    <row r="40" spans="3:6" ht="32" outlineLevel="1" x14ac:dyDescent="0.2">
      <c r="C40" s="254" t="str">
        <f>'VALORES INDEXADOS OBRA ALPES'!C83</f>
        <v>5.10</v>
      </c>
      <c r="D40" s="336" t="str">
        <f>'VALORES INDEXADOS OBRA ALPES'!D83</f>
        <v>MANGUE TIERRA FRIA H= 1.5M DE ALTURA (INCLUYE TIERRA, ABONO, TUTOR, TRANSPORTE Y DISPOSICIÓN FINAL DE ESCOMBROS A 28 KM) SUMINISTRO Y PLANTACIÓN</v>
      </c>
      <c r="E40" s="254" t="str">
        <f>'VALORES INDEXADOS OBRA ALPES'!E83</f>
        <v>UN</v>
      </c>
      <c r="F40" s="447">
        <f>_xlfn.XLOOKUP(C40,'CANTIDADES VALOR INICIAL'!$C$9:$C$185,'CANTIDADES VALOR INICIAL'!$I$9:$I$185)</f>
        <v>288255</v>
      </c>
    </row>
    <row r="41" spans="3:6" ht="19" outlineLevel="1" x14ac:dyDescent="0.2">
      <c r="C41" s="334">
        <f>'VALORES INDEXADOS OBRA ALPES'!C85</f>
        <v>6</v>
      </c>
      <c r="D41" s="335" t="str">
        <f>'VALORES INDEXADOS OBRA ALPES'!D85</f>
        <v>REDES HIDRAULICAS</v>
      </c>
      <c r="E41" s="334"/>
      <c r="F41" s="451"/>
    </row>
    <row r="42" spans="3:6" ht="32" outlineLevel="1" x14ac:dyDescent="0.2">
      <c r="C42" s="254" t="str">
        <f>'VALORES INDEXADOS OBRA ALPES'!C91</f>
        <v>6.6</v>
      </c>
      <c r="D42" s="336" t="str">
        <f>'VALORES INDEXADOS OBRA ALPES'!D91</f>
        <v>CONSTRUCCION CANALETA DE AGUAS LLUVIAS DE 0.4 X 0.4 MT EN CONCRETO DE 3000PSI INCLUYE REJILLA PREFABRICADA.</v>
      </c>
      <c r="E42" s="427" t="str">
        <f>'VALORES INDEXADOS OBRA ALPES'!E91</f>
        <v>M</v>
      </c>
      <c r="F42" s="449">
        <f>ROUND(Comparativo!M15,0)</f>
        <v>224849</v>
      </c>
    </row>
    <row r="43" spans="3:6" ht="26" customHeight="1" outlineLevel="1" x14ac:dyDescent="0.2">
      <c r="C43" s="254" t="str">
        <f>'VALORES INDEXADOS OBRA ALPES'!C92</f>
        <v>6.7</v>
      </c>
      <c r="D43" s="336" t="str">
        <f>'VALORES INDEXADOS OBRA ALPES'!D92</f>
        <v>SUMINISTRO E INSTALACIÓN DE BOLSACRETO</v>
      </c>
      <c r="E43" s="254" t="str">
        <f>'VALORES INDEXADOS OBRA ALPES'!E92</f>
        <v>M3</v>
      </c>
      <c r="F43" s="450">
        <f>_xlfn.XLOOKUP(C43,'CANTIDADES VALOR INICIAL'!$C$9:$C$185,'CANTIDADES VALOR INICIAL'!$I$9:$I$185)</f>
        <v>814528</v>
      </c>
    </row>
    <row r="44" spans="3:6" ht="32" outlineLevel="1" x14ac:dyDescent="0.2">
      <c r="C44" s="254" t="str">
        <f>'VALORES INDEXADOS OBRA ALPES'!C95</f>
        <v>6.10</v>
      </c>
      <c r="D44" s="336" t="str">
        <f>'VALORES INDEXADOS OBRA ALPES'!D95</f>
        <v>RELLENO CON GRAVA ENTRE 3/4" Y 1/2" PARA FILTROS (RELACIÓN 1:1) SUMINISTRO Y COLOCACIÓN. (INCLUYE TRANSPORTE, SUMINISTRO, EXTENDIDO MANUAL Y COLOCACIÓN)</v>
      </c>
      <c r="E44" s="254" t="str">
        <f>'VALORES INDEXADOS OBRA ALPES'!E95</f>
        <v>M3</v>
      </c>
      <c r="F44" s="448">
        <f>_xlfn.XLOOKUP(C44,'CANTIDADES VALOR INICIAL'!$C$9:$C$185,'CANTIDADES VALOR INICIAL'!$I$9:$I$185)</f>
        <v>136945</v>
      </c>
    </row>
    <row r="45" spans="3:6" ht="32" outlineLevel="1" x14ac:dyDescent="0.2">
      <c r="C45" s="254" t="str">
        <f>'VALORES INDEXADOS OBRA ALPES'!C97</f>
        <v>6.12</v>
      </c>
      <c r="D45" s="336" t="str">
        <f>'VALORES INDEXADOS OBRA ALPES'!D97</f>
        <v xml:space="preserve">ENTIBADO EC-2 CONTÍNUO MADERA CON PERFILES METÁLICOS Y PARALES TELESCÓPICOS. SUMINISTRO E INSTALACIÓN.    </v>
      </c>
      <c r="E45" s="427" t="str">
        <f>'VALORES INDEXADOS OBRA ALPES'!E97</f>
        <v>M2</v>
      </c>
      <c r="F45" s="452">
        <f>ROUND(Comparativo!M17,0)</f>
        <v>67935</v>
      </c>
    </row>
    <row r="46" spans="3:6" ht="32" outlineLevel="1" x14ac:dyDescent="0.2">
      <c r="C46" s="254" t="str">
        <f>'VALORES INDEXADOS OBRA ALPES'!C98</f>
        <v>6.13</v>
      </c>
      <c r="D46" s="336" t="str">
        <f>'VALORES INDEXADOS OBRA ALPES'!D98</f>
        <v xml:space="preserve">TUBERIA PVC U.M. EXT CORRUGADO/INT LISO U.M. NORMA NTC 3722-1 D=8" (INCLUYE SUMINISTRO E INSTALACIÓN)   </v>
      </c>
      <c r="E46" s="427" t="str">
        <f>'VALORES INDEXADOS OBRA ALPES'!E98</f>
        <v>M</v>
      </c>
      <c r="F46" s="452">
        <f>ROUND(Comparativo!M18,0)</f>
        <v>57076</v>
      </c>
    </row>
    <row r="47" spans="3:6" ht="32" outlineLevel="1" x14ac:dyDescent="0.2">
      <c r="C47" s="254" t="str">
        <f>'VALORES INDEXADOS OBRA ALPES'!C100</f>
        <v>6.15</v>
      </c>
      <c r="D47" s="336" t="str">
        <f>'VALORES INDEXADOS OBRA ALPES'!D100</f>
        <v>TUBERIA PVC U.M. EXT CORRUGADO/INT LISO U.M. NORMA NTC 3722-1 D=12" (INCLUYE SUMINISTRO E INSTALACIÓN)</v>
      </c>
      <c r="E47" s="427" t="str">
        <f>'VALORES INDEXADOS OBRA ALPES'!E100</f>
        <v>M</v>
      </c>
      <c r="F47" s="449">
        <f>ROUND(Comparativo!M20,0)</f>
        <v>115953</v>
      </c>
    </row>
    <row r="48" spans="3:6" ht="36" customHeight="1" outlineLevel="1" x14ac:dyDescent="0.2">
      <c r="C48" s="254" t="str">
        <f>'VALORES INDEXADOS OBRA ALPES'!C101</f>
        <v>6.16</v>
      </c>
      <c r="D48" s="336" t="str">
        <f>'VALORES INDEXADOS OBRA ALPES'!D101</f>
        <v xml:space="preserve">TUBERIA CONCRETO D=14" CL. I SIN REFUERZO (INCLUYE SUMINISTRO E INSTALACIÓN) </v>
      </c>
      <c r="E48" s="254" t="str">
        <f>'VALORES INDEXADOS OBRA ALPES'!E101</f>
        <v>M</v>
      </c>
      <c r="F48" s="453">
        <f>_xlfn.XLOOKUP(C48,'CANTIDADES VALOR INICIAL'!$C$9:$C$185,'CANTIDADES VALOR INICIAL'!$I$9:$I$185)</f>
        <v>156629</v>
      </c>
    </row>
    <row r="49" spans="3:6" ht="32" outlineLevel="1" x14ac:dyDescent="0.2">
      <c r="C49" s="254" t="str">
        <f>'VALORES INDEXADOS OBRA ALPES'!C102</f>
        <v>6.17</v>
      </c>
      <c r="D49" s="336" t="str">
        <f>'VALORES INDEXADOS OBRA ALPES'!D102</f>
        <v>TUBERIA PVC U.M. EXT CORRUGADO/INT LISO U.M. NORMA NTC 3722-1 D=16" (INCLUYE SUMINISTRO E INSTALACIÓN)</v>
      </c>
      <c r="E49" s="427" t="str">
        <f>'VALORES INDEXADOS OBRA ALPES'!E102</f>
        <v>M</v>
      </c>
      <c r="F49" s="452">
        <f>ROUND(Comparativo!M21,0)</f>
        <v>175557</v>
      </c>
    </row>
    <row r="50" spans="3:6" ht="32" outlineLevel="1" x14ac:dyDescent="0.2">
      <c r="C50" s="254" t="str">
        <f>'VALORES INDEXADOS OBRA ALPES'!C103</f>
        <v>6.18</v>
      </c>
      <c r="D50" s="336" t="str">
        <f>'VALORES INDEXADOS OBRA ALPES'!D103</f>
        <v>TUBERIA PVC U.M. EXT CORRUGADO/INT LISO U.M. NORMA NTC 3722-1 D=18" (INCLUYE SUMINISTRO E INSTALACIÓN)</v>
      </c>
      <c r="E50" s="427" t="str">
        <f>'VALORES INDEXADOS OBRA ALPES'!E103</f>
        <v>M</v>
      </c>
      <c r="F50" s="452">
        <f>ROUND(Comparativo!M22,0)</f>
        <v>227900</v>
      </c>
    </row>
    <row r="51" spans="3:6" ht="32" outlineLevel="1" x14ac:dyDescent="0.2">
      <c r="C51" s="254" t="str">
        <f>'VALORES INDEXADOS OBRA ALPES'!C104</f>
        <v>6.19</v>
      </c>
      <c r="D51" s="336" t="str">
        <f>'VALORES INDEXADOS OBRA ALPES'!D104</f>
        <v>TUBERIA PVC U.M. EXT CORRUGADO/INT LISO U.M. NORMA NTC 3722-1 D=20" (INCLUYE SUMINISTRO E INSTALACIÓN)</v>
      </c>
      <c r="E51" s="427" t="str">
        <f>'VALORES INDEXADOS OBRA ALPES'!E104</f>
        <v>M</v>
      </c>
      <c r="F51" s="449">
        <f>ROUND(Comparativo!M23,0)</f>
        <v>295226</v>
      </c>
    </row>
    <row r="52" spans="3:6" ht="35" customHeight="1" outlineLevel="1" x14ac:dyDescent="0.2">
      <c r="C52" s="254" t="str">
        <f>'VALORES INDEXADOS OBRA ALPES'!C105</f>
        <v>6.20</v>
      </c>
      <c r="D52" s="336" t="str">
        <f>'VALORES INDEXADOS OBRA ALPES'!D105</f>
        <v>TUBERIA PVC  U.M. EXT/INT LISO NORMA NTC 5070 D=24" (INCLUYE SUMINISTRO E INSTALACIÓN)</v>
      </c>
      <c r="E52" s="254" t="str">
        <f>'VALORES INDEXADOS OBRA ALPES'!E105</f>
        <v>M</v>
      </c>
      <c r="F52" s="450">
        <f>_xlfn.XLOOKUP(C52,'CANTIDADES VALOR INICIAL'!$C$9:$C$185,'CANTIDADES VALOR INICIAL'!$I$9:$I$185)</f>
        <v>392927</v>
      </c>
    </row>
    <row r="53" spans="3:6" ht="35" customHeight="1" outlineLevel="1" x14ac:dyDescent="0.2">
      <c r="C53" s="254" t="str">
        <f>'VALORES INDEXADOS OBRA ALPES'!C106</f>
        <v>6.21</v>
      </c>
      <c r="D53" s="336" t="str">
        <f>'VALORES INDEXADOS OBRA ALPES'!D106</f>
        <v>TUBERIA PVC  U.M. EXT/INT LISO NORMA NTC 5070 D=27" (INCLUYE SUMINISTRO E INSTALACIÓN)</v>
      </c>
      <c r="E53" s="254" t="str">
        <f>'VALORES INDEXADOS OBRA ALPES'!E106</f>
        <v>M</v>
      </c>
      <c r="F53" s="447">
        <f>_xlfn.XLOOKUP(C53,'CANTIDADES VALOR INICIAL'!$C$9:$C$185,'CANTIDADES VALOR INICIAL'!$I$9:$I$185)</f>
        <v>421273</v>
      </c>
    </row>
    <row r="54" spans="3:6" ht="35" customHeight="1" outlineLevel="1" x14ac:dyDescent="0.2">
      <c r="C54" s="254" t="str">
        <f>'VALORES INDEXADOS OBRA ALPES'!C107</f>
        <v>6.22</v>
      </c>
      <c r="D54" s="336" t="str">
        <f>'VALORES INDEXADOS OBRA ALPES'!D107</f>
        <v>TUBERIA PVC  U.M. EXT/INT LISO NORMA NTC 5070 D=30" (INCLUYE SUMINISTRO E INSTALACIÓN)</v>
      </c>
      <c r="E54" s="254" t="str">
        <f>'VALORES INDEXADOS OBRA ALPES'!E107</f>
        <v>M</v>
      </c>
      <c r="F54" s="447">
        <f>_xlfn.XLOOKUP(C54,'CANTIDADES VALOR INICIAL'!$C$9:$C$185,'CANTIDADES VALOR INICIAL'!$I$9:$I$185)</f>
        <v>516121</v>
      </c>
    </row>
    <row r="55" spans="3:6" ht="35" customHeight="1" outlineLevel="1" x14ac:dyDescent="0.2">
      <c r="C55" s="254" t="str">
        <f>'VALORES INDEXADOS OBRA ALPES'!C108</f>
        <v>6.23</v>
      </c>
      <c r="D55" s="336" t="str">
        <f>'VALORES INDEXADOS OBRA ALPES'!D108</f>
        <v>TUBERIA CONCRETO D=40" CL. II REFORZADO (INCLUYE SUMINISTRO E INSTALACIÓN)</v>
      </c>
      <c r="E55" s="254" t="str">
        <f>'VALORES INDEXADOS OBRA ALPES'!E108</f>
        <v>M</v>
      </c>
      <c r="F55" s="447">
        <f>_xlfn.XLOOKUP(C55,'CANTIDADES VALOR INICIAL'!$C$9:$C$185,'CANTIDADES VALOR INICIAL'!$I$9:$I$185)</f>
        <v>1445413</v>
      </c>
    </row>
    <row r="56" spans="3:6" ht="35" customHeight="1" outlineLevel="1" x14ac:dyDescent="0.2">
      <c r="C56" s="254" t="str">
        <f>'VALORES INDEXADOS OBRA ALPES'!C109</f>
        <v>6.24</v>
      </c>
      <c r="D56" s="336" t="str">
        <f>'VALORES INDEXADOS OBRA ALPES'!D109</f>
        <v>CONEXIONES KIT SILLA YEE 200 X 160 PVC. SUMINISTRO E INSTALACIÓN.</v>
      </c>
      <c r="E56" s="254" t="str">
        <f>'VALORES INDEXADOS OBRA ALPES'!E109</f>
        <v>UN</v>
      </c>
      <c r="F56" s="447">
        <f>_xlfn.XLOOKUP(C56,'CANTIDADES VALOR INICIAL'!$C$9:$C$185,'CANTIDADES VALOR INICIAL'!$I$9:$I$185)</f>
        <v>90210</v>
      </c>
    </row>
    <row r="57" spans="3:6" ht="35" customHeight="1" outlineLevel="1" x14ac:dyDescent="0.2">
      <c r="C57" s="254" t="str">
        <f>'VALORES INDEXADOS OBRA ALPES'!C110</f>
        <v>6.25</v>
      </c>
      <c r="D57" s="336" t="str">
        <f>'VALORES INDEXADOS OBRA ALPES'!D110</f>
        <v>TUBERIA PVC SANITARIA D=6" TIPO U.S. (INCLUYE SUMINISTRO E INSTALACIÓN)</v>
      </c>
      <c r="E57" s="254" t="str">
        <f>'VALORES INDEXADOS OBRA ALPES'!E110</f>
        <v>M</v>
      </c>
      <c r="F57" s="447">
        <f>_xlfn.XLOOKUP(C57,'CANTIDADES VALOR INICIAL'!$C$9:$C$185,'CANTIDADES VALOR INICIAL'!$I$9:$I$185)</f>
        <v>98297</v>
      </c>
    </row>
    <row r="58" spans="3:6" ht="32" outlineLevel="1" x14ac:dyDescent="0.2">
      <c r="C58" s="254" t="str">
        <f>'VALORES INDEXADOS OBRA ALPES'!C111</f>
        <v>6.26</v>
      </c>
      <c r="D58" s="336" t="str">
        <f>'VALORES INDEXADOS OBRA ALPES'!D111</f>
        <v>CILINDRO POZO INSP. EN MAMPOSTERIA E=0.25M (INC. SUMIN. Y CONST, ACERO PARA ESCALERAS, GEOTEXTIL Y PAÑETE IMPERMEAB.)</v>
      </c>
      <c r="E58" s="254" t="str">
        <f>'VALORES INDEXADOS OBRA ALPES'!E111</f>
        <v>M</v>
      </c>
      <c r="F58" s="447">
        <f>_xlfn.XLOOKUP(C58,'CANTIDADES VALOR INICIAL'!$C$9:$C$185,'CANTIDADES VALOR INICIAL'!$I$9:$I$185)</f>
        <v>598790</v>
      </c>
    </row>
    <row r="59" spans="3:6" ht="30" customHeight="1" outlineLevel="1" x14ac:dyDescent="0.2">
      <c r="C59" s="254" t="str">
        <f>'VALORES INDEXADOS OBRA ALPES'!C112</f>
        <v>6.27</v>
      </c>
      <c r="D59" s="336" t="str">
        <f>'VALORES INDEXADOS OBRA ALPES'!D112</f>
        <v>CAÑUELA TIPO A120 (SUMINISTRO E INSTALACIÓN. INCLUYE 3CM MORTERO 2000 PSI)</v>
      </c>
      <c r="E59" s="254" t="str">
        <f>'VALORES INDEXADOS OBRA ALPES'!E112</f>
        <v>UN</v>
      </c>
      <c r="F59" s="447">
        <f>_xlfn.XLOOKUP(C59,'CANTIDADES VALOR INICIAL'!$C$9:$C$185,'CANTIDADES VALOR INICIAL'!$I$9:$I$185)</f>
        <v>62500</v>
      </c>
    </row>
    <row r="60" spans="3:6" ht="32" outlineLevel="1" x14ac:dyDescent="0.2">
      <c r="C60" s="254" t="str">
        <f>'VALORES INDEXADOS OBRA ALPES'!C113</f>
        <v>6.28</v>
      </c>
      <c r="D60" s="336" t="str">
        <f>'VALORES INDEXADOS OBRA ALPES'!D113</f>
        <v>PLACA FONDO D 1,70M POZO DE INSPEC(FUNDIDA EN SITIO, INC SUMINISTRO, FORMALET, REFUERZO, INST, INCLUYE CONCRETO 2000 PSI)</v>
      </c>
      <c r="E60" s="254" t="str">
        <f>'VALORES INDEXADOS OBRA ALPES'!E113</f>
        <v>UN</v>
      </c>
      <c r="F60" s="447">
        <f>_xlfn.XLOOKUP(C60,'CANTIDADES VALOR INICIAL'!$C$9:$C$185,'CANTIDADES VALOR INICIAL'!$I$9:$I$185)</f>
        <v>676461</v>
      </c>
    </row>
    <row r="61" spans="3:6" ht="32" outlineLevel="1" x14ac:dyDescent="0.2">
      <c r="C61" s="254" t="str">
        <f>'VALORES INDEXADOS OBRA ALPES'!C114</f>
        <v>6.29</v>
      </c>
      <c r="D61" s="336" t="str">
        <f>'VALORES INDEXADOS OBRA ALPES'!D114</f>
        <v>PLACA CUBIERTA D=1.70M POZO INSPEC. (FUNDIDA EN SITIO. INC. SUM, FORMALET., REFUERZO E INST. INCL. TAPA EN POLIPROPILENO)</v>
      </c>
      <c r="E61" s="254" t="str">
        <f>'VALORES INDEXADOS OBRA ALPES'!E114</f>
        <v>UN</v>
      </c>
      <c r="F61" s="448">
        <f>_xlfn.XLOOKUP(C61,'CANTIDADES VALOR INICIAL'!$C$9:$C$185,'CANTIDADES VALOR INICIAL'!$I$9:$I$185)</f>
        <v>1686547</v>
      </c>
    </row>
    <row r="62" spans="3:6" ht="32" outlineLevel="1" x14ac:dyDescent="0.2">
      <c r="C62" s="254" t="str">
        <f>'VALORES INDEXADOS OBRA ALPES'!C115</f>
        <v>6.30</v>
      </c>
      <c r="D62" s="336" t="str">
        <f>'VALORES INDEXADOS OBRA ALPES'!D115</f>
        <v>SUMIDERO LATERAL SL-100, H=1.25M (FUNDIDO EN SITIO, CONCRETO PREMEZCLADO. INCL. SUMIN, FORM, REF. Y CONSTR. INCL. TAPA)</v>
      </c>
      <c r="E62" s="427" t="str">
        <f>'VALORES INDEXADOS OBRA ALPES'!E115</f>
        <v>UN</v>
      </c>
      <c r="F62" s="449">
        <f>ROUND(Comparativo!M24,0)</f>
        <v>2120134</v>
      </c>
    </row>
    <row r="63" spans="3:6" ht="32" outlineLevel="1" x14ac:dyDescent="0.2">
      <c r="C63" s="254" t="str">
        <f>'VALORES INDEXADOS OBRA ALPES'!C116</f>
        <v>6.31</v>
      </c>
      <c r="D63" s="336" t="str">
        <f>'VALORES INDEXADOS OBRA ALPES'!D116</f>
        <v>SUMIDERO LATERAL SL-200, H=1.25M (FUNDIDO EN SITIO, CONCRETO PREMEZCLADO. INCL. SUMIN, FORM, REF. Y CONSTR. INCL. TAPA)</v>
      </c>
      <c r="E63" s="254" t="str">
        <f>'VALORES INDEXADOS OBRA ALPES'!E116</f>
        <v>UN</v>
      </c>
      <c r="F63" s="450">
        <f>_xlfn.XLOOKUP(C63,'CANTIDADES VALOR INICIAL'!$C$9:$C$185,'CANTIDADES VALOR INICIAL'!$I$9:$I$185)</f>
        <v>4220412</v>
      </c>
    </row>
    <row r="64" spans="3:6" ht="19" outlineLevel="1" x14ac:dyDescent="0.2">
      <c r="C64" s="334">
        <f>'VALORES INDEXADOS OBRA ALPES'!C120</f>
        <v>8</v>
      </c>
      <c r="D64" s="335" t="str">
        <f>'VALORES INDEXADOS OBRA ALPES'!D120</f>
        <v>REDES ELECTRICAS</v>
      </c>
      <c r="E64" s="334"/>
      <c r="F64" s="446"/>
    </row>
    <row r="65" spans="3:6" ht="32" outlineLevel="1" x14ac:dyDescent="0.2">
      <c r="C65" s="254" t="str">
        <f>'VALORES INDEXADOS OBRA ALPES'!C123</f>
        <v>8.3</v>
      </c>
      <c r="D65" s="336" t="str">
        <f>'VALORES INDEXADOS OBRA ALPES'!D123</f>
        <v>INSTALACIÓN DE ESTRUCTURA PARA RED DE BAJA TENSIÓN (INCLUYE CUADRILLA, EQUIPOS, ACCESORIOS Y HERRAMIENTA MENOR)</v>
      </c>
      <c r="E65" s="254" t="str">
        <f>'VALORES INDEXADOS OBRA ALPES'!E123</f>
        <v>UN</v>
      </c>
      <c r="F65" s="447">
        <f>_xlfn.XLOOKUP(C65,'CANTIDADES VALOR INICIAL'!$C$9:$C$185,'CANTIDADES VALOR INICIAL'!$I$9:$I$185)</f>
        <v>1491770</v>
      </c>
    </row>
    <row r="66" spans="3:6" ht="33" customHeight="1" outlineLevel="1" x14ac:dyDescent="0.2">
      <c r="C66" s="254" t="str">
        <f>'VALORES INDEXADOS OBRA ALPES'!C124</f>
        <v>8.4</v>
      </c>
      <c r="D66" s="336" t="str">
        <f>'VALORES INDEXADOS OBRA ALPES'!D124</f>
        <v>REUBICACIÓN POSTE DE CONCRETO 12M 1050 KG  (INCLUYE CUADRILLA, GRÚA Y HERRAMIENTA MENOR)</v>
      </c>
      <c r="E66" s="254" t="str">
        <f>'VALORES INDEXADOS OBRA ALPES'!E124</f>
        <v>UN</v>
      </c>
      <c r="F66" s="447">
        <f>_xlfn.XLOOKUP(C66,'CANTIDADES VALOR INICIAL'!$C$9:$C$185,'CANTIDADES VALOR INICIAL'!$I$9:$I$185)</f>
        <v>2296967</v>
      </c>
    </row>
    <row r="67" spans="3:6" ht="33" customHeight="1" outlineLevel="1" x14ac:dyDescent="0.2">
      <c r="C67" s="254" t="str">
        <f>'VALORES INDEXADOS OBRA ALPES'!C125</f>
        <v>8.5</v>
      </c>
      <c r="D67" s="336" t="str">
        <f>'VALORES INDEXADOS OBRA ALPES'!D125</f>
        <v>PAGO POR SERVICIO DE ENERGÍA NO PRESTADO</v>
      </c>
      <c r="E67" s="254" t="str">
        <f>'VALORES INDEXADOS OBRA ALPES'!E125</f>
        <v>UN</v>
      </c>
      <c r="F67" s="447">
        <f>_xlfn.XLOOKUP(C67,'CANTIDADES VALOR INICIAL'!$C$9:$C$185,'CANTIDADES VALOR INICIAL'!$I$9:$I$185)</f>
        <v>3526296</v>
      </c>
    </row>
    <row r="68" spans="3:6" ht="19" outlineLevel="1" x14ac:dyDescent="0.2">
      <c r="C68" s="334">
        <f>'VALORES INDEXADOS OBRA ALPES'!C126</f>
        <v>9</v>
      </c>
      <c r="D68" s="335" t="str">
        <f>'VALORES INDEXADOS OBRA ALPES'!D126</f>
        <v>REDES TELECOMUNICACIONES</v>
      </c>
      <c r="E68" s="334"/>
      <c r="F68" s="446"/>
    </row>
    <row r="69" spans="3:6" ht="32" outlineLevel="1" x14ac:dyDescent="0.2">
      <c r="C69" s="254" t="str">
        <f>'VALORES INDEXADOS OBRA ALPES'!C129</f>
        <v>9.3</v>
      </c>
      <c r="D69" s="336" t="str">
        <f>'VALORES INDEXADOS OBRA ALPES'!D129</f>
        <v>REUBICACIÓN POSTE DE CONCRETO 10M  - DE PASO O TERMINAL (INCLUYE CUADRILLA, GRÚA Y HERRAMIENTA MENOR)</v>
      </c>
      <c r="E69" s="254" t="str">
        <f>'VALORES INDEXADOS OBRA ALPES'!E129</f>
        <v>UN</v>
      </c>
      <c r="F69" s="447">
        <f>_xlfn.XLOOKUP(C69,'CANTIDADES VALOR INICIAL'!$C$9:$C$185,'CANTIDADES VALOR INICIAL'!$I$9:$I$185)</f>
        <v>2235859</v>
      </c>
    </row>
    <row r="70" spans="3:6" ht="19" outlineLevel="1" x14ac:dyDescent="0.2">
      <c r="C70" s="254" t="str">
        <f>'VALORES INDEXADOS OBRA ALPES'!C130</f>
        <v>9.4</v>
      </c>
      <c r="D70" s="336" t="str">
        <f>'VALORES INDEXADOS OBRA ALPES'!D130</f>
        <v>PAGO POR SERVICIO DE TELECOMUNICACIONES NO PRESTADO</v>
      </c>
      <c r="E70" s="254" t="str">
        <f>'VALORES INDEXADOS OBRA ALPES'!E130</f>
        <v>UN</v>
      </c>
      <c r="F70" s="447">
        <f>_xlfn.XLOOKUP(C70,'CANTIDADES VALOR INICIAL'!$C$9:$C$185,'CANTIDADES VALOR INICIAL'!$I$9:$I$185)</f>
        <v>3189909</v>
      </c>
    </row>
    <row r="71" spans="3:6" ht="19" outlineLevel="1" x14ac:dyDescent="0.2">
      <c r="C71" s="334">
        <f>'VALORES INDEXADOS OBRA ALPES'!C131</f>
        <v>10</v>
      </c>
      <c r="D71" s="335" t="str">
        <f>'VALORES INDEXADOS OBRA ALPES'!D131</f>
        <v>OTROS</v>
      </c>
      <c r="E71" s="334"/>
      <c r="F71" s="451"/>
    </row>
    <row r="72" spans="3:6" ht="24" customHeight="1" outlineLevel="1" x14ac:dyDescent="0.2">
      <c r="C72" s="254" t="str">
        <f>'VALORES INDEXADOS OBRA ALPES'!C132</f>
        <v>10.01</v>
      </c>
      <c r="D72" s="336" t="str">
        <f>'VALORES INDEXADOS OBRA ALPES'!D132</f>
        <v>INSPECCIÓN DE REDES DE ALCANTARILLADO CON SISTEMAS CCTV PARA DIÁMETROS ENTRE 6" A 36"</v>
      </c>
      <c r="E72" s="427" t="str">
        <f>'VALORES INDEXADOS OBRA ALPES'!E132</f>
        <v>ML</v>
      </c>
      <c r="F72" s="452">
        <f>ROUND(Comparativo!M25,0)</f>
        <v>14404</v>
      </c>
    </row>
    <row r="73" spans="3:6" ht="48" outlineLevel="1" x14ac:dyDescent="0.2">
      <c r="C73" s="254" t="str">
        <f>'VALORES INDEXADOS OBRA ALPES'!C133</f>
        <v>10.02</v>
      </c>
      <c r="D73" s="336" t="str">
        <f>'VALORES INDEXADOS OBRA ALPES'!D133</f>
        <v>LAVADO Y SONDEO DE REDES DE ALCANTARILLADO ENTRE 6" Y 18" DE DIÁMETRO Y CON GRADO DE COLMATACIÓN MENOR DEL 30%. INCL MANO DE OBRA IDÓNEA, SEÑALIZACIÓN BÁSICA, SUMIN DE COMBUSTIBLE Y AGUA. INCL. IVA</v>
      </c>
      <c r="E73" s="427" t="str">
        <f>'VALORES INDEXADOS OBRA ALPES'!E133</f>
        <v>ML</v>
      </c>
      <c r="F73" s="449">
        <f>ROUND(Comparativo!M26,0)</f>
        <v>20230</v>
      </c>
    </row>
    <row r="74" spans="3:6" ht="32" outlineLevel="1" x14ac:dyDescent="0.2">
      <c r="C74" s="254" t="str">
        <f>'VALORES INDEXADOS OBRA ALPES'!C134</f>
        <v>10.03</v>
      </c>
      <c r="D74" s="336" t="str">
        <f>'VALORES INDEXADOS OBRA ALPES'!D134</f>
        <v>PLACA CUBIERTA D=1.00M POZO INSPEC. (PREFABRICADA. INCLUYE SUMINISTRO E INSTALACIÓN. INCLUYE TAPA EN CONCRETO)</v>
      </c>
      <c r="E74" s="254" t="str">
        <f>'VALORES INDEXADOS OBRA ALPES'!E134</f>
        <v>UN</v>
      </c>
      <c r="F74" s="450">
        <f>_xlfn.XLOOKUP(C74,'CANTIDADES VALOR INICIAL'!$C$9:$C$185,'CANTIDADES VALOR INICIAL'!$I$9:$I$185)</f>
        <v>1100900</v>
      </c>
    </row>
    <row r="75" spans="3:6" ht="32" outlineLevel="1" x14ac:dyDescent="0.2">
      <c r="C75" s="254" t="str">
        <f>'VALORES INDEXADOS OBRA ALPES'!C135</f>
        <v>10.04</v>
      </c>
      <c r="D75" s="336" t="str">
        <f>'VALORES INDEXADOS OBRA ALPES'!D135</f>
        <v>DEMOLICION DE TUBERIAS DE ACUEDUCTO Y ALCANTARILLADO Ø &lt; 36" (INCLUYE MARTILLO NEUMÁTICO DE 60 LB Y CARGUE).</v>
      </c>
      <c r="E75" s="254" t="str">
        <f>'VALORES INDEXADOS OBRA ALPES'!E135</f>
        <v>ML</v>
      </c>
      <c r="F75" s="447">
        <f>_xlfn.XLOOKUP(C75,'CANTIDADES VALOR INICIAL'!$C$9:$C$185,'CANTIDADES VALOR INICIAL'!$I$9:$I$185)</f>
        <v>11848</v>
      </c>
    </row>
    <row r="76" spans="3:6" ht="23" customHeight="1" outlineLevel="1" x14ac:dyDescent="0.2">
      <c r="C76" s="254" t="str">
        <f>'VALORES INDEXADOS OBRA ALPES'!C136</f>
        <v>10.05</v>
      </c>
      <c r="D76" s="336" t="str">
        <f>'VALORES INDEXADOS OBRA ALPES'!D136</f>
        <v>CÁMARA DE CAIDA D=8" H=1.86M (INCLUYE SUMINISTRO E INSTALACIÓN)</v>
      </c>
      <c r="E76" s="254" t="str">
        <f>'VALORES INDEXADOS OBRA ALPES'!E136</f>
        <v>UN</v>
      </c>
      <c r="F76" s="447">
        <f>_xlfn.XLOOKUP(C76,'CANTIDADES VALOR INICIAL'!$C$9:$C$185,'CANTIDADES VALOR INICIAL'!$I$9:$I$185)</f>
        <v>1100156</v>
      </c>
    </row>
    <row r="77" spans="3:6" ht="30" customHeight="1" outlineLevel="1" x14ac:dyDescent="0.2">
      <c r="C77" s="254" t="str">
        <f>'VALORES INDEXADOS OBRA ALPES'!C137</f>
        <v>10.06</v>
      </c>
      <c r="D77" s="336" t="str">
        <f>'VALORES INDEXADOS OBRA ALPES'!D137</f>
        <v>CONCRETO 3000 PSI HECHO EN OBRA PARA REDES (SUMINISTRO Y COLOCACIÓN)</v>
      </c>
      <c r="E77" s="254" t="str">
        <f>'VALORES INDEXADOS OBRA ALPES'!E137</f>
        <v>M3</v>
      </c>
      <c r="F77" s="447">
        <f>_xlfn.XLOOKUP(C77,'CANTIDADES VALOR INICIAL'!$C$9:$C$185,'CANTIDADES VALOR INICIAL'!$I$9:$I$185)</f>
        <v>712082</v>
      </c>
    </row>
    <row r="78" spans="3:6" ht="32" outlineLevel="1" x14ac:dyDescent="0.2">
      <c r="C78" s="254" t="str">
        <f>'VALORES INDEXADOS OBRA ALPES'!C138</f>
        <v>10.07</v>
      </c>
      <c r="D78" s="336" t="str">
        <f>'VALORES INDEXADOS OBRA ALPES'!D138</f>
        <v>RELLENO CON MEZCLA DE GRAVILLA DE 3/4" Y ARENA DE RIO (RELACIÓN 1:1) SUMINISTRO Y COLOCACIÓN. (INCLUYE TRANSPORTE, SUMINISTRO, EXTENDIDO MANUAL Y COLOCACIÓN).</v>
      </c>
      <c r="E78" s="254" t="str">
        <f>'VALORES INDEXADOS OBRA ALPES'!E138</f>
        <v>M3</v>
      </c>
      <c r="F78" s="447">
        <f>_xlfn.XLOOKUP(C78,'CANTIDADES VALOR INICIAL'!$C$9:$C$185,'CANTIDADES VALOR INICIAL'!$I$9:$I$185)</f>
        <v>224657</v>
      </c>
    </row>
    <row r="79" spans="3:6" ht="19" outlineLevel="1" x14ac:dyDescent="0.2">
      <c r="C79" s="254" t="str">
        <f>'VALORES INDEXADOS OBRA ALPES'!C139</f>
        <v>10.08</v>
      </c>
      <c r="D79" s="336" t="str">
        <f>'VALORES INDEXADOS OBRA ALPES'!D139</f>
        <v>GEOTEXTIL NT 2500 PARA SUBDRENES/FILTROS (INCLUYE SUMINISTRO E INSTALACIÓN)</v>
      </c>
      <c r="E79" s="254" t="str">
        <f>'VALORES INDEXADOS OBRA ALPES'!E139</f>
        <v>M2</v>
      </c>
      <c r="F79" s="447">
        <f>_xlfn.XLOOKUP(C79,'CANTIDADES VALOR INICIAL'!$C$9:$C$185,'CANTIDADES VALOR INICIAL'!$I$9:$I$185)</f>
        <v>9017</v>
      </c>
    </row>
    <row r="80" spans="3:6" ht="32" outlineLevel="1" x14ac:dyDescent="0.2">
      <c r="C80" s="254" t="str">
        <f>'VALORES INDEXADOS OBRA ALPES'!C140</f>
        <v>10.09</v>
      </c>
      <c r="D80" s="336" t="str">
        <f>'VALORES INDEXADOS OBRA ALPES'!D140</f>
        <v>GEOTEXTIL T, RESIST. ULTIMA (TIRA ANCHA)=30 KN/M PARA SEPARACION SUBRASANTE/CAPAS GRANULARES (INC. SUMIN. E INSTALACIÓN)</v>
      </c>
      <c r="E80" s="254" t="str">
        <f>'VALORES INDEXADOS OBRA ALPES'!E140</f>
        <v>M2</v>
      </c>
      <c r="F80" s="447">
        <f>_xlfn.XLOOKUP(C80,'CANTIDADES VALOR INICIAL'!$C$9:$C$185,'CANTIDADES VALOR INICIAL'!$I$9:$I$185)</f>
        <v>10985</v>
      </c>
    </row>
    <row r="81" spans="3:6" ht="33" customHeight="1" outlineLevel="1" x14ac:dyDescent="0.2">
      <c r="C81" s="254" t="str">
        <f>'VALORES INDEXADOS OBRA ALPES'!C141</f>
        <v>10.10</v>
      </c>
      <c r="D81" s="336" t="str">
        <f>'VALORES INDEXADOS OBRA ALPES'!D141</f>
        <v>CONCRETO 2500 PSI HECHO EN OBRA PARA REDES (SUMINISTRO Y COLOCACIÓN)</v>
      </c>
      <c r="E81" s="254" t="str">
        <f>'VALORES INDEXADOS OBRA ALPES'!E141</f>
        <v>M3</v>
      </c>
      <c r="F81" s="447">
        <f>_xlfn.XLOOKUP(C81,'CANTIDADES VALOR INICIAL'!$C$9:$C$185,'CANTIDADES VALOR INICIAL'!$I$9:$I$185)</f>
        <v>498141</v>
      </c>
    </row>
    <row r="82" spans="3:6" ht="28" customHeight="1" outlineLevel="1" x14ac:dyDescent="0.2">
      <c r="C82" s="254" t="str">
        <f>'VALORES INDEXADOS OBRA ALPES'!C142</f>
        <v>10.11</v>
      </c>
      <c r="D82" s="336" t="str">
        <f>'VALORES INDEXADOS OBRA ALPES'!D142</f>
        <v>SUMINISTRO E INSTALACIÓN DE FILTRO FRANCÉS</v>
      </c>
      <c r="E82" s="254" t="str">
        <f>'VALORES INDEXADOS OBRA ALPES'!E142</f>
        <v>ML</v>
      </c>
      <c r="F82" s="447">
        <f>_xlfn.XLOOKUP(C82,'CANTIDADES VALOR INICIAL'!$C$9:$C$185,'CANTIDADES VALOR INICIAL'!$I$9:$I$185)</f>
        <v>82931</v>
      </c>
    </row>
    <row r="83" spans="3:6" ht="28" customHeight="1" outlineLevel="1" x14ac:dyDescent="0.2">
      <c r="C83" s="254" t="str">
        <f>'VALORES INDEXADOS OBRA ALPES'!C143</f>
        <v>10.12</v>
      </c>
      <c r="D83" s="336" t="str">
        <f>'VALORES INDEXADOS OBRA ALPES'!D143</f>
        <v>CAJA DE INSPECCIÓN DE 0.80X0.80</v>
      </c>
      <c r="E83" s="254" t="str">
        <f>'VALORES INDEXADOS OBRA ALPES'!E143</f>
        <v>UN</v>
      </c>
      <c r="F83" s="447">
        <f>_xlfn.XLOOKUP(C83,'CANTIDADES VALOR INICIAL'!$C$9:$C$185,'CANTIDADES VALOR INICIAL'!$I$9:$I$185)</f>
        <v>661484</v>
      </c>
    </row>
    <row r="84" spans="3:6" ht="32" outlineLevel="1" x14ac:dyDescent="0.2">
      <c r="C84" s="254" t="str">
        <f>'VALORES INDEXADOS OBRA ALPES'!C144</f>
        <v>10.13</v>
      </c>
      <c r="D84" s="336" t="str">
        <f>'VALORES INDEXADOS OBRA ALPES'!D144</f>
        <v>PISO EN LOSETA PREFABRICADA A20 (SUMINISTRO E INSTALACIÓN. INCLUYE BASE 4CM ARENA NIVELACIÓN Y ARENA DE SELLO)</v>
      </c>
      <c r="E84" s="254" t="str">
        <f>'VALORES INDEXADOS OBRA ALPES'!E144</f>
        <v>M2</v>
      </c>
      <c r="F84" s="447">
        <f>_xlfn.XLOOKUP(C84,'CANTIDADES VALOR INICIAL'!$C$9:$C$185,'CANTIDADES VALOR INICIAL'!$I$9:$I$185)</f>
        <v>124073</v>
      </c>
    </row>
    <row r="85" spans="3:6" ht="31" customHeight="1" outlineLevel="1" x14ac:dyDescent="0.2">
      <c r="C85" s="254" t="str">
        <f>'VALORES INDEXADOS OBRA ALPES'!C145</f>
        <v>10.14</v>
      </c>
      <c r="D85" s="336" t="str">
        <f>'VALORES INDEXADOS OBRA ALPES'!D145</f>
        <v>VIGA CORONA EN MUROS DE MAMPOSTERIA ESTRUCTURAL</v>
      </c>
      <c r="E85" s="254" t="str">
        <f>'VALORES INDEXADOS OBRA ALPES'!E145</f>
        <v>ML</v>
      </c>
      <c r="F85" s="447">
        <f>_xlfn.XLOOKUP(C85,'CANTIDADES VALOR INICIAL'!$C$9:$C$185,'CANTIDADES VALOR INICIAL'!$I$9:$I$185)</f>
        <v>106886</v>
      </c>
    </row>
    <row r="86" spans="3:6" ht="31" customHeight="1" outlineLevel="1" x14ac:dyDescent="0.2">
      <c r="C86" s="254" t="str">
        <f>'VALORES INDEXADOS OBRA ALPES'!C146</f>
        <v>10.15</v>
      </c>
      <c r="D86" s="336" t="str">
        <f>'VALORES INDEXADOS OBRA ALPES'!D146</f>
        <v xml:space="preserve">DEMOLICIÓN EN ROCA CON MARTILLO NEUMATICO </v>
      </c>
      <c r="E86" s="254" t="str">
        <f>'VALORES INDEXADOS OBRA ALPES'!E146</f>
        <v>M3</v>
      </c>
      <c r="F86" s="447">
        <f>_xlfn.XLOOKUP(C86,'CANTIDADES VALOR INICIAL'!$C$9:$C$185,'CANTIDADES VALOR INICIAL'!$I$9:$I$185)</f>
        <v>127061</v>
      </c>
    </row>
    <row r="87" spans="3:6" ht="31" customHeight="1" outlineLevel="1" x14ac:dyDescent="0.2">
      <c r="C87" s="254" t="str">
        <f>'VALORES INDEXADOS OBRA ALPES'!C147</f>
        <v>10.16</v>
      </c>
      <c r="D87" s="336" t="str">
        <f>'VALORES INDEXADOS OBRA ALPES'!D147</f>
        <v>PAÑETE 1:4 PARA MUROS</v>
      </c>
      <c r="E87" s="254" t="str">
        <f>'VALORES INDEXADOS OBRA ALPES'!E147</f>
        <v>M2</v>
      </c>
      <c r="F87" s="447">
        <f>_xlfn.XLOOKUP(C87,'CANTIDADES VALOR INICIAL'!$C$9:$C$185,'CANTIDADES VALOR INICIAL'!$I$9:$I$185)</f>
        <v>47599</v>
      </c>
    </row>
    <row r="88" spans="3:6" ht="31" customHeight="1" outlineLevel="1" x14ac:dyDescent="0.2">
      <c r="C88" s="254" t="str">
        <f>'VALORES INDEXADOS OBRA ALPES'!C148</f>
        <v>10.17</v>
      </c>
      <c r="D88" s="336" t="str">
        <f>'VALORES INDEXADOS OBRA ALPES'!D148</f>
        <v>CAÑUELA EN CAJA DE INSPECCIÓN</v>
      </c>
      <c r="E88" s="254" t="str">
        <f>'VALORES INDEXADOS OBRA ALPES'!E148</f>
        <v>UN</v>
      </c>
      <c r="F88" s="447">
        <f>_xlfn.XLOOKUP(C88,'CANTIDADES VALOR INICIAL'!$C$9:$C$185,'CANTIDADES VALOR INICIAL'!$I$9:$I$185)</f>
        <v>41942</v>
      </c>
    </row>
    <row r="89" spans="3:6" ht="39" customHeight="1" outlineLevel="1" x14ac:dyDescent="0.2">
      <c r="C89" s="254" t="str">
        <f>'VALORES INDEXADOS OBRA ALPES'!C149</f>
        <v>10.18</v>
      </c>
      <c r="D89" s="336" t="str">
        <f>'VALORES INDEXADOS OBRA ALPES'!D149</f>
        <v>CONSTRUCCIÓN DE SUMIDERO CONVENCIONAL EN MAMPOSTERIA. L=0,70M A=0,40M, H=1,00M  CON MURO DOBLE (INCLUYE REJILLA)</v>
      </c>
      <c r="E89" s="254" t="str">
        <f>'VALORES INDEXADOS OBRA ALPES'!E149</f>
        <v>UN</v>
      </c>
      <c r="F89" s="447">
        <f>_xlfn.XLOOKUP(C89,'CANTIDADES VALOR INICIAL'!$C$9:$C$185,'CANTIDADES VALOR INICIAL'!$I$9:$I$185)</f>
        <v>1064204</v>
      </c>
    </row>
    <row r="90" spans="3:6" ht="26" customHeight="1" outlineLevel="1" x14ac:dyDescent="0.2">
      <c r="C90" s="254" t="str">
        <f>'VALORES INDEXADOS OBRA ALPES'!C150</f>
        <v>10.19</v>
      </c>
      <c r="D90" s="336" t="str">
        <f>'VALORES INDEXADOS OBRA ALPES'!D150</f>
        <v>LIMPIEZA DE POZOS DE INSPECCION</v>
      </c>
      <c r="E90" s="254" t="str">
        <f>'VALORES INDEXADOS OBRA ALPES'!E150</f>
        <v>UN</v>
      </c>
      <c r="F90" s="447">
        <f>_xlfn.XLOOKUP(C90,'CANTIDADES VALOR INICIAL'!$C$9:$C$185,'CANTIDADES VALOR INICIAL'!$I$9:$I$185)</f>
        <v>101916</v>
      </c>
    </row>
    <row r="91" spans="3:6" ht="26" customHeight="1" outlineLevel="1" x14ac:dyDescent="0.2">
      <c r="C91" s="254" t="str">
        <f>'VALORES INDEXADOS OBRA ALPES'!C151</f>
        <v>10.20</v>
      </c>
      <c r="D91" s="336" t="str">
        <f>'VALORES INDEXADOS OBRA ALPES'!D151</f>
        <v>CONO DE REDUCCION PARA POZO DE INSPECCION</v>
      </c>
      <c r="E91" s="254" t="str">
        <f>'VALORES INDEXADOS OBRA ALPES'!E151</f>
        <v>UN</v>
      </c>
      <c r="F91" s="447">
        <f>_xlfn.XLOOKUP(C91,'CANTIDADES VALOR INICIAL'!$C$9:$C$185,'CANTIDADES VALOR INICIAL'!$I$9:$I$185)</f>
        <v>866422</v>
      </c>
    </row>
    <row r="92" spans="3:6" ht="32" outlineLevel="1" x14ac:dyDescent="0.2">
      <c r="C92" s="254" t="str">
        <f>'VALORES INDEXADOS OBRA ALPES'!C152</f>
        <v>10.21</v>
      </c>
      <c r="D92" s="336" t="str">
        <f>'VALORES INDEXADOS OBRA ALPES'!D152</f>
        <v xml:space="preserve">POZO DE INSPECCION PREFABRICADO D=1.20 M  (INCL. SUMINISTRO E INSTALACION). INCLUYE CILINDRO POZO CON PASOS, CONO PREFABRICADO, CARGUE, TAPA Y PASOS </v>
      </c>
      <c r="E92" s="254" t="str">
        <f>'VALORES INDEXADOS OBRA ALPES'!E152</f>
        <v>UN</v>
      </c>
      <c r="F92" s="447">
        <f>_xlfn.XLOOKUP(C92,'CANTIDADES VALOR INICIAL'!$C$9:$C$185,'CANTIDADES VALOR INICIAL'!$I$9:$I$185)</f>
        <v>4378886</v>
      </c>
    </row>
    <row r="93" spans="3:6" ht="33" customHeight="1" outlineLevel="1" x14ac:dyDescent="0.2">
      <c r="C93" s="254" t="str">
        <f>'VALORES INDEXADOS OBRA ALPES'!C153</f>
        <v>10.22</v>
      </c>
      <c r="D93" s="336" t="str">
        <f>'VALORES INDEXADOS OBRA ALPES'!D153</f>
        <v xml:space="preserve">PASO PLASTICO PARA POZO DE INSPECCION </v>
      </c>
      <c r="E93" s="254" t="str">
        <f>'VALORES INDEXADOS OBRA ALPES'!E153</f>
        <v>UN</v>
      </c>
      <c r="F93" s="448">
        <f>_xlfn.XLOOKUP(C93,'CANTIDADES VALOR INICIAL'!$C$9:$C$185,'CANTIDADES VALOR INICIAL'!$I$9:$I$185)</f>
        <v>178209</v>
      </c>
    </row>
    <row r="94" spans="3:6" ht="40" customHeight="1" outlineLevel="1" x14ac:dyDescent="0.2">
      <c r="C94" s="254" t="str">
        <f>'VALORES INDEXADOS OBRA ALPES'!C154</f>
        <v>10.23</v>
      </c>
      <c r="D94" s="336" t="str">
        <f>'VALORES INDEXADOS OBRA ALPES'!D154</f>
        <v>NIVELACIÓN DE POZO (HASTA RASANTE EN CONCRETO 3000 PSI HECHO EN OBRA, H=0.15M. INCLUYE SUMINISTRO Y CONSTRUCCIÓN)</v>
      </c>
      <c r="E94" s="427" t="str">
        <f>'VALORES INDEXADOS OBRA ALPES'!E154</f>
        <v>UN</v>
      </c>
      <c r="F94" s="449">
        <f>ROUND(Comparativo!M27,0)</f>
        <v>114683</v>
      </c>
    </row>
    <row r="95" spans="3:6" ht="35" customHeight="1" outlineLevel="1" x14ac:dyDescent="0.2">
      <c r="C95" s="254" t="str">
        <f>'VALORES INDEXADOS OBRA ALPES'!C155</f>
        <v>10.24</v>
      </c>
      <c r="D95" s="336" t="str">
        <f>'VALORES INDEXADOS OBRA ALPES'!D155</f>
        <v xml:space="preserve">TRASIEGO EN OBRA DE RECEBO COMÚN </v>
      </c>
      <c r="E95" s="254" t="str">
        <f>'VALORES INDEXADOS OBRA ALPES'!E155</f>
        <v>M3</v>
      </c>
      <c r="F95" s="450">
        <f>_xlfn.XLOOKUP(C95,'CANTIDADES VALOR INICIAL'!$C$9:$C$185,'CANTIDADES VALOR INICIAL'!$I$9:$I$185)</f>
        <v>117761</v>
      </c>
    </row>
    <row r="96" spans="3:6" ht="35" customHeight="1" outlineLevel="1" x14ac:dyDescent="0.2">
      <c r="C96" s="254" t="str">
        <f>'VALORES INDEXADOS OBRA ALPES'!C156</f>
        <v>10.25</v>
      </c>
      <c r="D96" s="336" t="str">
        <f>'VALORES INDEXADOS OBRA ALPES'!D156</f>
        <v>TRASIEGO EN OBRA DE SUBBASE</v>
      </c>
      <c r="E96" s="254" t="str">
        <f>'VALORES INDEXADOS OBRA ALPES'!E156</f>
        <v>M3</v>
      </c>
      <c r="F96" s="447">
        <f>_xlfn.XLOOKUP(C96,'CANTIDADES VALOR INICIAL'!$C$9:$C$185,'CANTIDADES VALOR INICIAL'!$I$9:$I$185)</f>
        <v>140658</v>
      </c>
    </row>
    <row r="97" spans="3:6" ht="35" customHeight="1" outlineLevel="1" x14ac:dyDescent="0.2">
      <c r="C97" s="254" t="str">
        <f>'VALORES INDEXADOS OBRA ALPES'!C157</f>
        <v>10.26</v>
      </c>
      <c r="D97" s="336" t="str">
        <f>'VALORES INDEXADOS OBRA ALPES'!D157</f>
        <v xml:space="preserve">TRASIEGO EN OBRA DE CONCRETO 2500 PSI </v>
      </c>
      <c r="E97" s="254" t="str">
        <f>'VALORES INDEXADOS OBRA ALPES'!E157</f>
        <v>M3</v>
      </c>
      <c r="F97" s="447">
        <f>_xlfn.XLOOKUP(C97,'CANTIDADES VALOR INICIAL'!$C$9:$C$185,'CANTIDADES VALOR INICIAL'!$I$9:$I$185)</f>
        <v>177571</v>
      </c>
    </row>
    <row r="98" spans="3:6" ht="35" customHeight="1" outlineLevel="1" x14ac:dyDescent="0.2">
      <c r="C98" s="254" t="str">
        <f>'VALORES INDEXADOS OBRA ALPES'!C158</f>
        <v>10.27</v>
      </c>
      <c r="D98" s="336" t="str">
        <f>'VALORES INDEXADOS OBRA ALPES'!D158</f>
        <v>TRASIEGO EN OBRA DE ACERO</v>
      </c>
      <c r="E98" s="254" t="str">
        <f>'VALORES INDEXADOS OBRA ALPES'!E158</f>
        <v>KG</v>
      </c>
      <c r="F98" s="447">
        <f>_xlfn.XLOOKUP(C98,'CANTIDADES VALOR INICIAL'!$C$9:$C$185,'CANTIDADES VALOR INICIAL'!$I$9:$I$185)</f>
        <v>430</v>
      </c>
    </row>
    <row r="99" spans="3:6" ht="35" customHeight="1" outlineLevel="1" x14ac:dyDescent="0.2">
      <c r="C99" s="254" t="str">
        <f>'VALORES INDEXADOS OBRA ALPES'!C159</f>
        <v>10.28</v>
      </c>
      <c r="D99" s="336" t="str">
        <f>'VALORES INDEXADOS OBRA ALPES'!D159</f>
        <v>TRASIEGO EN OBRA DE LOSETA</v>
      </c>
      <c r="E99" s="254" t="str">
        <f>'VALORES INDEXADOS OBRA ALPES'!E159</f>
        <v>M2</v>
      </c>
      <c r="F99" s="447">
        <f>_xlfn.XLOOKUP(C99,'CANTIDADES VALOR INICIAL'!$C$9:$C$185,'CANTIDADES VALOR INICIAL'!$I$9:$I$185)</f>
        <v>7592</v>
      </c>
    </row>
    <row r="100" spans="3:6" ht="35" customHeight="1" outlineLevel="1" x14ac:dyDescent="0.2">
      <c r="C100" s="254" t="str">
        <f>'VALORES INDEXADOS OBRA ALPES'!C160</f>
        <v>10.29</v>
      </c>
      <c r="D100" s="336" t="str">
        <f>'VALORES INDEXADOS OBRA ALPES'!D160</f>
        <v>TRASIEGO EN OBRA DE BORDILLO</v>
      </c>
      <c r="E100" s="254" t="str">
        <f>'VALORES INDEXADOS OBRA ALPES'!E160</f>
        <v>ML</v>
      </c>
      <c r="F100" s="447">
        <f>_xlfn.XLOOKUP(C100,'CANTIDADES VALOR INICIAL'!$C$9:$C$185,'CANTIDADES VALOR INICIAL'!$I$9:$I$185)</f>
        <v>13376</v>
      </c>
    </row>
    <row r="101" spans="3:6" ht="35" customHeight="1" outlineLevel="1" x14ac:dyDescent="0.2">
      <c r="C101" s="254" t="str">
        <f>'VALORES INDEXADOS OBRA ALPES'!C161</f>
        <v>10.30</v>
      </c>
      <c r="D101" s="336" t="str">
        <f>'VALORES INDEXADOS OBRA ALPES'!D161</f>
        <v>TRASIEGO EN OBRA DE MATERIAL PRODUCTO DE EXCAVACIÓN.</v>
      </c>
      <c r="E101" s="254" t="str">
        <f>'VALORES INDEXADOS OBRA ALPES'!E161</f>
        <v>M3</v>
      </c>
      <c r="F101" s="447">
        <f>_xlfn.XLOOKUP(C101,'CANTIDADES VALOR INICIAL'!$C$9:$C$185,'CANTIDADES VALOR INICIAL'!$I$9:$I$185)</f>
        <v>177039</v>
      </c>
    </row>
    <row r="102" spans="3:6" ht="35" customHeight="1" outlineLevel="1" x14ac:dyDescent="0.2">
      <c r="C102" s="254" t="str">
        <f>'VALORES INDEXADOS OBRA ALPES'!C162</f>
        <v>10.31</v>
      </c>
      <c r="D102" s="336" t="str">
        <f>'VALORES INDEXADOS OBRA ALPES'!D162</f>
        <v>UNION DE REPARACION HD EL D=3" (SUMINISTRO E INSTALACIÓN)</v>
      </c>
      <c r="E102" s="254" t="str">
        <f>'VALORES INDEXADOS OBRA ALPES'!E162</f>
        <v>UND</v>
      </c>
      <c r="F102" s="447">
        <f>_xlfn.XLOOKUP(C102,'CANTIDADES VALOR INICIAL'!$C$9:$C$185,'CANTIDADES VALOR INICIAL'!$I$9:$I$185)</f>
        <v>217442</v>
      </c>
    </row>
    <row r="103" spans="3:6" ht="35" customHeight="1" outlineLevel="1" x14ac:dyDescent="0.2">
      <c r="C103" s="254" t="str">
        <f>'VALORES INDEXADOS OBRA ALPES'!C163</f>
        <v>10.32</v>
      </c>
      <c r="D103" s="336" t="str">
        <f>'VALORES INDEXADOS OBRA ALPES'!D163</f>
        <v xml:space="preserve">SUMINISTRO E INSTALACIÓN DE TAPA VALVULA DE SEGURIDAD </v>
      </c>
      <c r="E103" s="254" t="str">
        <f>'VALORES INDEXADOS OBRA ALPES'!E163</f>
        <v>UND</v>
      </c>
      <c r="F103" s="447">
        <f>_xlfn.XLOOKUP(C103,'CANTIDADES VALOR INICIAL'!$C$9:$C$185,'CANTIDADES VALOR INICIAL'!$I$9:$I$185)</f>
        <v>341780</v>
      </c>
    </row>
    <row r="104" spans="3:6" ht="32" outlineLevel="1" x14ac:dyDescent="0.2">
      <c r="C104" s="254" t="str">
        <f>'VALORES INDEXADOS OBRA ALPES'!C164</f>
        <v>10.33</v>
      </c>
      <c r="D104" s="336" t="str">
        <f>'VALORES INDEXADOS OBRA ALPES'!D164</f>
        <v>BOLARDO EN HIERRO TIPO M63 (SUMINISTRO E INSTALACIÓN. INCLUYE BASE EN CONCRETO 2500 PSI, HECHO EN OBRA)</v>
      </c>
      <c r="E104" s="254" t="str">
        <f>'VALORES INDEXADOS OBRA ALPES'!E164</f>
        <v>UND</v>
      </c>
      <c r="F104" s="447">
        <f>_xlfn.XLOOKUP(C104,'CANTIDADES VALOR INICIAL'!$C$9:$C$185,'CANTIDADES VALOR INICIAL'!$I$9:$I$185)</f>
        <v>228337</v>
      </c>
    </row>
    <row r="105" spans="3:6" ht="19" outlineLevel="1" x14ac:dyDescent="0.2">
      <c r="C105" s="254" t="str">
        <f>'VALORES INDEXADOS OBRA ALPES'!C165</f>
        <v>10.34</v>
      </c>
      <c r="D105" s="336" t="str">
        <f>'VALORES INDEXADOS OBRA ALPES'!D165</f>
        <v>DESCAPOTE A MANO EN MATERIAL COMUN (E=0.1M.)</v>
      </c>
      <c r="E105" s="254" t="str">
        <f>'VALORES INDEXADOS OBRA ALPES'!E165</f>
        <v>M2</v>
      </c>
      <c r="F105" s="447">
        <f>_xlfn.XLOOKUP(C105,'CANTIDADES VALOR INICIAL'!$C$9:$C$185,'CANTIDADES VALOR INICIAL'!$I$9:$I$185)</f>
        <v>3789</v>
      </c>
    </row>
    <row r="106" spans="3:6" ht="19" outlineLevel="1" x14ac:dyDescent="0.2">
      <c r="C106" s="254" t="str">
        <f>'VALORES INDEXADOS OBRA ALPES'!C166</f>
        <v>10.35</v>
      </c>
      <c r="D106" s="336" t="str">
        <f>'VALORES INDEXADOS OBRA ALPES'!D166</f>
        <v xml:space="preserve">SUMINISTRO E INSTALACIÓN DE FORMALETA METÁLICA </v>
      </c>
      <c r="E106" s="254" t="str">
        <f>'VALORES INDEXADOS OBRA ALPES'!E166</f>
        <v>M2</v>
      </c>
      <c r="F106" s="447">
        <f>_xlfn.XLOOKUP(C106,'CANTIDADES VALOR INICIAL'!$C$9:$C$185,'CANTIDADES VALOR INICIAL'!$I$9:$I$185)</f>
        <v>51307</v>
      </c>
    </row>
    <row r="107" spans="3:6" ht="43" customHeight="1" outlineLevel="1" x14ac:dyDescent="0.2">
      <c r="C107" s="254" t="str">
        <f>'VALORES INDEXADOS OBRA ALPES'!C167</f>
        <v>10.36</v>
      </c>
      <c r="D107" s="336" t="str">
        <f>'VALORES INDEXADOS OBRA ALPES'!D167</f>
        <v>BOMBEO DE CONCRETO CON AUTOBOMBA (NO INCLUYE SUMINISTRO NI INSTALACIÓN DE CONCRETO)</v>
      </c>
      <c r="E107" s="254" t="str">
        <f>'VALORES INDEXADOS OBRA ALPES'!E167</f>
        <v>M3</v>
      </c>
      <c r="F107" s="447">
        <f>_xlfn.XLOOKUP(C107,'CANTIDADES VALOR INICIAL'!$C$9:$C$185,'CANTIDADES VALOR INICIAL'!$I$9:$I$185)</f>
        <v>499089</v>
      </c>
    </row>
    <row r="108" spans="3:6" ht="31" customHeight="1" outlineLevel="1" x14ac:dyDescent="0.2">
      <c r="C108" s="254" t="str">
        <f>'VALORES INDEXADOS OBRA ALPES'!C168</f>
        <v>10.37</v>
      </c>
      <c r="D108" s="336" t="str">
        <f>'VALORES INDEXADOS OBRA ALPES'!D168</f>
        <v>LIMPIEZA DE MUROS CON CEPILLO, AGUA Y ACIDO MURIATICO</v>
      </c>
      <c r="E108" s="254" t="str">
        <f>'VALORES INDEXADOS OBRA ALPES'!E168</f>
        <v>M2</v>
      </c>
      <c r="F108" s="447">
        <f>_xlfn.XLOOKUP(C108,'CANTIDADES VALOR INICIAL'!$C$9:$C$185,'CANTIDADES VALOR INICIAL'!$I$9:$I$185)</f>
        <v>9180</v>
      </c>
    </row>
    <row r="109" spans="3:6" ht="43" customHeight="1" outlineLevel="1" x14ac:dyDescent="0.2">
      <c r="C109" s="254" t="str">
        <f>'VALORES INDEXADOS OBRA ALPES'!C169</f>
        <v>10.38</v>
      </c>
      <c r="D109" s="336" t="str">
        <f>'VALORES INDEXADOS OBRA ALPES'!D169</f>
        <v>VALVULA COMPUERTA ELASTICA VASTAGO NO ASCENDENTE EXTREMO LISO D=4" (SUMINISTRO E INSTALACIÓN)</v>
      </c>
      <c r="E109" s="254" t="str">
        <f>'VALORES INDEXADOS OBRA ALPES'!E169</f>
        <v>UND</v>
      </c>
      <c r="F109" s="447">
        <f>_xlfn.XLOOKUP(C109,'CANTIDADES VALOR INICIAL'!$C$9:$C$185,'CANTIDADES VALOR INICIAL'!$I$9:$I$185)</f>
        <v>1332576</v>
      </c>
    </row>
    <row r="110" spans="3:6" ht="77" customHeight="1" outlineLevel="1" x14ac:dyDescent="0.2">
      <c r="C110" s="254" t="str">
        <f>'VALORES INDEXADOS OBRA ALPES'!C170</f>
        <v>10.39</v>
      </c>
      <c r="D110" s="336" t="str">
        <f>'VALORES INDEXADOS OBRA ALPES'!D170</f>
        <v>PISO EN CONCRETO MR 43 (300 KG/CM2) GRAVA COMÚN ACELERADO A 7 DÍAS, ESTAMPADO PARA POMPEYANOS Y VIAS A DESNIVEL, COLOR OCRE  (INCLUYE SUMINISTRO Y COLOCACIÓN DE CONCRETO, JUEGO DE MOLDES,  DESMOLDANTE EN POLVO, CURADOR PARA CONCRETO, CORTE Y SELLADO DE JUNTAS.)</v>
      </c>
      <c r="E110" s="254" t="str">
        <f>'VALORES INDEXADOS OBRA ALPES'!E170</f>
        <v>M3</v>
      </c>
      <c r="F110" s="447">
        <f>_xlfn.XLOOKUP(C110,'CANTIDADES VALOR INICIAL'!$C$9:$C$185,'CANTIDADES VALOR INICIAL'!$I$9:$I$185)</f>
        <v>1881851</v>
      </c>
    </row>
    <row r="111" spans="3:6" ht="33" customHeight="1" outlineLevel="1" x14ac:dyDescent="0.2">
      <c r="C111" s="254" t="str">
        <f>'VALORES INDEXADOS OBRA ALPES'!C171</f>
        <v>10.40</v>
      </c>
      <c r="D111" s="336" t="str">
        <f>'VALORES INDEXADOS OBRA ALPES'!D171</f>
        <v>UNION DE REPARACION PVC D=3" (SUMINISTRO E INSTALACIÓN)</v>
      </c>
      <c r="E111" s="254" t="str">
        <f>'VALORES INDEXADOS OBRA ALPES'!E171</f>
        <v>UND</v>
      </c>
      <c r="F111" s="447">
        <f>_xlfn.XLOOKUP(C111,'CANTIDADES VALOR INICIAL'!$C$9:$C$185,'CANTIDADES VALOR INICIAL'!$I$9:$I$185)</f>
        <v>90594</v>
      </c>
    </row>
    <row r="112" spans="3:6" ht="33" customHeight="1" outlineLevel="1" x14ac:dyDescent="0.2">
      <c r="C112" s="254" t="str">
        <f>'VALORES INDEXADOS OBRA ALPES'!C172</f>
        <v>10.41</v>
      </c>
      <c r="D112" s="336" t="str">
        <f>'VALORES INDEXADOS OBRA ALPES'!D172</f>
        <v>TAPON HD EXTREMO LISO D=4" (SUMINISTRO E INSTALACIÓN)</v>
      </c>
      <c r="E112" s="254" t="str">
        <f>'VALORES INDEXADOS OBRA ALPES'!E172</f>
        <v>UND</v>
      </c>
      <c r="F112" s="447">
        <f>_xlfn.XLOOKUP(C112,'CANTIDADES VALOR INICIAL'!$C$9:$C$185,'CANTIDADES VALOR INICIAL'!$I$9:$I$185)</f>
        <v>263322</v>
      </c>
    </row>
    <row r="113" spans="3:6" ht="33" customHeight="1" outlineLevel="1" x14ac:dyDescent="0.2">
      <c r="C113" s="254" t="str">
        <f>'VALORES INDEXADOS OBRA ALPES'!C173</f>
        <v>10.42</v>
      </c>
      <c r="D113" s="336" t="str">
        <f>'VALORES INDEXADOS OBRA ALPES'!D173</f>
        <v>CODO HD 90° EXTREMO LISO PARA PVC D=4" (SUMINISTRO E INSTALACIÓN)</v>
      </c>
      <c r="E113" s="254" t="str">
        <f>'VALORES INDEXADOS OBRA ALPES'!E173</f>
        <v>UND</v>
      </c>
      <c r="F113" s="447">
        <f>_xlfn.XLOOKUP(C113,'CANTIDADES VALOR INICIAL'!$C$9:$C$185,'CANTIDADES VALOR INICIAL'!$I$9:$I$185)</f>
        <v>697466</v>
      </c>
    </row>
    <row r="114" spans="3:6" ht="33" customHeight="1" outlineLevel="1" x14ac:dyDescent="0.2">
      <c r="C114" s="254" t="str">
        <f>'VALORES INDEXADOS OBRA ALPES'!C174</f>
        <v>10.43</v>
      </c>
      <c r="D114" s="336" t="str">
        <f>'VALORES INDEXADOS OBRA ALPES'!D174</f>
        <v>TEE HD EXTREMO LISO 4"X4" (SUMINISTRO E INSTALACIÓN)</v>
      </c>
      <c r="E114" s="254" t="str">
        <f>'VALORES INDEXADOS OBRA ALPES'!E174</f>
        <v>UND</v>
      </c>
      <c r="F114" s="447">
        <f>_xlfn.XLOOKUP(C114,'CANTIDADES VALOR INICIAL'!$C$9:$C$185,'CANTIDADES VALOR INICIAL'!$I$9:$I$185)</f>
        <v>708667</v>
      </c>
    </row>
    <row r="115" spans="3:6" ht="33" customHeight="1" outlineLevel="1" x14ac:dyDescent="0.2">
      <c r="C115" s="254" t="str">
        <f>'VALORES INDEXADOS OBRA ALPES'!C175</f>
        <v>10.44</v>
      </c>
      <c r="D115" s="336" t="str">
        <f>'VALORES INDEXADOS OBRA ALPES'!D175</f>
        <v>TUBERIA PVC D=4" TIPO U.M. RDE 21 (SUMINISTRO E INSTALACIÓN)</v>
      </c>
      <c r="E115" s="254" t="str">
        <f>'VALORES INDEXADOS OBRA ALPES'!E175</f>
        <v>ML</v>
      </c>
      <c r="F115" s="447">
        <f>_xlfn.XLOOKUP(C115,'CANTIDADES VALOR INICIAL'!$C$9:$C$185,'CANTIDADES VALOR INICIAL'!$I$9:$I$185)</f>
        <v>118124</v>
      </c>
    </row>
    <row r="116" spans="3:6" ht="33" customHeight="1" outlineLevel="1" x14ac:dyDescent="0.2">
      <c r="C116" s="254" t="str">
        <f>'VALORES INDEXADOS OBRA ALPES'!C176</f>
        <v>10.45</v>
      </c>
      <c r="D116" s="336" t="str">
        <f>'VALORES INDEXADOS OBRA ALPES'!D176</f>
        <v>ACOPLE UNIVERSAL, UNION ALFA O MULTIUSOS D=4" (SUMINISTRO E INSTALACIÓN)</v>
      </c>
      <c r="E116" s="254" t="str">
        <f>'VALORES INDEXADOS OBRA ALPES'!E176</f>
        <v>UND</v>
      </c>
      <c r="F116" s="447">
        <f>_xlfn.XLOOKUP(C116,'CANTIDADES VALOR INICIAL'!$C$9:$C$185,'CANTIDADES VALOR INICIAL'!$I$9:$I$185)</f>
        <v>261980</v>
      </c>
    </row>
    <row r="117" spans="3:6" ht="33" customHeight="1" outlineLevel="1" x14ac:dyDescent="0.2">
      <c r="C117" s="254" t="str">
        <f>'VALORES INDEXADOS OBRA ALPES'!C177</f>
        <v>10.46</v>
      </c>
      <c r="D117" s="336" t="str">
        <f>'VALORES INDEXADOS OBRA ALPES'!D177</f>
        <v>CODO G.RAD. PVC 90º TIPO U.M. D=4" (SUMINISTRO E INSTALACIÓN)</v>
      </c>
      <c r="E117" s="254" t="str">
        <f>'VALORES INDEXADOS OBRA ALPES'!E177</f>
        <v>UND</v>
      </c>
      <c r="F117" s="447">
        <f>_xlfn.XLOOKUP(C117,'CANTIDADES VALOR INICIAL'!$C$9:$C$185,'CANTIDADES VALOR INICIAL'!$I$9:$I$185)</f>
        <v>206602</v>
      </c>
    </row>
    <row r="118" spans="3:6" ht="33" customHeight="1" outlineLevel="1" x14ac:dyDescent="0.2">
      <c r="C118" s="254" t="str">
        <f>'VALORES INDEXADOS OBRA ALPES'!C178</f>
        <v>10.47</v>
      </c>
      <c r="D118" s="336" t="str">
        <f>'VALORES INDEXADOS OBRA ALPES'!D178</f>
        <v>CODO G.RAD. PVC 45º TIPO U.M. D=4" (SUMINISTRO E INSTALACIÓN)</v>
      </c>
      <c r="E118" s="254" t="str">
        <f>'VALORES INDEXADOS OBRA ALPES'!E178</f>
        <v>UND</v>
      </c>
      <c r="F118" s="447">
        <f>_xlfn.XLOOKUP(C118,'CANTIDADES VALOR INICIAL'!$C$9:$C$185,'CANTIDADES VALOR INICIAL'!$I$9:$I$185)</f>
        <v>195768</v>
      </c>
    </row>
    <row r="119" spans="3:6" ht="33" customHeight="1" outlineLevel="1" x14ac:dyDescent="0.2">
      <c r="C119" s="254" t="str">
        <f>'VALORES INDEXADOS OBRA ALPES'!C179</f>
        <v>10.48</v>
      </c>
      <c r="D119" s="336" t="str">
        <f>'VALORES INDEXADOS OBRA ALPES'!D179</f>
        <v>CODO HD 45° EXTREMO LISO PARA PVC D=4" (SUMINISTRO E INSTALACIÓN)</v>
      </c>
      <c r="E119" s="254" t="str">
        <f>'VALORES INDEXADOS OBRA ALPES'!E179</f>
        <v>UND</v>
      </c>
      <c r="F119" s="447">
        <f>_xlfn.XLOOKUP(C119,'CANTIDADES VALOR INICIAL'!$C$9:$C$185,'CANTIDADES VALOR INICIAL'!$I$9:$I$185)</f>
        <v>445395</v>
      </c>
    </row>
    <row r="120" spans="3:6" ht="33" customHeight="1" outlineLevel="1" x14ac:dyDescent="0.2">
      <c r="C120" s="254" t="str">
        <f>'VALORES INDEXADOS OBRA ALPES'!C180</f>
        <v>10.49</v>
      </c>
      <c r="D120" s="336" t="str">
        <f>'VALORES INDEXADOS OBRA ALPES'!D180</f>
        <v xml:space="preserve">COLLAR DE DERIVACIÓN DE 4" X 1/2". SUMINISTRO E INSTALACION. </v>
      </c>
      <c r="E120" s="254" t="str">
        <f>'VALORES INDEXADOS OBRA ALPES'!E180</f>
        <v>UND</v>
      </c>
      <c r="F120" s="447">
        <f>_xlfn.XLOOKUP(C120,'CANTIDADES VALOR INICIAL'!$C$9:$C$185,'CANTIDADES VALOR INICIAL'!$I$9:$I$185)</f>
        <v>42442</v>
      </c>
    </row>
    <row r="121" spans="3:6" ht="32" x14ac:dyDescent="0.2">
      <c r="C121" s="254" t="str">
        <f>'VALORES INDEXADOS OBRA ALPES'!C181</f>
        <v>10.50</v>
      </c>
      <c r="D121" s="336" t="str">
        <f>'VALORES INDEXADOS OBRA ALPES'!D181</f>
        <v>SUBBASE GRANULAR CON RECICLADO DE CONCRETO HIDRAULICO (SUMINISTRO, EXTENDIDO,
HUMEDECIMIENTO Y COMPACTACIÓN)</v>
      </c>
      <c r="E121" s="254" t="str">
        <f>'VALORES INDEXADOS OBRA ALPES'!E181</f>
        <v>M3</v>
      </c>
      <c r="F121" s="447">
        <f>_xlfn.XLOOKUP(C121,'CANTIDADES VALOR INICIAL'!$C$9:$C$185,'CANTIDADES VALOR INICIAL'!$I$9:$I$185)</f>
        <v>236555</v>
      </c>
    </row>
    <row r="122" spans="3:6" ht="73" customHeight="1" x14ac:dyDescent="0.2">
      <c r="C122" s="254" t="str">
        <f>'VALORES INDEXADOS OBRA ALPES'!C182</f>
        <v>10.51</v>
      </c>
      <c r="D122" s="336" t="str">
        <f>'VALORES INDEXADOS OBRA ALPES'!D182</f>
        <v>ACOMETIDA DOMICILIARIA DE 1/2" CON COLLAR DE DERIVACION DE 4" X 1/2". SUMINISTRO E
INSTALACION. (INCLUYE TUBERIA PF, REGISTROS Y ACCESORIOS (REGISTRO DE INCORPORACIÓN,
REGISTRO DE BOLA, REGISTRO ANTIFRAUDE, UNION MACHO PF), LONGITUD PROMEDIO DE 3M,
INCLUYE CAJILLA EN POLIPROPILENO PARA MEDIDOR)</v>
      </c>
      <c r="E122" s="254" t="str">
        <f>'VALORES INDEXADOS OBRA ALPES'!E182</f>
        <v>UND</v>
      </c>
      <c r="F122" s="447">
        <f>_xlfn.XLOOKUP(C122,'CANTIDADES VALOR INICIAL'!$C$9:$C$185,'CANTIDADES VALOR INICIAL'!$I$9:$I$185)</f>
        <v>602756</v>
      </c>
    </row>
    <row r="123" spans="3:6" ht="30" customHeight="1" x14ac:dyDescent="0.2">
      <c r="C123" s="254" t="str">
        <f>'VALORES INDEXADOS OBRA ALPES'!C183</f>
        <v>10.52</v>
      </c>
      <c r="D123" s="336" t="str">
        <f>'VALORES INDEXADOS OBRA ALPES'!D183</f>
        <v>ESCALERAS EN CONCRETO A LA VISTA</v>
      </c>
      <c r="E123" s="254" t="str">
        <f>'VALORES INDEXADOS OBRA ALPES'!E183</f>
        <v>ML</v>
      </c>
      <c r="F123" s="447">
        <f>_xlfn.XLOOKUP(C123,'CANTIDADES VALOR INICIAL'!$C$9:$C$185,'CANTIDADES VALOR INICIAL'!$I$9:$I$185)</f>
        <v>203723</v>
      </c>
    </row>
    <row r="124" spans="3:6" ht="30" customHeight="1" x14ac:dyDescent="0.2">
      <c r="C124" s="254" t="str">
        <f>'VALORES INDEXADOS OBRA ALPES'!C184</f>
        <v>10.53</v>
      </c>
      <c r="D124" s="336" t="str">
        <f>'VALORES INDEXADOS OBRA ALPES'!D184</f>
        <v>UNION PVC U.M. NORMA NTC 382 D=4" (SUMINISTRO E INSTLACIÓN)</v>
      </c>
      <c r="E124" s="254" t="str">
        <f>'VALORES INDEXADOS OBRA ALPES'!E184</f>
        <v>UND</v>
      </c>
      <c r="F124" s="447">
        <f>_xlfn.XLOOKUP(C124,'CANTIDADES VALOR INICIAL'!$C$9:$C$185,'CANTIDADES VALOR INICIAL'!$I$9:$I$185)</f>
        <v>121744</v>
      </c>
    </row>
    <row r="125" spans="3:6" ht="30" customHeight="1" x14ac:dyDescent="0.2">
      <c r="C125" s="254" t="str">
        <f>'VALORES INDEXADOS OBRA ALPES'!C185</f>
        <v>10.54</v>
      </c>
      <c r="D125" s="336" t="str">
        <f>'VALORES INDEXADOS OBRA ALPES'!D185</f>
        <v>UNION Z DE 4 PVC (SUMINISTRO E INSTALACIÓN)</v>
      </c>
      <c r="E125" s="254" t="str">
        <f>'VALORES INDEXADOS OBRA ALPES'!E185</f>
        <v>UND</v>
      </c>
      <c r="F125" s="447">
        <f>_xlfn.XLOOKUP(C125,'CANTIDADES VALOR INICIAL'!$C$9:$C$185,'CANTIDADES VALOR INICIAL'!$I$9:$I$185)</f>
        <v>114293</v>
      </c>
    </row>
    <row r="126" spans="3:6" ht="30" customHeight="1" x14ac:dyDescent="0.2">
      <c r="C126" s="254" t="str">
        <f>'VALORES INDEXADOS OBRA ALPES'!C186</f>
        <v>10.55</v>
      </c>
      <c r="D126" s="336" t="str">
        <f>'VALORES INDEXADOS OBRA ALPES'!D186</f>
        <v>UNION Z DE 3 PVC (SUMINISTRO E INSTALACIÓN)</v>
      </c>
      <c r="E126" s="254" t="str">
        <f>'VALORES INDEXADOS OBRA ALPES'!E186</f>
        <v>UND</v>
      </c>
      <c r="F126" s="447">
        <f>_xlfn.XLOOKUP(C126,'CANTIDADES VALOR INICIAL'!$C$9:$C$185,'CANTIDADES VALOR INICIAL'!$I$9:$I$185)</f>
        <v>79335</v>
      </c>
    </row>
    <row r="127" spans="3:6" ht="30" customHeight="1" x14ac:dyDescent="0.2">
      <c r="C127" s="254" t="str">
        <f>'VALORES INDEXADOS OBRA ALPES'!C187</f>
        <v>10.56</v>
      </c>
      <c r="D127" s="336" t="str">
        <f>'VALORES INDEXADOS OBRA ALPES'!D187</f>
        <v>CODO G.RAD. PVC 22,5" TIPO U.M D=4" (SUMINISTRO E INSTALACION)</v>
      </c>
      <c r="E127" s="254" t="str">
        <f>'VALORES INDEXADOS OBRA ALPES'!E187</f>
        <v>UND</v>
      </c>
      <c r="F127" s="447">
        <f>_xlfn.XLOOKUP(C127,'CANTIDADES VALOR INICIAL'!$C$9:$C$185,'CANTIDADES VALOR INICIAL'!$I$9:$I$185)</f>
        <v>155934</v>
      </c>
    </row>
    <row r="128" spans="3:6" ht="72" customHeight="1" x14ac:dyDescent="0.2">
      <c r="C128" s="254" t="str">
        <f>'VALORES INDEXADOS OBRA ALPES'!C188</f>
        <v>10.57</v>
      </c>
      <c r="D128" s="336" t="str">
        <f>'VALORES INDEXADOS OBRA ALPES'!D188</f>
        <v>PISO EN CONCRETO 3000 PSI  (300 KG/CM2) GRAVA COMÚN ACELERADO A 7 DÍAS, ESTAMPADO PARA POMPEYANOS Y  ANDENES A DESNIVEL, COLOR OCRE  (INCLUYE SUMINISTRO Y COLOCACIÓN DE CONCRETO, JUEGO DE MOLDES,  DESMOLDANTE EN POLVO)</v>
      </c>
      <c r="E128" s="254" t="str">
        <f>'VALORES INDEXADOS OBRA ALPES'!E188</f>
        <v>M3</v>
      </c>
      <c r="F128" s="447">
        <f>_xlfn.XLOOKUP(C128,'CANTIDADES VALOR INICIAL'!$C$9:$C$185,'CANTIDADES VALOR INICIAL'!$I$9:$I$185)</f>
        <v>1482297</v>
      </c>
    </row>
    <row r="129" spans="3:6" ht="28" customHeight="1" x14ac:dyDescent="0.2">
      <c r="C129" s="254" t="str">
        <f>'VALORES INDEXADOS OBRA ALPES'!C189</f>
        <v>10.58</v>
      </c>
      <c r="D129" s="336" t="str">
        <f>'VALORES INDEXADOS OBRA ALPES'!D189</f>
        <v>CONCRETO 3000 PSI PARA MUROS</v>
      </c>
      <c r="E129" s="254" t="str">
        <f>'VALORES INDEXADOS OBRA ALPES'!E189</f>
        <v>M3</v>
      </c>
      <c r="F129" s="447">
        <f>_xlfn.XLOOKUP(C129,'CANTIDADES VALOR INICIAL'!$C$9:$C$185,'CANTIDADES VALOR INICIAL'!$I$9:$I$185)</f>
        <v>1078077</v>
      </c>
    </row>
    <row r="130" spans="3:6" ht="19" x14ac:dyDescent="0.2">
      <c r="C130" s="253"/>
      <c r="D130" s="252"/>
      <c r="E130" s="253"/>
      <c r="F130" s="454"/>
    </row>
    <row r="131" spans="3:6" ht="19" x14ac:dyDescent="0.2">
      <c r="C131" s="253"/>
      <c r="D131" s="252"/>
      <c r="E131" s="253"/>
      <c r="F131" s="454"/>
    </row>
    <row r="132" spans="3:6" ht="19" x14ac:dyDescent="0.2">
      <c r="C132" s="253"/>
      <c r="D132" s="252"/>
      <c r="E132" s="253"/>
      <c r="F132" s="454"/>
    </row>
    <row r="133" spans="3:6" ht="19" x14ac:dyDescent="0.2">
      <c r="C133" s="253"/>
      <c r="D133" s="252"/>
      <c r="E133" s="253"/>
      <c r="F133" s="454"/>
    </row>
    <row r="134" spans="3:6" ht="19" x14ac:dyDescent="0.2">
      <c r="C134" s="253"/>
      <c r="D134" s="252"/>
      <c r="E134" s="253"/>
      <c r="F134" s="454"/>
    </row>
    <row r="135" spans="3:6" ht="19" x14ac:dyDescent="0.2">
      <c r="C135" s="253"/>
      <c r="D135" s="252"/>
      <c r="E135" s="253"/>
      <c r="F135" s="454"/>
    </row>
    <row r="136" spans="3:6" ht="19" x14ac:dyDescent="0.2">
      <c r="C136" s="253"/>
      <c r="D136" s="252"/>
      <c r="E136" s="253"/>
      <c r="F136" s="454"/>
    </row>
    <row r="137" spans="3:6" ht="19" x14ac:dyDescent="0.2">
      <c r="C137" s="253"/>
      <c r="D137" s="252"/>
      <c r="E137" s="253"/>
      <c r="F137" s="454"/>
    </row>
    <row r="138" spans="3:6" ht="19" x14ac:dyDescent="0.2">
      <c r="C138" s="253"/>
      <c r="D138" s="252"/>
      <c r="E138" s="253"/>
      <c r="F138" s="454"/>
    </row>
    <row r="139" spans="3:6" ht="19" x14ac:dyDescent="0.2">
      <c r="C139" s="253"/>
      <c r="D139" s="252"/>
      <c r="E139" s="253"/>
      <c r="F139" s="454"/>
    </row>
    <row r="140" spans="3:6" ht="19" x14ac:dyDescent="0.2">
      <c r="C140" s="253"/>
      <c r="D140" s="252"/>
      <c r="E140" s="253"/>
      <c r="F140" s="454"/>
    </row>
    <row r="141" spans="3:6" ht="19" x14ac:dyDescent="0.2">
      <c r="C141" s="253"/>
      <c r="D141" s="252"/>
      <c r="E141" s="253"/>
      <c r="F141" s="454"/>
    </row>
    <row r="142" spans="3:6" ht="19" x14ac:dyDescent="0.2">
      <c r="C142" s="253"/>
      <c r="D142" s="252"/>
      <c r="E142" s="253"/>
      <c r="F142" s="454"/>
    </row>
    <row r="143" spans="3:6" ht="19" x14ac:dyDescent="0.2">
      <c r="C143" s="253"/>
      <c r="D143" s="252"/>
      <c r="E143" s="253"/>
      <c r="F143" s="454"/>
    </row>
    <row r="144" spans="3:6" ht="19" x14ac:dyDescent="0.2">
      <c r="C144" s="253"/>
      <c r="D144" s="252"/>
      <c r="E144" s="253"/>
      <c r="F144" s="454"/>
    </row>
    <row r="145" spans="3:6" ht="19" x14ac:dyDescent="0.2">
      <c r="C145" s="253"/>
      <c r="D145" s="252"/>
      <c r="E145" s="253"/>
      <c r="F145" s="454"/>
    </row>
    <row r="146" spans="3:6" ht="19" x14ac:dyDescent="0.2">
      <c r="C146" s="253"/>
      <c r="D146" s="252"/>
      <c r="E146" s="253"/>
      <c r="F146" s="454"/>
    </row>
    <row r="147" spans="3:6" ht="19" x14ac:dyDescent="0.2">
      <c r="C147" s="253"/>
      <c r="D147" s="252"/>
      <c r="E147" s="253"/>
      <c r="F147" s="454"/>
    </row>
    <row r="148" spans="3:6" ht="19" x14ac:dyDescent="0.2">
      <c r="C148" s="253"/>
      <c r="D148" s="252"/>
      <c r="E148" s="253"/>
      <c r="F148" s="454"/>
    </row>
    <row r="149" spans="3:6" ht="19" x14ac:dyDescent="0.2">
      <c r="C149" s="253"/>
      <c r="D149" s="252"/>
      <c r="E149" s="253"/>
      <c r="F149" s="454"/>
    </row>
    <row r="150" spans="3:6" ht="19" x14ac:dyDescent="0.2">
      <c r="C150" s="253"/>
      <c r="D150" s="252"/>
      <c r="E150" s="253"/>
      <c r="F150" s="454"/>
    </row>
    <row r="151" spans="3:6" ht="19" x14ac:dyDescent="0.2">
      <c r="C151" s="253"/>
      <c r="D151" s="252"/>
      <c r="E151" s="253"/>
      <c r="F151" s="454"/>
    </row>
    <row r="152" spans="3:6" ht="19" x14ac:dyDescent="0.2">
      <c r="C152" s="253"/>
      <c r="D152" s="252"/>
      <c r="E152" s="253"/>
      <c r="F152" s="454"/>
    </row>
    <row r="153" spans="3:6" ht="19" x14ac:dyDescent="0.2">
      <c r="C153" s="253"/>
      <c r="D153" s="252"/>
      <c r="E153" s="253"/>
      <c r="F153" s="454"/>
    </row>
    <row r="154" spans="3:6" ht="19" x14ac:dyDescent="0.2">
      <c r="C154" s="253"/>
      <c r="D154" s="252"/>
      <c r="E154" s="253"/>
      <c r="F154" s="454"/>
    </row>
    <row r="155" spans="3:6" ht="19" x14ac:dyDescent="0.2">
      <c r="C155" s="253"/>
      <c r="D155" s="252"/>
      <c r="E155" s="253"/>
      <c r="F155" s="454"/>
    </row>
    <row r="156" spans="3:6" ht="19" x14ac:dyDescent="0.2">
      <c r="C156" s="253"/>
      <c r="D156" s="252"/>
      <c r="E156" s="253"/>
      <c r="F156" s="454"/>
    </row>
    <row r="157" spans="3:6" ht="19" x14ac:dyDescent="0.2">
      <c r="C157" s="253"/>
      <c r="D157" s="252"/>
      <c r="E157" s="253"/>
      <c r="F157" s="454"/>
    </row>
    <row r="158" spans="3:6" ht="19" x14ac:dyDescent="0.2">
      <c r="C158" s="253"/>
      <c r="D158" s="252"/>
      <c r="E158" s="253"/>
      <c r="F158" s="454"/>
    </row>
    <row r="159" spans="3:6" ht="19" x14ac:dyDescent="0.2">
      <c r="C159" s="253"/>
      <c r="D159" s="252"/>
      <c r="E159" s="253"/>
      <c r="F159" s="454"/>
    </row>
    <row r="160" spans="3:6" ht="19" x14ac:dyDescent="0.2">
      <c r="C160" s="253"/>
      <c r="D160" s="252"/>
      <c r="E160" s="253"/>
      <c r="F160" s="454"/>
    </row>
    <row r="161" spans="3:6" ht="19" x14ac:dyDescent="0.2">
      <c r="C161" s="253"/>
      <c r="D161" s="252"/>
      <c r="E161" s="253"/>
      <c r="F161" s="454"/>
    </row>
    <row r="162" spans="3:6" ht="19" x14ac:dyDescent="0.2">
      <c r="C162" s="253"/>
      <c r="D162" s="252"/>
      <c r="E162" s="253"/>
      <c r="F162" s="454"/>
    </row>
    <row r="163" spans="3:6" ht="19" x14ac:dyDescent="0.2">
      <c r="C163" s="253"/>
      <c r="D163" s="252"/>
      <c r="E163" s="253"/>
      <c r="F163" s="454"/>
    </row>
    <row r="164" spans="3:6" ht="19" x14ac:dyDescent="0.2">
      <c r="C164" s="253"/>
      <c r="D164" s="252"/>
      <c r="E164" s="253"/>
      <c r="F164" s="454"/>
    </row>
    <row r="165" spans="3:6" ht="19" x14ac:dyDescent="0.2">
      <c r="C165" s="253"/>
      <c r="D165" s="252"/>
      <c r="E165" s="253"/>
      <c r="F165" s="454"/>
    </row>
    <row r="166" spans="3:6" ht="19" x14ac:dyDescent="0.2">
      <c r="C166" s="253"/>
      <c r="D166" s="252"/>
      <c r="E166" s="253"/>
      <c r="F166" s="454"/>
    </row>
    <row r="167" spans="3:6" ht="19" x14ac:dyDescent="0.2">
      <c r="C167" s="253"/>
      <c r="D167" s="252"/>
      <c r="E167" s="253"/>
      <c r="F167" s="454"/>
    </row>
    <row r="168" spans="3:6" ht="19" x14ac:dyDescent="0.2">
      <c r="C168" s="253"/>
      <c r="D168" s="252"/>
      <c r="E168" s="253"/>
      <c r="F168" s="454"/>
    </row>
    <row r="169" spans="3:6" ht="19" x14ac:dyDescent="0.2">
      <c r="C169" s="253"/>
      <c r="D169" s="252"/>
      <c r="E169" s="253"/>
      <c r="F169" s="454"/>
    </row>
    <row r="170" spans="3:6" ht="19" x14ac:dyDescent="0.2">
      <c r="C170" s="253"/>
      <c r="D170" s="252"/>
      <c r="E170" s="253"/>
      <c r="F170" s="454"/>
    </row>
    <row r="171" spans="3:6" ht="19" x14ac:dyDescent="0.2">
      <c r="C171" s="253"/>
      <c r="D171" s="252"/>
      <c r="E171" s="253"/>
      <c r="F171" s="454"/>
    </row>
    <row r="172" spans="3:6" ht="19" x14ac:dyDescent="0.2">
      <c r="C172" s="253"/>
      <c r="D172" s="252"/>
      <c r="E172" s="253"/>
      <c r="F172" s="454"/>
    </row>
    <row r="173" spans="3:6" ht="19" x14ac:dyDescent="0.2">
      <c r="C173" s="253"/>
      <c r="D173" s="252"/>
      <c r="E173" s="253"/>
      <c r="F173" s="454"/>
    </row>
    <row r="174" spans="3:6" ht="19" x14ac:dyDescent="0.2">
      <c r="C174" s="253"/>
      <c r="D174" s="252"/>
      <c r="E174" s="253"/>
      <c r="F174" s="454"/>
    </row>
    <row r="175" spans="3:6" ht="19" x14ac:dyDescent="0.2">
      <c r="C175" s="253"/>
      <c r="D175" s="252"/>
      <c r="E175" s="253"/>
      <c r="F175" s="454"/>
    </row>
    <row r="176" spans="3:6" ht="19" x14ac:dyDescent="0.2">
      <c r="C176" s="253"/>
      <c r="D176" s="252"/>
      <c r="E176" s="253"/>
      <c r="F176" s="454"/>
    </row>
    <row r="177" spans="3:6" ht="19" x14ac:dyDescent="0.2">
      <c r="C177" s="253"/>
      <c r="D177" s="252"/>
      <c r="E177" s="253"/>
      <c r="F177" s="454"/>
    </row>
    <row r="178" spans="3:6" ht="19" x14ac:dyDescent="0.2">
      <c r="C178" s="253"/>
      <c r="D178" s="252"/>
      <c r="E178" s="253"/>
      <c r="F178" s="454"/>
    </row>
    <row r="179" spans="3:6" ht="19" x14ac:dyDescent="0.2">
      <c r="C179" s="253"/>
      <c r="D179" s="252"/>
      <c r="E179" s="253"/>
      <c r="F179" s="454"/>
    </row>
    <row r="180" spans="3:6" ht="19" x14ac:dyDescent="0.2">
      <c r="C180" s="253"/>
      <c r="D180" s="252"/>
      <c r="E180" s="253"/>
      <c r="F180" s="454"/>
    </row>
    <row r="181" spans="3:6" ht="19" x14ac:dyDescent="0.2">
      <c r="C181" s="253"/>
      <c r="D181" s="252"/>
      <c r="E181" s="253"/>
      <c r="F181" s="454"/>
    </row>
    <row r="182" spans="3:6" ht="19" x14ac:dyDescent="0.2">
      <c r="C182" s="253"/>
      <c r="D182" s="252"/>
      <c r="E182" s="253"/>
      <c r="F182" s="454"/>
    </row>
    <row r="183" spans="3:6" ht="19" x14ac:dyDescent="0.2">
      <c r="C183" s="253"/>
      <c r="D183" s="252"/>
      <c r="E183" s="253"/>
      <c r="F183" s="454"/>
    </row>
    <row r="184" spans="3:6" ht="19" x14ac:dyDescent="0.2">
      <c r="C184" s="253"/>
      <c r="D184" s="252"/>
      <c r="E184" s="253"/>
      <c r="F184" s="454"/>
    </row>
    <row r="185" spans="3:6" ht="19" x14ac:dyDescent="0.2">
      <c r="C185" s="253"/>
      <c r="D185" s="252"/>
      <c r="E185" s="253"/>
      <c r="F185" s="454"/>
    </row>
    <row r="186" spans="3:6" ht="19" x14ac:dyDescent="0.2">
      <c r="C186" s="253"/>
      <c r="D186" s="252"/>
      <c r="E186" s="253"/>
      <c r="F186" s="454"/>
    </row>
    <row r="187" spans="3:6" ht="19" x14ac:dyDescent="0.2">
      <c r="C187" s="253"/>
      <c r="D187" s="252"/>
      <c r="E187" s="253"/>
      <c r="F187" s="454"/>
    </row>
    <row r="188" spans="3:6" ht="19" x14ac:dyDescent="0.2">
      <c r="C188" s="253"/>
      <c r="D188" s="252"/>
      <c r="E188" s="253"/>
      <c r="F188" s="454"/>
    </row>
    <row r="189" spans="3:6" ht="19" x14ac:dyDescent="0.2">
      <c r="C189" s="253"/>
      <c r="D189" s="252"/>
      <c r="E189" s="253"/>
      <c r="F189" s="454"/>
    </row>
    <row r="190" spans="3:6" ht="19" x14ac:dyDescent="0.2">
      <c r="C190" s="253"/>
      <c r="D190" s="252"/>
      <c r="E190" s="253"/>
      <c r="F190" s="454"/>
    </row>
    <row r="191" spans="3:6" ht="19" x14ac:dyDescent="0.2">
      <c r="C191" s="253"/>
      <c r="D191" s="252"/>
      <c r="E191" s="253"/>
      <c r="F191" s="454"/>
    </row>
    <row r="192" spans="3:6" ht="19" x14ac:dyDescent="0.2">
      <c r="C192" s="253"/>
      <c r="D192" s="252"/>
      <c r="E192" s="253"/>
      <c r="F192" s="454"/>
    </row>
    <row r="193" spans="3:6" ht="19" x14ac:dyDescent="0.2">
      <c r="C193" s="253"/>
      <c r="D193" s="252"/>
      <c r="E193" s="253"/>
      <c r="F193" s="454"/>
    </row>
    <row r="194" spans="3:6" ht="19" x14ac:dyDescent="0.2">
      <c r="C194" s="253"/>
      <c r="D194" s="252"/>
      <c r="E194" s="253"/>
      <c r="F194" s="454"/>
    </row>
    <row r="195" spans="3:6" ht="19" x14ac:dyDescent="0.2">
      <c r="C195" s="253"/>
      <c r="D195" s="252"/>
      <c r="E195" s="253"/>
      <c r="F195" s="454"/>
    </row>
    <row r="196" spans="3:6" ht="19" x14ac:dyDescent="0.2">
      <c r="C196" s="253"/>
      <c r="D196" s="252"/>
      <c r="E196" s="253"/>
      <c r="F196" s="454"/>
    </row>
    <row r="197" spans="3:6" ht="19" x14ac:dyDescent="0.2">
      <c r="C197" s="253"/>
      <c r="D197" s="252"/>
      <c r="E197" s="253"/>
      <c r="F197" s="454"/>
    </row>
    <row r="198" spans="3:6" ht="19" x14ac:dyDescent="0.2">
      <c r="C198" s="253"/>
      <c r="D198" s="252"/>
      <c r="E198" s="253"/>
      <c r="F198" s="454"/>
    </row>
    <row r="199" spans="3:6" ht="19" x14ac:dyDescent="0.2">
      <c r="C199" s="253"/>
      <c r="D199" s="252"/>
      <c r="E199" s="253"/>
      <c r="F199" s="454"/>
    </row>
  </sheetData>
  <autoFilter ref="C8:F120" xr:uid="{64146A1C-DAC3-4499-852A-509B8BEBAC2D}"/>
  <mergeCells count="9">
    <mergeCell ref="C8:C10"/>
    <mergeCell ref="D8:D10"/>
    <mergeCell ref="E8:E10"/>
    <mergeCell ref="F8:F10"/>
    <mergeCell ref="C2:F2"/>
    <mergeCell ref="C3:F3"/>
    <mergeCell ref="C4:F4"/>
    <mergeCell ref="C5:F5"/>
    <mergeCell ref="C6:F6"/>
  </mergeCells>
  <pageMargins left="1" right="1" top="1" bottom="1" header="0.5" footer="0.5"/>
  <pageSetup paperSize="9" scale="55" fitToHeight="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93804-1526-A347-AF90-74C2DF27DF3B}">
  <sheetPr>
    <tabColor rgb="FF92D050"/>
  </sheetPr>
  <dimension ref="A1:P195"/>
  <sheetViews>
    <sheetView showGridLines="0" view="pageBreakPreview" topLeftCell="A49" zoomScale="75" zoomScaleNormal="80" zoomScalePageLayoutView="93" workbookViewId="0">
      <selection activeCell="M61" sqref="M61"/>
    </sheetView>
  </sheetViews>
  <sheetFormatPr baseColWidth="10" defaultColWidth="11.5" defaultRowHeight="15" x14ac:dyDescent="0.2"/>
  <cols>
    <col min="1" max="1" width="1.33203125" customWidth="1"/>
    <col min="2" max="2" width="8.5" style="105" customWidth="1"/>
    <col min="3" max="3" width="29.5" style="139" customWidth="1"/>
    <col min="4" max="4" width="16.5" style="139" customWidth="1"/>
    <col min="5" max="8" width="8.33203125" style="139" customWidth="1"/>
    <col min="9" max="9" width="9.5" style="86" customWidth="1"/>
    <col min="10" max="10" width="16.5" style="140" customWidth="1"/>
    <col min="11" max="11" width="19.5" style="141" customWidth="1"/>
    <col min="12" max="12" width="20.33203125" style="87" customWidth="1"/>
    <col min="13" max="13" width="19.5" style="87" customWidth="1"/>
    <col min="14" max="14" width="9.5" style="86" customWidth="1"/>
    <col min="15" max="15" width="2.5" style="87" customWidth="1"/>
    <col min="16" max="16" width="19" style="347" customWidth="1"/>
  </cols>
  <sheetData>
    <row r="1" spans="2:15" ht="39.75" customHeight="1" x14ac:dyDescent="0.2">
      <c r="B1" s="526" t="s">
        <v>0</v>
      </c>
      <c r="C1" s="526"/>
      <c r="D1" s="526"/>
      <c r="E1" s="526"/>
      <c r="F1" s="526"/>
      <c r="G1" s="526"/>
      <c r="H1" s="526"/>
      <c r="I1" s="526"/>
      <c r="J1" s="526"/>
      <c r="K1" s="526"/>
      <c r="L1" s="526"/>
      <c r="M1" s="527"/>
      <c r="N1" s="527"/>
      <c r="O1" s="74"/>
    </row>
    <row r="2" spans="2:15" ht="67" customHeight="1" x14ac:dyDescent="0.2">
      <c r="B2" s="526" t="s">
        <v>714</v>
      </c>
      <c r="C2" s="526"/>
      <c r="D2" s="526"/>
      <c r="E2" s="526"/>
      <c r="F2" s="526"/>
      <c r="G2" s="526"/>
      <c r="H2" s="526"/>
      <c r="I2" s="526"/>
      <c r="J2" s="526"/>
      <c r="K2" s="526"/>
      <c r="L2" s="526"/>
      <c r="M2" s="527"/>
      <c r="N2" s="527"/>
      <c r="O2" s="74"/>
    </row>
    <row r="3" spans="2:15" ht="21.75" customHeight="1" x14ac:dyDescent="0.2">
      <c r="B3" s="526"/>
      <c r="C3" s="526"/>
      <c r="D3" s="526"/>
      <c r="E3" s="526"/>
      <c r="F3" s="526"/>
      <c r="G3" s="526"/>
      <c r="H3" s="526"/>
      <c r="I3" s="526"/>
      <c r="J3" s="526"/>
      <c r="K3" s="526"/>
      <c r="L3" s="526"/>
      <c r="M3" s="525" t="s">
        <v>720</v>
      </c>
      <c r="N3" s="525"/>
      <c r="O3" s="76"/>
    </row>
    <row r="4" spans="2:15" ht="3.75" customHeight="1" x14ac:dyDescent="0.2">
      <c r="B4" s="77"/>
      <c r="C4" s="78"/>
      <c r="D4" s="78"/>
      <c r="E4" s="78"/>
      <c r="F4" s="78"/>
      <c r="G4" s="78"/>
      <c r="H4" s="78"/>
      <c r="I4" s="77"/>
      <c r="J4" s="79"/>
      <c r="K4" s="80"/>
      <c r="L4" s="81"/>
      <c r="M4" s="82" t="s">
        <v>304</v>
      </c>
      <c r="N4" s="83"/>
      <c r="O4" s="84"/>
    </row>
    <row r="5" spans="2:15" ht="54" customHeight="1" x14ac:dyDescent="0.2">
      <c r="B5" s="525" t="s">
        <v>721</v>
      </c>
      <c r="C5" s="525"/>
      <c r="D5" s="525"/>
      <c r="E5" s="525"/>
      <c r="F5" s="525"/>
      <c r="G5" s="525"/>
      <c r="H5" s="525"/>
      <c r="I5" s="525"/>
      <c r="J5" s="525"/>
      <c r="K5" s="525"/>
      <c r="L5" s="525"/>
      <c r="M5" s="85"/>
    </row>
    <row r="6" spans="2:15" ht="39.5" customHeight="1" x14ac:dyDescent="0.2">
      <c r="B6" s="528" t="s">
        <v>305</v>
      </c>
      <c r="C6" s="528"/>
      <c r="D6" s="528"/>
      <c r="E6" s="528"/>
      <c r="F6" s="528"/>
      <c r="G6" s="528"/>
      <c r="H6" s="529" t="str">
        <f>+'[1]Interv-E y D CIVs Lote 3'!H7</f>
        <v>2355 M2</v>
      </c>
      <c r="I6" s="528"/>
      <c r="J6" s="528"/>
      <c r="K6" s="528"/>
      <c r="L6" s="528"/>
    </row>
    <row r="7" spans="2:15" ht="32.25" customHeight="1" x14ac:dyDescent="0.2">
      <c r="B7" s="515" t="s">
        <v>5</v>
      </c>
      <c r="C7" s="530" t="s">
        <v>306</v>
      </c>
      <c r="D7" s="515"/>
      <c r="E7" s="531" t="s">
        <v>307</v>
      </c>
      <c r="F7" s="531"/>
      <c r="G7" s="531" t="s">
        <v>308</v>
      </c>
      <c r="H7" s="531"/>
      <c r="I7" s="514" t="s">
        <v>267</v>
      </c>
      <c r="J7" s="514" t="s">
        <v>309</v>
      </c>
      <c r="K7" s="514" t="s">
        <v>292</v>
      </c>
      <c r="L7" s="514" t="s">
        <v>310</v>
      </c>
      <c r="M7" s="514" t="s">
        <v>311</v>
      </c>
    </row>
    <row r="8" spans="2:15" ht="21.75" customHeight="1" x14ac:dyDescent="0.2">
      <c r="B8" s="515"/>
      <c r="C8" s="530"/>
      <c r="D8" s="515"/>
      <c r="E8" s="90" t="s">
        <v>312</v>
      </c>
      <c r="F8" s="90" t="s">
        <v>313</v>
      </c>
      <c r="G8" s="90" t="s">
        <v>314</v>
      </c>
      <c r="H8" s="90" t="s">
        <v>315</v>
      </c>
      <c r="I8" s="514"/>
      <c r="J8" s="514"/>
      <c r="K8" s="514"/>
      <c r="L8" s="514"/>
      <c r="M8" s="514"/>
    </row>
    <row r="9" spans="2:15" ht="12.75" customHeight="1" x14ac:dyDescent="0.2">
      <c r="B9" s="93"/>
      <c r="C9" s="94"/>
      <c r="D9" s="94"/>
      <c r="E9" s="94"/>
      <c r="F9" s="94"/>
      <c r="G9" s="94"/>
      <c r="H9" s="94"/>
      <c r="I9" s="93"/>
      <c r="J9" s="95"/>
      <c r="K9" s="96"/>
      <c r="L9" s="96"/>
      <c r="M9" s="96"/>
    </row>
    <row r="10" spans="2:15" ht="39.5" customHeight="1" x14ac:dyDescent="0.2">
      <c r="B10" s="88">
        <v>10</v>
      </c>
      <c r="C10" s="89" t="s">
        <v>316</v>
      </c>
      <c r="D10" s="88" t="s">
        <v>317</v>
      </c>
      <c r="E10" s="91"/>
      <c r="F10" s="91"/>
      <c r="G10" s="91"/>
      <c r="H10" s="91"/>
      <c r="I10" s="97" t="s">
        <v>318</v>
      </c>
      <c r="J10" s="97" t="s">
        <v>319</v>
      </c>
      <c r="K10" s="91" t="s">
        <v>320</v>
      </c>
      <c r="L10" s="91" t="s">
        <v>321</v>
      </c>
      <c r="M10" s="352">
        <f>SUM(L11:L17)</f>
        <v>47244900</v>
      </c>
    </row>
    <row r="11" spans="2:15" ht="39.5" customHeight="1" x14ac:dyDescent="0.2">
      <c r="B11" s="98" t="s">
        <v>169</v>
      </c>
      <c r="C11" s="99" t="s">
        <v>322</v>
      </c>
      <c r="D11" s="100" t="s">
        <v>323</v>
      </c>
      <c r="E11" s="101">
        <v>1</v>
      </c>
      <c r="F11" s="99"/>
      <c r="G11" s="98">
        <v>8</v>
      </c>
      <c r="H11" s="98">
        <v>5</v>
      </c>
      <c r="I11" s="98">
        <v>5</v>
      </c>
      <c r="J11" s="98">
        <v>0.3</v>
      </c>
      <c r="K11" s="351">
        <f>SALARIOS!F8</f>
        <v>11183000</v>
      </c>
      <c r="L11" s="351">
        <f>E11*(J11*I11)*K11</f>
        <v>16774500</v>
      </c>
      <c r="M11" s="102"/>
    </row>
    <row r="12" spans="2:15" ht="39.5" customHeight="1" x14ac:dyDescent="0.2">
      <c r="B12" s="98" t="s">
        <v>172</v>
      </c>
      <c r="C12" s="103" t="s">
        <v>325</v>
      </c>
      <c r="D12" s="100" t="s">
        <v>326</v>
      </c>
      <c r="E12" s="101">
        <v>1</v>
      </c>
      <c r="F12" s="101"/>
      <c r="G12" s="98">
        <v>6</v>
      </c>
      <c r="H12" s="100">
        <v>4</v>
      </c>
      <c r="I12" s="98">
        <v>3</v>
      </c>
      <c r="J12" s="98">
        <v>0.3</v>
      </c>
      <c r="K12" s="351">
        <f>SALARIOS!$F$9</f>
        <v>9522000</v>
      </c>
      <c r="L12" s="351">
        <f>E12*(J12*I12)*K12</f>
        <v>8569800</v>
      </c>
      <c r="M12" s="102"/>
    </row>
    <row r="13" spans="2:15" ht="39.5" customHeight="1" x14ac:dyDescent="0.2">
      <c r="B13" s="98" t="s">
        <v>174</v>
      </c>
      <c r="C13" s="103" t="s">
        <v>327</v>
      </c>
      <c r="D13" s="100" t="s">
        <v>326</v>
      </c>
      <c r="E13" s="101">
        <v>1</v>
      </c>
      <c r="F13" s="101"/>
      <c r="G13" s="98">
        <v>6</v>
      </c>
      <c r="H13" s="100">
        <v>4</v>
      </c>
      <c r="I13" s="98">
        <v>2</v>
      </c>
      <c r="J13" s="98">
        <v>0.2</v>
      </c>
      <c r="K13" s="351">
        <f>SALARIOS!$F$9</f>
        <v>9522000</v>
      </c>
      <c r="L13" s="351">
        <f t="shared" ref="L13:L17" si="0">E13*(J13*I13)*K13</f>
        <v>3808800</v>
      </c>
      <c r="M13" s="102"/>
    </row>
    <row r="14" spans="2:15" ht="39.5" customHeight="1" x14ac:dyDescent="0.2">
      <c r="B14" s="98" t="s">
        <v>177</v>
      </c>
      <c r="C14" s="104" t="s">
        <v>328</v>
      </c>
      <c r="D14" s="100" t="s">
        <v>329</v>
      </c>
      <c r="E14" s="101">
        <v>1</v>
      </c>
      <c r="F14" s="103"/>
      <c r="G14" s="98">
        <v>6</v>
      </c>
      <c r="H14" s="100">
        <v>4</v>
      </c>
      <c r="I14" s="98">
        <v>2</v>
      </c>
      <c r="J14" s="98">
        <v>0.1</v>
      </c>
      <c r="K14" s="351">
        <f>SALARIOS!$F$9</f>
        <v>9522000</v>
      </c>
      <c r="L14" s="351">
        <f t="shared" si="0"/>
        <v>1904400</v>
      </c>
      <c r="M14" s="102"/>
    </row>
    <row r="15" spans="2:15" ht="39.5" customHeight="1" x14ac:dyDescent="0.2">
      <c r="B15" s="98" t="s">
        <v>179</v>
      </c>
      <c r="C15" s="104" t="s">
        <v>330</v>
      </c>
      <c r="D15" s="100" t="s">
        <v>331</v>
      </c>
      <c r="E15" s="101">
        <v>1</v>
      </c>
      <c r="F15" s="103"/>
      <c r="G15" s="98">
        <v>6</v>
      </c>
      <c r="H15" s="100">
        <v>4</v>
      </c>
      <c r="I15" s="98">
        <v>2</v>
      </c>
      <c r="J15" s="98">
        <v>0.1</v>
      </c>
      <c r="K15" s="351">
        <f>SALARIOS!$F$9</f>
        <v>9522000</v>
      </c>
      <c r="L15" s="351">
        <f t="shared" si="0"/>
        <v>1904400</v>
      </c>
      <c r="M15" s="102"/>
    </row>
    <row r="16" spans="2:15" ht="39.5" customHeight="1" x14ac:dyDescent="0.2">
      <c r="B16" s="98" t="s">
        <v>181</v>
      </c>
      <c r="C16" s="103" t="s">
        <v>332</v>
      </c>
      <c r="D16" s="100" t="s">
        <v>333</v>
      </c>
      <c r="E16" s="101">
        <v>1</v>
      </c>
      <c r="F16" s="103"/>
      <c r="G16" s="98">
        <v>6</v>
      </c>
      <c r="H16" s="100">
        <v>4</v>
      </c>
      <c r="I16" s="98">
        <v>3</v>
      </c>
      <c r="J16" s="98">
        <v>0.1</v>
      </c>
      <c r="K16" s="351">
        <f>SALARIOS!$F$9</f>
        <v>9522000</v>
      </c>
      <c r="L16" s="351">
        <f t="shared" si="0"/>
        <v>2856600.0000000005</v>
      </c>
      <c r="M16" s="102"/>
    </row>
    <row r="17" spans="1:16" ht="39.5" customHeight="1" x14ac:dyDescent="0.2">
      <c r="B17" s="98" t="s">
        <v>184</v>
      </c>
      <c r="C17" s="103" t="s">
        <v>334</v>
      </c>
      <c r="D17" s="100" t="s">
        <v>335</v>
      </c>
      <c r="E17" s="101">
        <v>1</v>
      </c>
      <c r="F17" s="103"/>
      <c r="G17" s="98">
        <v>6</v>
      </c>
      <c r="H17" s="100">
        <v>4</v>
      </c>
      <c r="I17" s="98">
        <v>3</v>
      </c>
      <c r="J17" s="98">
        <v>0.4</v>
      </c>
      <c r="K17" s="351">
        <f>SALARIOS!$F$9</f>
        <v>9522000</v>
      </c>
      <c r="L17" s="351">
        <f t="shared" si="0"/>
        <v>11426400.000000002</v>
      </c>
      <c r="M17" s="102"/>
    </row>
    <row r="18" spans="1:16" ht="10.5" customHeight="1" x14ac:dyDescent="0.2">
      <c r="C18" s="106"/>
      <c r="D18" s="107"/>
      <c r="E18" s="95"/>
      <c r="F18" s="106"/>
      <c r="G18" s="105"/>
      <c r="H18" s="107"/>
      <c r="I18" s="105"/>
      <c r="J18" s="105"/>
      <c r="K18" s="108"/>
      <c r="L18" s="109"/>
      <c r="M18" s="102"/>
    </row>
    <row r="19" spans="1:16" ht="39.5" customHeight="1" x14ac:dyDescent="0.2">
      <c r="B19" s="88">
        <v>20</v>
      </c>
      <c r="C19" s="88" t="s">
        <v>336</v>
      </c>
      <c r="D19" s="88" t="s">
        <v>317</v>
      </c>
      <c r="E19" s="91"/>
      <c r="F19" s="91"/>
      <c r="G19" s="91"/>
      <c r="H19" s="91"/>
      <c r="I19" s="97" t="s">
        <v>318</v>
      </c>
      <c r="J19" s="97" t="s">
        <v>319</v>
      </c>
      <c r="K19" s="91" t="s">
        <v>320</v>
      </c>
      <c r="L19" s="91" t="s">
        <v>321</v>
      </c>
      <c r="M19" s="352">
        <f>SUM(L20:L29)</f>
        <v>55886400</v>
      </c>
    </row>
    <row r="20" spans="1:16" ht="39.5" customHeight="1" x14ac:dyDescent="0.2">
      <c r="B20" s="98" t="s">
        <v>337</v>
      </c>
      <c r="C20" s="103" t="s">
        <v>338</v>
      </c>
      <c r="D20" s="100" t="s">
        <v>339</v>
      </c>
      <c r="E20" s="101">
        <v>1</v>
      </c>
      <c r="F20" s="103"/>
      <c r="G20" s="98">
        <v>6</v>
      </c>
      <c r="H20" s="100">
        <v>4</v>
      </c>
      <c r="I20" s="98">
        <v>3</v>
      </c>
      <c r="J20" s="98">
        <v>0.4</v>
      </c>
      <c r="K20" s="351">
        <f>SALARIOS!$F$9</f>
        <v>9522000</v>
      </c>
      <c r="L20" s="351">
        <f>E20*J20*K20*I20</f>
        <v>11426400</v>
      </c>
      <c r="M20" s="102"/>
    </row>
    <row r="21" spans="1:16" ht="39.5" customHeight="1" x14ac:dyDescent="0.2">
      <c r="B21" s="98" t="s">
        <v>340</v>
      </c>
      <c r="C21" s="103" t="s">
        <v>341</v>
      </c>
      <c r="D21" s="100" t="s">
        <v>339</v>
      </c>
      <c r="E21" s="101">
        <v>1</v>
      </c>
      <c r="F21" s="103"/>
      <c r="G21" s="98">
        <v>6</v>
      </c>
      <c r="H21" s="100">
        <v>4</v>
      </c>
      <c r="I21" s="98">
        <v>3</v>
      </c>
      <c r="J21" s="98">
        <v>0.4</v>
      </c>
      <c r="K21" s="351">
        <f>SALARIOS!$F$9</f>
        <v>9522000</v>
      </c>
      <c r="L21" s="351">
        <f t="shared" ref="L21:L22" si="1">E21*J21*K21*I21</f>
        <v>11426400</v>
      </c>
      <c r="M21" s="102"/>
    </row>
    <row r="22" spans="1:16" ht="39" customHeight="1" x14ac:dyDescent="0.2">
      <c r="B22" s="98" t="s">
        <v>342</v>
      </c>
      <c r="C22" s="103" t="s">
        <v>343</v>
      </c>
      <c r="D22" s="100" t="s">
        <v>344</v>
      </c>
      <c r="E22" s="101">
        <v>1</v>
      </c>
      <c r="F22" s="103"/>
      <c r="G22" s="98">
        <v>6</v>
      </c>
      <c r="H22" s="100">
        <v>4</v>
      </c>
      <c r="I22" s="98">
        <v>5</v>
      </c>
      <c r="J22" s="98">
        <v>0.1</v>
      </c>
      <c r="K22" s="351">
        <f>SALARIOS!$F$9</f>
        <v>9522000</v>
      </c>
      <c r="L22" s="351">
        <f t="shared" si="1"/>
        <v>4761000</v>
      </c>
      <c r="M22" s="102"/>
    </row>
    <row r="23" spans="1:16" s="75" customFormat="1" ht="39.5" customHeight="1" x14ac:dyDescent="0.2">
      <c r="A23"/>
      <c r="B23" s="98" t="s">
        <v>345</v>
      </c>
      <c r="C23" s="103" t="s">
        <v>346</v>
      </c>
      <c r="D23" s="100" t="s">
        <v>347</v>
      </c>
      <c r="E23" s="101"/>
      <c r="F23" s="101">
        <v>1</v>
      </c>
      <c r="G23" s="98">
        <v>4</v>
      </c>
      <c r="H23" s="100">
        <v>3</v>
      </c>
      <c r="I23" s="98">
        <v>3</v>
      </c>
      <c r="J23" s="98">
        <v>0.1</v>
      </c>
      <c r="K23" s="351">
        <f>SALARIOS!$F$10</f>
        <v>8589000</v>
      </c>
      <c r="L23" s="351">
        <f>J23*K23*I23*F23</f>
        <v>2576700</v>
      </c>
      <c r="M23" s="102"/>
      <c r="N23" s="86"/>
      <c r="O23" s="87"/>
      <c r="P23" s="348"/>
    </row>
    <row r="24" spans="1:16" s="75" customFormat="1" ht="39.5" customHeight="1" x14ac:dyDescent="0.2">
      <c r="A24"/>
      <c r="B24" s="98" t="s">
        <v>348</v>
      </c>
      <c r="C24" s="103" t="s">
        <v>349</v>
      </c>
      <c r="D24" s="100" t="s">
        <v>350</v>
      </c>
      <c r="E24" s="101"/>
      <c r="F24" s="101">
        <v>1</v>
      </c>
      <c r="G24" s="98">
        <v>4</v>
      </c>
      <c r="H24" s="100">
        <v>3</v>
      </c>
      <c r="I24" s="98">
        <v>3</v>
      </c>
      <c r="J24" s="98">
        <v>0.2</v>
      </c>
      <c r="K24" s="351">
        <f>SALARIOS!$F$10</f>
        <v>8589000</v>
      </c>
      <c r="L24" s="351">
        <f t="shared" ref="L24:L29" si="2">J24*K24*I24*F24</f>
        <v>5153400</v>
      </c>
      <c r="M24" s="102"/>
      <c r="N24" s="86"/>
      <c r="O24" s="87"/>
      <c r="P24" s="348"/>
    </row>
    <row r="25" spans="1:16" s="75" customFormat="1" ht="39.5" customHeight="1" x14ac:dyDescent="0.2">
      <c r="A25"/>
      <c r="B25" s="98" t="s">
        <v>351</v>
      </c>
      <c r="C25" s="103" t="s">
        <v>352</v>
      </c>
      <c r="D25" s="100" t="s">
        <v>353</v>
      </c>
      <c r="E25" s="101"/>
      <c r="F25" s="101">
        <v>1</v>
      </c>
      <c r="G25" s="98">
        <v>4</v>
      </c>
      <c r="H25" s="100">
        <v>3</v>
      </c>
      <c r="I25" s="98">
        <v>3</v>
      </c>
      <c r="J25" s="98">
        <v>0.2</v>
      </c>
      <c r="K25" s="351">
        <f>SALARIOS!$F$10</f>
        <v>8589000</v>
      </c>
      <c r="L25" s="351">
        <f t="shared" si="2"/>
        <v>5153400</v>
      </c>
      <c r="M25" s="102"/>
      <c r="N25" s="86"/>
      <c r="O25" s="87"/>
      <c r="P25" s="348"/>
    </row>
    <row r="26" spans="1:16" s="75" customFormat="1" ht="39.5" customHeight="1" x14ac:dyDescent="0.2">
      <c r="A26"/>
      <c r="B26" s="98" t="s">
        <v>354</v>
      </c>
      <c r="C26" s="103" t="s">
        <v>355</v>
      </c>
      <c r="D26" s="100" t="s">
        <v>356</v>
      </c>
      <c r="E26" s="101"/>
      <c r="F26" s="101">
        <v>1</v>
      </c>
      <c r="G26" s="98">
        <v>4</v>
      </c>
      <c r="H26" s="100">
        <v>3</v>
      </c>
      <c r="I26" s="98">
        <v>2</v>
      </c>
      <c r="J26" s="98">
        <v>0.2</v>
      </c>
      <c r="K26" s="351">
        <f>SALARIOS!$F$10</f>
        <v>8589000</v>
      </c>
      <c r="L26" s="351">
        <f t="shared" si="2"/>
        <v>3435600</v>
      </c>
      <c r="M26" s="102"/>
      <c r="N26" s="86"/>
      <c r="O26" s="87"/>
      <c r="P26" s="348"/>
    </row>
    <row r="27" spans="1:16" s="75" customFormat="1" ht="52.5" customHeight="1" x14ac:dyDescent="0.2">
      <c r="A27"/>
      <c r="B27" s="98" t="s">
        <v>357</v>
      </c>
      <c r="C27" s="110" t="s">
        <v>358</v>
      </c>
      <c r="D27" s="111" t="s">
        <v>359</v>
      </c>
      <c r="E27" s="101"/>
      <c r="F27" s="112">
        <v>1</v>
      </c>
      <c r="G27" s="98">
        <v>4</v>
      </c>
      <c r="H27" s="100">
        <v>3</v>
      </c>
      <c r="I27" s="113">
        <v>5</v>
      </c>
      <c r="J27" s="113">
        <v>0.1</v>
      </c>
      <c r="K27" s="351">
        <f>SALARIOS!$F$10</f>
        <v>8589000</v>
      </c>
      <c r="L27" s="351">
        <f t="shared" si="2"/>
        <v>4294500</v>
      </c>
      <c r="M27" s="102"/>
      <c r="N27" s="86"/>
      <c r="O27" s="92"/>
      <c r="P27" s="348"/>
    </row>
    <row r="28" spans="1:16" s="75" customFormat="1" ht="55.5" customHeight="1" x14ac:dyDescent="0.2">
      <c r="A28"/>
      <c r="B28" s="98" t="s">
        <v>360</v>
      </c>
      <c r="C28" s="114" t="s">
        <v>361</v>
      </c>
      <c r="D28" s="100" t="s">
        <v>362</v>
      </c>
      <c r="E28" s="101"/>
      <c r="F28" s="101">
        <v>1</v>
      </c>
      <c r="G28" s="98">
        <v>3</v>
      </c>
      <c r="H28" s="100">
        <v>1</v>
      </c>
      <c r="I28" s="113">
        <v>5</v>
      </c>
      <c r="J28" s="98">
        <v>0.1</v>
      </c>
      <c r="K28" s="351">
        <f>SALARIOS!$F$11</f>
        <v>7659000</v>
      </c>
      <c r="L28" s="351">
        <f t="shared" si="2"/>
        <v>3829500</v>
      </c>
      <c r="M28" s="102"/>
      <c r="N28" s="86"/>
      <c r="O28" s="92"/>
      <c r="P28" s="348"/>
    </row>
    <row r="29" spans="1:16" s="75" customFormat="1" ht="55.5" customHeight="1" x14ac:dyDescent="0.2">
      <c r="A29"/>
      <c r="B29" s="98" t="s">
        <v>363</v>
      </c>
      <c r="C29" s="114" t="s">
        <v>364</v>
      </c>
      <c r="D29" s="100" t="s">
        <v>365</v>
      </c>
      <c r="E29" s="101"/>
      <c r="F29" s="101">
        <v>1</v>
      </c>
      <c r="G29" s="98">
        <v>3</v>
      </c>
      <c r="H29" s="100">
        <v>1</v>
      </c>
      <c r="I29" s="113">
        <v>5</v>
      </c>
      <c r="J29" s="113">
        <v>0.1</v>
      </c>
      <c r="K29" s="351">
        <f>SALARIOS!$F$11</f>
        <v>7659000</v>
      </c>
      <c r="L29" s="351">
        <f t="shared" si="2"/>
        <v>3829500</v>
      </c>
      <c r="M29" s="102"/>
      <c r="N29" s="86"/>
      <c r="O29" s="92"/>
      <c r="P29" s="348"/>
    </row>
    <row r="30" spans="1:16" s="75" customFormat="1" ht="14.25" customHeight="1" x14ac:dyDescent="0.2">
      <c r="A30"/>
      <c r="B30" s="95"/>
      <c r="C30" s="96"/>
      <c r="D30" s="96"/>
      <c r="E30" s="96"/>
      <c r="F30" s="96"/>
      <c r="G30" s="96"/>
      <c r="H30" s="96"/>
      <c r="I30" s="96"/>
      <c r="J30" s="95"/>
      <c r="K30" s="96"/>
      <c r="L30" s="96"/>
      <c r="M30" s="96"/>
      <c r="N30" s="86"/>
      <c r="O30" s="87"/>
      <c r="P30" s="348"/>
    </row>
    <row r="31" spans="1:16" s="75" customFormat="1" ht="45" x14ac:dyDescent="0.2">
      <c r="A31"/>
      <c r="B31" s="88">
        <v>30</v>
      </c>
      <c r="C31" s="89" t="s">
        <v>366</v>
      </c>
      <c r="D31" s="88" t="s">
        <v>317</v>
      </c>
      <c r="E31" s="91"/>
      <c r="F31" s="91"/>
      <c r="G31" s="91"/>
      <c r="H31" s="91"/>
      <c r="I31" s="97" t="s">
        <v>318</v>
      </c>
      <c r="J31" s="97" t="s">
        <v>319</v>
      </c>
      <c r="K31" s="91" t="s">
        <v>320</v>
      </c>
      <c r="L31" s="91" t="s">
        <v>321</v>
      </c>
      <c r="M31" s="352">
        <f>SUM(L32:L34)</f>
        <v>9187800</v>
      </c>
      <c r="N31" s="86"/>
      <c r="O31" s="87"/>
      <c r="P31" s="348"/>
    </row>
    <row r="32" spans="1:16" s="75" customFormat="1" ht="39.5" customHeight="1" x14ac:dyDescent="0.2">
      <c r="A32"/>
      <c r="B32" s="98" t="s">
        <v>367</v>
      </c>
      <c r="C32" s="103" t="s">
        <v>368</v>
      </c>
      <c r="D32" s="100" t="s">
        <v>326</v>
      </c>
      <c r="E32" s="101">
        <v>1</v>
      </c>
      <c r="F32" s="101"/>
      <c r="G32" s="98">
        <v>6</v>
      </c>
      <c r="H32" s="100">
        <v>4</v>
      </c>
      <c r="I32" s="98">
        <v>3</v>
      </c>
      <c r="J32" s="98">
        <v>0.1</v>
      </c>
      <c r="K32" s="351">
        <f>SALARIOS!$F$9</f>
        <v>9522000</v>
      </c>
      <c r="L32" s="351">
        <f>E32*(J32*I32)*K32</f>
        <v>2856600.0000000005</v>
      </c>
      <c r="M32" s="102"/>
      <c r="N32" s="86"/>
      <c r="O32" s="87"/>
      <c r="P32" s="347"/>
    </row>
    <row r="33" spans="1:16" s="75" customFormat="1" ht="35.25" customHeight="1" x14ac:dyDescent="0.2">
      <c r="A33"/>
      <c r="B33" s="98" t="s">
        <v>369</v>
      </c>
      <c r="C33" s="103" t="s">
        <v>370</v>
      </c>
      <c r="D33" s="98" t="s">
        <v>371</v>
      </c>
      <c r="E33" s="101">
        <v>1</v>
      </c>
      <c r="F33" s="103"/>
      <c r="G33" s="98">
        <v>6</v>
      </c>
      <c r="H33" s="100">
        <v>4</v>
      </c>
      <c r="I33" s="98">
        <v>3</v>
      </c>
      <c r="J33" s="98">
        <v>0.1</v>
      </c>
      <c r="K33" s="351">
        <f>SALARIOS!$F$9</f>
        <v>9522000</v>
      </c>
      <c r="L33" s="351">
        <f>E33*(J33*I33)*K33</f>
        <v>2856600.0000000005</v>
      </c>
      <c r="M33" s="102"/>
      <c r="N33" s="86"/>
      <c r="O33" s="87"/>
      <c r="P33" s="347"/>
    </row>
    <row r="34" spans="1:16" ht="42.75" customHeight="1" x14ac:dyDescent="0.2">
      <c r="B34" s="98" t="s">
        <v>372</v>
      </c>
      <c r="C34" s="110" t="s">
        <v>373</v>
      </c>
      <c r="D34" s="111" t="s">
        <v>374</v>
      </c>
      <c r="E34" s="101"/>
      <c r="F34" s="112">
        <v>1</v>
      </c>
      <c r="G34" s="100">
        <v>2</v>
      </c>
      <c r="H34" s="111">
        <v>1</v>
      </c>
      <c r="I34" s="113">
        <v>3</v>
      </c>
      <c r="J34" s="113">
        <v>0.2</v>
      </c>
      <c r="K34" s="351">
        <f>SALARIOS!$F$12</f>
        <v>5791000</v>
      </c>
      <c r="L34" s="351">
        <f>J34*K34*I34*F34</f>
        <v>3474600</v>
      </c>
      <c r="M34" s="102"/>
      <c r="O34" s="92"/>
    </row>
    <row r="35" spans="1:16" ht="14.25" customHeight="1" x14ac:dyDescent="0.2">
      <c r="B35" s="95"/>
      <c r="C35" s="96"/>
      <c r="D35" s="96"/>
      <c r="E35" s="96"/>
      <c r="F35" s="96"/>
      <c r="G35" s="96"/>
      <c r="H35" s="96"/>
      <c r="I35" s="96"/>
      <c r="J35" s="95"/>
      <c r="K35" s="96"/>
      <c r="L35" s="96"/>
      <c r="M35" s="96"/>
    </row>
    <row r="36" spans="1:16" ht="39.5" customHeight="1" x14ac:dyDescent="0.2">
      <c r="B36" s="88">
        <v>40</v>
      </c>
      <c r="C36" s="88" t="s">
        <v>375</v>
      </c>
      <c r="D36" s="88" t="s">
        <v>376</v>
      </c>
      <c r="E36" s="91"/>
      <c r="F36" s="91"/>
      <c r="G36" s="91"/>
      <c r="H36" s="91"/>
      <c r="I36" s="97" t="s">
        <v>318</v>
      </c>
      <c r="J36" s="97" t="s">
        <v>319</v>
      </c>
      <c r="K36" s="91" t="s">
        <v>320</v>
      </c>
      <c r="L36" s="91" t="s">
        <v>321</v>
      </c>
      <c r="M36" s="352">
        <f>SUM(L37:L46)</f>
        <v>46784310</v>
      </c>
    </row>
    <row r="37" spans="1:16" ht="39.5" customHeight="1" x14ac:dyDescent="0.2">
      <c r="B37" s="98" t="s">
        <v>377</v>
      </c>
      <c r="C37" s="103" t="s">
        <v>378</v>
      </c>
      <c r="D37" s="115" t="s">
        <v>379</v>
      </c>
      <c r="E37" s="103"/>
      <c r="F37" s="116">
        <v>1</v>
      </c>
      <c r="G37" s="100">
        <v>2</v>
      </c>
      <c r="H37" s="100"/>
      <c r="I37" s="117">
        <v>3</v>
      </c>
      <c r="J37" s="98">
        <v>0.3</v>
      </c>
      <c r="K37" s="351">
        <f>SALARIOS!$F$12</f>
        <v>5791000</v>
      </c>
      <c r="L37" s="351">
        <f t="shared" ref="L37:L46" si="3">F37*J37*K37*I37</f>
        <v>5211900</v>
      </c>
      <c r="M37" s="96"/>
    </row>
    <row r="38" spans="1:16" ht="39.5" customHeight="1" x14ac:dyDescent="0.2">
      <c r="B38" s="98" t="s">
        <v>380</v>
      </c>
      <c r="C38" s="103" t="s">
        <v>381</v>
      </c>
      <c r="D38" s="115" t="s">
        <v>326</v>
      </c>
      <c r="E38" s="103"/>
      <c r="F38" s="116">
        <v>1</v>
      </c>
      <c r="G38" s="100">
        <v>2</v>
      </c>
      <c r="H38" s="100"/>
      <c r="I38" s="117">
        <v>4</v>
      </c>
      <c r="J38" s="98">
        <v>0.5</v>
      </c>
      <c r="K38" s="351">
        <f>SALARIOS!$F$12</f>
        <v>5791000</v>
      </c>
      <c r="L38" s="351">
        <f t="shared" si="3"/>
        <v>11582000</v>
      </c>
      <c r="M38" s="96"/>
    </row>
    <row r="39" spans="1:16" ht="39" customHeight="1" x14ac:dyDescent="0.2">
      <c r="B39" s="98" t="s">
        <v>382</v>
      </c>
      <c r="C39" s="103" t="s">
        <v>383</v>
      </c>
      <c r="D39" s="115" t="s">
        <v>326</v>
      </c>
      <c r="E39" s="103"/>
      <c r="F39" s="116">
        <v>1</v>
      </c>
      <c r="G39" s="100">
        <v>2</v>
      </c>
      <c r="H39" s="100"/>
      <c r="I39" s="117">
        <v>4</v>
      </c>
      <c r="J39" s="98">
        <v>0.4</v>
      </c>
      <c r="K39" s="351">
        <f>SALARIOS!$F$12</f>
        <v>5791000</v>
      </c>
      <c r="L39" s="351">
        <f t="shared" si="3"/>
        <v>9265600</v>
      </c>
      <c r="M39" s="96"/>
    </row>
    <row r="40" spans="1:16" ht="39" customHeight="1" x14ac:dyDescent="0.2">
      <c r="B40" s="98" t="s">
        <v>384</v>
      </c>
      <c r="C40" s="103" t="s">
        <v>385</v>
      </c>
      <c r="D40" s="115" t="s">
        <v>326</v>
      </c>
      <c r="E40" s="103"/>
      <c r="F40" s="116">
        <v>1</v>
      </c>
      <c r="G40" s="100">
        <v>2</v>
      </c>
      <c r="H40" s="100"/>
      <c r="I40" s="117">
        <v>4</v>
      </c>
      <c r="J40" s="98">
        <v>0.2</v>
      </c>
      <c r="K40" s="351">
        <f>SALARIOS!$F$12</f>
        <v>5791000</v>
      </c>
      <c r="L40" s="351">
        <f t="shared" si="3"/>
        <v>4632800</v>
      </c>
      <c r="M40" s="96"/>
    </row>
    <row r="41" spans="1:16" ht="39.5" customHeight="1" x14ac:dyDescent="0.2">
      <c r="B41" s="98" t="s">
        <v>386</v>
      </c>
      <c r="C41" s="118" t="s">
        <v>387</v>
      </c>
      <c r="D41" s="115" t="s">
        <v>388</v>
      </c>
      <c r="E41" s="118"/>
      <c r="F41" s="116">
        <v>1</v>
      </c>
      <c r="G41" s="100">
        <v>2</v>
      </c>
      <c r="H41" s="100"/>
      <c r="I41" s="117">
        <v>3</v>
      </c>
      <c r="J41" s="98">
        <v>0.4</v>
      </c>
      <c r="K41" s="351">
        <f>SALARIOS!$F$12</f>
        <v>5791000</v>
      </c>
      <c r="L41" s="351">
        <f t="shared" si="3"/>
        <v>6949200</v>
      </c>
      <c r="M41" s="96"/>
    </row>
    <row r="42" spans="1:16" ht="39.5" customHeight="1" x14ac:dyDescent="0.2">
      <c r="B42" s="98" t="s">
        <v>389</v>
      </c>
      <c r="C42" s="118" t="s">
        <v>390</v>
      </c>
      <c r="D42" s="115" t="s">
        <v>598</v>
      </c>
      <c r="E42" s="118"/>
      <c r="F42" s="116">
        <v>1</v>
      </c>
      <c r="G42" s="100">
        <v>2</v>
      </c>
      <c r="H42" s="117"/>
      <c r="I42" s="117">
        <v>1</v>
      </c>
      <c r="J42" s="98">
        <v>0.5</v>
      </c>
      <c r="K42" s="351">
        <f>SALARIOS!F15</f>
        <v>2018000</v>
      </c>
      <c r="L42" s="351">
        <f t="shared" si="3"/>
        <v>1009000</v>
      </c>
      <c r="M42" s="96"/>
    </row>
    <row r="43" spans="1:16" ht="39" customHeight="1" x14ac:dyDescent="0.2">
      <c r="A43" s="119"/>
      <c r="B43" s="98" t="s">
        <v>391</v>
      </c>
      <c r="C43" s="118" t="s">
        <v>392</v>
      </c>
      <c r="D43" s="115" t="s">
        <v>598</v>
      </c>
      <c r="E43" s="118"/>
      <c r="F43" s="116">
        <v>1</v>
      </c>
      <c r="G43" s="100">
        <v>2</v>
      </c>
      <c r="H43" s="117"/>
      <c r="I43" s="117">
        <v>2</v>
      </c>
      <c r="J43" s="98">
        <v>0.5</v>
      </c>
      <c r="K43" s="351">
        <f>SALARIOS!F14</f>
        <v>2316000</v>
      </c>
      <c r="L43" s="351">
        <f t="shared" si="3"/>
        <v>2316000</v>
      </c>
      <c r="M43" s="96"/>
      <c r="O43" s="120"/>
    </row>
    <row r="44" spans="1:16" ht="39.5" customHeight="1" x14ac:dyDescent="0.2">
      <c r="B44" s="98" t="s">
        <v>393</v>
      </c>
      <c r="C44" s="118" t="s">
        <v>394</v>
      </c>
      <c r="D44" s="115" t="s">
        <v>598</v>
      </c>
      <c r="E44" s="118"/>
      <c r="F44" s="116">
        <v>1</v>
      </c>
      <c r="G44" s="100">
        <v>2</v>
      </c>
      <c r="H44" s="117"/>
      <c r="I44" s="117">
        <v>2</v>
      </c>
      <c r="J44" s="98">
        <v>0.5</v>
      </c>
      <c r="K44" s="351">
        <f>SALARIOS!F14</f>
        <v>2316000</v>
      </c>
      <c r="L44" s="351">
        <f t="shared" si="3"/>
        <v>2316000</v>
      </c>
      <c r="M44" s="96"/>
    </row>
    <row r="45" spans="1:16" ht="39" customHeight="1" x14ac:dyDescent="0.2">
      <c r="B45" s="98">
        <v>40.090000000000003</v>
      </c>
      <c r="C45" s="103" t="s">
        <v>395</v>
      </c>
      <c r="D45" s="115" t="s">
        <v>598</v>
      </c>
      <c r="E45" s="103"/>
      <c r="F45" s="116">
        <v>2</v>
      </c>
      <c r="G45" s="100">
        <v>1</v>
      </c>
      <c r="H45" s="100"/>
      <c r="I45" s="117">
        <v>1</v>
      </c>
      <c r="J45" s="98">
        <v>0.5</v>
      </c>
      <c r="K45" s="351">
        <f>SALARIOS!F16</f>
        <v>1750905</v>
      </c>
      <c r="L45" s="351">
        <f t="shared" si="3"/>
        <v>1750905</v>
      </c>
      <c r="M45" s="96"/>
      <c r="O45" s="92"/>
    </row>
    <row r="46" spans="1:16" ht="39.5" customHeight="1" x14ac:dyDescent="0.2">
      <c r="B46" s="98">
        <v>40.1</v>
      </c>
      <c r="C46" s="103" t="s">
        <v>396</v>
      </c>
      <c r="D46" s="115" t="s">
        <v>598</v>
      </c>
      <c r="E46" s="103"/>
      <c r="F46" s="116">
        <v>2</v>
      </c>
      <c r="G46" s="100">
        <v>1</v>
      </c>
      <c r="H46" s="100"/>
      <c r="I46" s="117">
        <v>1</v>
      </c>
      <c r="J46" s="98">
        <v>0.5</v>
      </c>
      <c r="K46" s="351">
        <f>SALARIOS!F16</f>
        <v>1750905</v>
      </c>
      <c r="L46" s="351">
        <f t="shared" si="3"/>
        <v>1750905</v>
      </c>
      <c r="M46" s="96"/>
      <c r="O46" s="122"/>
    </row>
    <row r="47" spans="1:16" ht="13.5" customHeight="1" x14ac:dyDescent="0.2">
      <c r="B47" s="93"/>
      <c r="C47" s="123"/>
      <c r="D47" s="123"/>
      <c r="E47" s="123"/>
      <c r="F47" s="123"/>
      <c r="G47" s="123"/>
      <c r="H47" s="123"/>
      <c r="J47" s="105"/>
      <c r="K47" s="109"/>
      <c r="L47" s="109"/>
      <c r="O47" s="92"/>
    </row>
    <row r="48" spans="1:16" ht="39.75" customHeight="1" x14ac:dyDescent="0.2">
      <c r="B48" s="88">
        <v>50</v>
      </c>
      <c r="C48" s="515" t="s">
        <v>397</v>
      </c>
      <c r="D48" s="515"/>
      <c r="E48" s="515"/>
      <c r="F48" s="515"/>
      <c r="G48" s="515"/>
      <c r="H48" s="515"/>
      <c r="I48" s="515"/>
      <c r="J48" s="515"/>
      <c r="K48" s="515"/>
      <c r="L48" s="515"/>
      <c r="M48" s="352">
        <f>+L49</f>
        <v>318598214</v>
      </c>
    </row>
    <row r="49" spans="1:16" ht="39.5" customHeight="1" x14ac:dyDescent="0.2">
      <c r="B49" s="124" t="s">
        <v>398</v>
      </c>
      <c r="C49" s="104" t="s">
        <v>399</v>
      </c>
      <c r="D49" s="104"/>
      <c r="E49" s="516"/>
      <c r="F49" s="517"/>
      <c r="G49" s="517"/>
      <c r="H49" s="518"/>
      <c r="I49" s="124" t="s">
        <v>309</v>
      </c>
      <c r="J49" s="370">
        <f>FM!H46</f>
        <v>2.0024600000000001</v>
      </c>
      <c r="K49" s="351">
        <f>+M10+M19+M36+M31</f>
        <v>159103410</v>
      </c>
      <c r="L49" s="351">
        <f>ROUND(K49*J49,0)</f>
        <v>318598214</v>
      </c>
      <c r="M49" s="96"/>
    </row>
    <row r="50" spans="1:16" ht="12.75" customHeight="1" x14ac:dyDescent="0.2">
      <c r="B50" s="93"/>
      <c r="C50" s="125"/>
      <c r="D50" s="125"/>
      <c r="E50" s="125"/>
      <c r="F50" s="125"/>
      <c r="G50" s="125"/>
      <c r="H50" s="125"/>
      <c r="I50" s="93"/>
      <c r="J50" s="126"/>
      <c r="K50" s="109"/>
      <c r="L50" s="109"/>
      <c r="M50" s="96"/>
    </row>
    <row r="51" spans="1:16" ht="39" customHeight="1" x14ac:dyDescent="0.2">
      <c r="B51" s="88">
        <v>60</v>
      </c>
      <c r="C51" s="88" t="s">
        <v>400</v>
      </c>
      <c r="D51" s="88" t="s">
        <v>401</v>
      </c>
      <c r="E51" s="519" t="s">
        <v>306</v>
      </c>
      <c r="F51" s="520"/>
      <c r="G51" s="520"/>
      <c r="H51" s="521"/>
      <c r="I51" s="97" t="s">
        <v>318</v>
      </c>
      <c r="J51" s="97" t="s">
        <v>319</v>
      </c>
      <c r="K51" s="91" t="s">
        <v>402</v>
      </c>
      <c r="L51" s="91" t="s">
        <v>321</v>
      </c>
      <c r="M51" s="352">
        <f>SUM(L52:L54)</f>
        <v>7430512</v>
      </c>
    </row>
    <row r="52" spans="1:16" ht="39" customHeight="1" x14ac:dyDescent="0.2">
      <c r="B52" s="124" t="s">
        <v>403</v>
      </c>
      <c r="C52" s="118" t="s">
        <v>404</v>
      </c>
      <c r="D52" s="115" t="s">
        <v>405</v>
      </c>
      <c r="E52" s="522"/>
      <c r="F52" s="523"/>
      <c r="G52" s="523"/>
      <c r="H52" s="524"/>
      <c r="I52" s="117">
        <v>2</v>
      </c>
      <c r="J52" s="127">
        <v>1</v>
      </c>
      <c r="K52" s="351">
        <f>SALARIOS!D20</f>
        <v>2215256</v>
      </c>
      <c r="L52" s="351">
        <f>ROUND(J52*K52*I52,0)</f>
        <v>4430512</v>
      </c>
      <c r="M52" s="96"/>
    </row>
    <row r="53" spans="1:16" ht="39" customHeight="1" x14ac:dyDescent="0.2">
      <c r="B53" s="124" t="s">
        <v>406</v>
      </c>
      <c r="C53" s="118" t="s">
        <v>407</v>
      </c>
      <c r="D53" s="115"/>
      <c r="E53" s="522"/>
      <c r="F53" s="523"/>
      <c r="G53" s="523"/>
      <c r="H53" s="524"/>
      <c r="I53" s="117">
        <v>1</v>
      </c>
      <c r="J53" s="98">
        <v>0.2</v>
      </c>
      <c r="K53" s="351">
        <v>2500000</v>
      </c>
      <c r="L53" s="351">
        <f>ROUND(J53*K53*I53,0)</f>
        <v>500000</v>
      </c>
      <c r="M53" s="96"/>
    </row>
    <row r="54" spans="1:16" ht="39.5" customHeight="1" x14ac:dyDescent="0.2">
      <c r="B54" s="124" t="s">
        <v>408</v>
      </c>
      <c r="C54" s="128" t="s">
        <v>409</v>
      </c>
      <c r="D54" s="117" t="s">
        <v>410</v>
      </c>
      <c r="E54" s="522" t="s">
        <v>411</v>
      </c>
      <c r="F54" s="523"/>
      <c r="G54" s="523"/>
      <c r="H54" s="524"/>
      <c r="I54" s="117">
        <v>5</v>
      </c>
      <c r="J54" s="98">
        <v>0.1</v>
      </c>
      <c r="K54" s="351">
        <v>5000000</v>
      </c>
      <c r="L54" s="351">
        <f>ROUND(J54*K54*I54,0)</f>
        <v>2500000</v>
      </c>
      <c r="M54" s="96"/>
      <c r="O54" s="122"/>
    </row>
    <row r="55" spans="1:16" ht="14.25" customHeight="1" x14ac:dyDescent="0.2">
      <c r="B55" s="93"/>
      <c r="C55" s="129"/>
      <c r="D55" s="92"/>
      <c r="E55" s="130"/>
      <c r="F55" s="131"/>
      <c r="G55" s="130"/>
      <c r="H55" s="130"/>
      <c r="J55" s="105"/>
      <c r="K55" s="109"/>
      <c r="L55" s="109"/>
      <c r="M55" s="96"/>
      <c r="O55" s="92"/>
    </row>
    <row r="56" spans="1:16" ht="39" customHeight="1" x14ac:dyDescent="0.2">
      <c r="B56" s="88">
        <v>70</v>
      </c>
      <c r="C56" s="132" t="s">
        <v>412</v>
      </c>
      <c r="D56" s="88" t="s">
        <v>401</v>
      </c>
      <c r="E56" s="519" t="s">
        <v>306</v>
      </c>
      <c r="F56" s="520"/>
      <c r="G56" s="520"/>
      <c r="H56" s="521"/>
      <c r="I56" s="97"/>
      <c r="J56" s="97"/>
      <c r="K56" s="91"/>
      <c r="L56" s="91" t="s">
        <v>321</v>
      </c>
      <c r="M56" s="352">
        <f>SUM(L57:L57)</f>
        <v>81715013.999999985</v>
      </c>
    </row>
    <row r="57" spans="1:16" ht="58.5" customHeight="1" x14ac:dyDescent="0.2">
      <c r="B57" s="405">
        <v>70.010000000000005</v>
      </c>
      <c r="C57" s="406" t="s">
        <v>413</v>
      </c>
      <c r="D57" s="407"/>
      <c r="E57" s="511"/>
      <c r="F57" s="512"/>
      <c r="G57" s="512"/>
      <c r="H57" s="513"/>
      <c r="I57" s="408"/>
      <c r="J57" s="405"/>
      <c r="K57" s="404">
        <f>+'[1]Proyección presup C. B. Alpes'!S13</f>
        <v>81715013.999999985</v>
      </c>
      <c r="L57" s="404">
        <f>+K57</f>
        <v>81715013.999999985</v>
      </c>
      <c r="M57" s="96"/>
    </row>
    <row r="58" spans="1:16" ht="14.25" customHeight="1" thickBot="1" x14ac:dyDescent="0.25">
      <c r="B58" s="93"/>
      <c r="C58" s="129"/>
      <c r="D58" s="92"/>
      <c r="E58" s="130"/>
      <c r="F58" s="131"/>
      <c r="G58" s="130"/>
      <c r="H58" s="130"/>
      <c r="J58" s="105"/>
      <c r="K58" s="109"/>
      <c r="L58" s="109"/>
      <c r="M58" s="96"/>
    </row>
    <row r="59" spans="1:16" ht="39" customHeight="1" x14ac:dyDescent="0.2">
      <c r="B59" s="501"/>
      <c r="C59" s="501"/>
      <c r="D59" s="95"/>
      <c r="E59" s="95"/>
      <c r="F59" s="95"/>
      <c r="G59" s="502" t="s">
        <v>414</v>
      </c>
      <c r="H59" s="503"/>
      <c r="I59" s="503"/>
      <c r="J59" s="503"/>
      <c r="K59" s="503"/>
      <c r="L59" s="504"/>
      <c r="M59" s="368">
        <f>+M48+M51+M56</f>
        <v>407743740</v>
      </c>
      <c r="N59" s="133"/>
      <c r="O59" s="122"/>
    </row>
    <row r="60" spans="1:16" ht="39" customHeight="1" thickBot="1" x14ac:dyDescent="0.25">
      <c r="B60" s="501"/>
      <c r="C60" s="501"/>
      <c r="D60" s="95"/>
      <c r="E60" s="95"/>
      <c r="F60" s="95"/>
      <c r="G60" s="505" t="s">
        <v>415</v>
      </c>
      <c r="H60" s="506"/>
      <c r="I60" s="506"/>
      <c r="J60" s="506"/>
      <c r="K60" s="506"/>
      <c r="L60" s="507"/>
      <c r="M60" s="369">
        <f>ROUND(+M59*N60,0)</f>
        <v>77471311</v>
      </c>
      <c r="N60" s="134">
        <v>0.19</v>
      </c>
    </row>
    <row r="61" spans="1:16" ht="39" customHeight="1" thickBot="1" x14ac:dyDescent="0.25">
      <c r="C61" s="135"/>
      <c r="D61" s="135"/>
      <c r="E61" s="135"/>
      <c r="F61" s="135"/>
      <c r="G61" s="508" t="s">
        <v>416</v>
      </c>
      <c r="H61" s="509"/>
      <c r="I61" s="509"/>
      <c r="J61" s="509"/>
      <c r="K61" s="509"/>
      <c r="L61" s="510"/>
      <c r="M61" s="365">
        <f>SUM(M59:M60)</f>
        <v>485215051</v>
      </c>
      <c r="N61" s="136"/>
    </row>
    <row r="62" spans="1:16" x14ac:dyDescent="0.2">
      <c r="C62" s="135"/>
      <c r="D62" s="135"/>
      <c r="E62" s="135"/>
      <c r="F62" s="135"/>
      <c r="G62" s="135"/>
      <c r="H62" s="135"/>
      <c r="I62" s="105"/>
      <c r="J62" s="105"/>
      <c r="K62" s="109"/>
      <c r="L62" s="109"/>
      <c r="M62" s="137"/>
    </row>
    <row r="63" spans="1:16" s="75" customFormat="1" x14ac:dyDescent="0.2">
      <c r="A63"/>
      <c r="B63" s="105"/>
      <c r="C63" s="142"/>
      <c r="D63" s="142"/>
      <c r="E63" s="142"/>
      <c r="F63" s="142"/>
      <c r="G63" s="142"/>
      <c r="H63" s="142"/>
      <c r="I63" s="105"/>
      <c r="J63" s="105"/>
      <c r="K63" s="109"/>
      <c r="L63" s="109"/>
      <c r="M63" s="137"/>
      <c r="N63" s="95"/>
      <c r="O63" s="96"/>
      <c r="P63" s="348"/>
    </row>
    <row r="64" spans="1:16" s="75" customFormat="1" x14ac:dyDescent="0.2">
      <c r="A64"/>
      <c r="B64" s="105"/>
      <c r="C64" s="142"/>
      <c r="D64" s="142"/>
      <c r="E64" s="142"/>
      <c r="F64" s="142"/>
      <c r="G64" s="142"/>
      <c r="H64" s="142"/>
      <c r="I64" s="105"/>
      <c r="J64" s="105"/>
      <c r="K64" s="109"/>
      <c r="L64" s="109"/>
      <c r="M64" s="137"/>
      <c r="N64" s="95"/>
      <c r="O64" s="96"/>
      <c r="P64" s="348"/>
    </row>
    <row r="65" spans="1:16" s="75" customFormat="1" x14ac:dyDescent="0.2">
      <c r="A65"/>
      <c r="B65" s="105"/>
      <c r="C65" s="142"/>
      <c r="D65" s="142"/>
      <c r="E65" s="142"/>
      <c r="F65" s="142"/>
      <c r="G65" s="142"/>
      <c r="H65" s="142"/>
      <c r="I65" s="105"/>
      <c r="J65" s="105"/>
      <c r="K65" s="109"/>
      <c r="L65" s="109"/>
      <c r="M65" s="137"/>
      <c r="N65" s="95"/>
      <c r="O65" s="87"/>
      <c r="P65" s="348"/>
    </row>
    <row r="66" spans="1:16" s="75" customFormat="1" x14ac:dyDescent="0.2">
      <c r="A66"/>
      <c r="B66" s="105"/>
      <c r="C66" s="142"/>
      <c r="D66" s="142"/>
      <c r="E66" s="142"/>
      <c r="F66" s="142"/>
      <c r="G66" s="142"/>
      <c r="H66" s="142"/>
      <c r="I66" s="105"/>
      <c r="J66" s="105"/>
      <c r="K66" s="109"/>
      <c r="L66" s="109"/>
      <c r="M66" s="137"/>
      <c r="N66" s="95"/>
      <c r="O66" s="87"/>
      <c r="P66" s="348"/>
    </row>
    <row r="67" spans="1:16" s="75" customFormat="1" x14ac:dyDescent="0.2">
      <c r="A67"/>
      <c r="B67" s="105"/>
      <c r="C67" s="135"/>
      <c r="D67" s="135"/>
      <c r="E67" s="135"/>
      <c r="F67" s="135"/>
      <c r="G67" s="135"/>
      <c r="H67" s="135"/>
      <c r="I67" s="105"/>
      <c r="J67" s="105"/>
      <c r="K67" s="109"/>
      <c r="L67" s="109"/>
      <c r="M67" s="96"/>
      <c r="N67" s="86"/>
      <c r="O67" s="87"/>
      <c r="P67" s="348"/>
    </row>
    <row r="68" spans="1:16" s="75" customFormat="1" x14ac:dyDescent="0.2">
      <c r="A68"/>
      <c r="B68" s="105"/>
      <c r="C68" s="135"/>
      <c r="D68" s="135"/>
      <c r="E68" s="135"/>
      <c r="F68" s="135"/>
      <c r="G68" s="135"/>
      <c r="H68" s="135"/>
      <c r="I68" s="105"/>
      <c r="J68" s="105"/>
      <c r="K68" s="109"/>
      <c r="L68" s="109"/>
      <c r="M68" s="96"/>
      <c r="N68" s="86"/>
      <c r="O68" s="87"/>
      <c r="P68" s="348"/>
    </row>
    <row r="69" spans="1:16" s="75" customFormat="1" x14ac:dyDescent="0.2">
      <c r="A69"/>
      <c r="B69" s="105"/>
      <c r="C69" s="135"/>
      <c r="D69" s="135"/>
      <c r="E69" s="135"/>
      <c r="F69" s="135"/>
      <c r="G69" s="135"/>
      <c r="H69" s="135"/>
      <c r="I69" s="105"/>
      <c r="J69" s="105"/>
      <c r="K69" s="109"/>
      <c r="L69" s="109"/>
      <c r="M69" s="96"/>
      <c r="N69" s="86"/>
      <c r="O69" s="96"/>
      <c r="P69" s="348"/>
    </row>
    <row r="70" spans="1:16" s="75" customFormat="1" x14ac:dyDescent="0.2">
      <c r="A70"/>
      <c r="B70" s="105"/>
      <c r="C70" s="135"/>
      <c r="D70" s="135"/>
      <c r="E70" s="135"/>
      <c r="F70" s="135"/>
      <c r="G70" s="135"/>
      <c r="H70" s="135"/>
      <c r="I70" s="105"/>
      <c r="J70" s="105"/>
      <c r="K70" s="109"/>
      <c r="L70" s="109"/>
      <c r="M70" s="96"/>
      <c r="N70" s="86"/>
      <c r="O70" s="87"/>
      <c r="P70" s="348"/>
    </row>
    <row r="71" spans="1:16" s="75" customFormat="1" x14ac:dyDescent="0.2">
      <c r="A71"/>
      <c r="B71" s="95"/>
      <c r="C71" s="138"/>
      <c r="D71" s="138"/>
      <c r="E71" s="138"/>
      <c r="F71" s="138"/>
      <c r="G71" s="138"/>
      <c r="H71" s="138"/>
      <c r="I71" s="138"/>
      <c r="J71" s="138"/>
      <c r="K71" s="138"/>
      <c r="L71" s="138"/>
      <c r="M71" s="137"/>
      <c r="N71" s="95"/>
      <c r="O71" s="87"/>
      <c r="P71" s="348"/>
    </row>
    <row r="72" spans="1:16" s="75" customFormat="1" x14ac:dyDescent="0.2">
      <c r="A72"/>
      <c r="B72" s="105"/>
      <c r="C72" s="135"/>
      <c r="D72" s="135"/>
      <c r="E72" s="135"/>
      <c r="F72" s="135"/>
      <c r="G72" s="135"/>
      <c r="H72" s="135"/>
      <c r="I72" s="105"/>
      <c r="J72" s="105"/>
      <c r="K72" s="109"/>
      <c r="L72" s="109"/>
      <c r="M72" s="96"/>
      <c r="N72" s="86"/>
      <c r="O72" s="87"/>
      <c r="P72" s="348"/>
    </row>
    <row r="73" spans="1:16" s="75" customFormat="1" x14ac:dyDescent="0.2">
      <c r="A73"/>
      <c r="B73" s="105"/>
      <c r="C73" s="135"/>
      <c r="D73" s="135"/>
      <c r="E73" s="135"/>
      <c r="F73" s="135"/>
      <c r="G73" s="135"/>
      <c r="H73" s="135"/>
      <c r="I73" s="105"/>
      <c r="J73" s="105"/>
      <c r="K73" s="109"/>
      <c r="L73" s="109"/>
      <c r="M73" s="87"/>
      <c r="N73" s="86"/>
      <c r="O73" s="87"/>
      <c r="P73" s="348"/>
    </row>
    <row r="74" spans="1:16" s="75" customFormat="1" x14ac:dyDescent="0.2">
      <c r="A74"/>
      <c r="B74" s="105"/>
      <c r="C74" s="135"/>
      <c r="D74" s="135"/>
      <c r="E74" s="135"/>
      <c r="F74" s="135"/>
      <c r="G74" s="135"/>
      <c r="H74" s="135"/>
      <c r="I74" s="105"/>
      <c r="J74" s="105"/>
      <c r="K74" s="109"/>
      <c r="L74" s="109"/>
      <c r="M74" s="87"/>
      <c r="N74" s="86"/>
      <c r="O74" s="87"/>
      <c r="P74" s="348"/>
    </row>
    <row r="75" spans="1:16" s="75" customFormat="1" x14ac:dyDescent="0.2">
      <c r="A75"/>
      <c r="B75" s="105"/>
      <c r="C75" s="135"/>
      <c r="D75" s="135"/>
      <c r="E75" s="135"/>
      <c r="F75" s="135"/>
      <c r="G75" s="135"/>
      <c r="H75" s="135"/>
      <c r="I75" s="105"/>
      <c r="J75" s="105"/>
      <c r="K75" s="109"/>
      <c r="L75" s="109"/>
      <c r="M75" s="87"/>
      <c r="N75" s="86"/>
      <c r="O75" s="96"/>
      <c r="P75" s="348"/>
    </row>
    <row r="77" spans="1:16" s="75" customFormat="1" x14ac:dyDescent="0.2">
      <c r="A77"/>
      <c r="B77" s="95"/>
      <c r="C77" s="138"/>
      <c r="D77" s="138"/>
      <c r="E77" s="138"/>
      <c r="F77" s="138"/>
      <c r="G77" s="138"/>
      <c r="H77" s="138"/>
      <c r="I77" s="138"/>
      <c r="J77" s="138"/>
      <c r="K77" s="138"/>
      <c r="L77" s="138"/>
      <c r="M77" s="137"/>
      <c r="N77" s="95"/>
      <c r="O77" s="87"/>
      <c r="P77" s="348"/>
    </row>
    <row r="78" spans="1:16" s="75" customFormat="1" x14ac:dyDescent="0.2">
      <c r="A78"/>
      <c r="B78" s="105"/>
      <c r="C78" s="135"/>
      <c r="D78" s="135"/>
      <c r="E78" s="135"/>
      <c r="F78" s="135"/>
      <c r="G78" s="135"/>
      <c r="H78" s="135"/>
      <c r="I78" s="105"/>
      <c r="J78" s="105"/>
      <c r="K78" s="109"/>
      <c r="L78" s="109"/>
      <c r="M78" s="96"/>
      <c r="N78" s="86"/>
      <c r="O78" s="87"/>
      <c r="P78" s="348"/>
    </row>
    <row r="79" spans="1:16" s="75" customFormat="1" x14ac:dyDescent="0.2">
      <c r="A79"/>
      <c r="B79" s="105"/>
      <c r="C79" s="135"/>
      <c r="D79" s="135"/>
      <c r="E79" s="135"/>
      <c r="F79" s="135"/>
      <c r="G79" s="135"/>
      <c r="H79" s="135"/>
      <c r="I79" s="105"/>
      <c r="J79" s="105"/>
      <c r="K79" s="109"/>
      <c r="L79" s="109"/>
      <c r="M79" s="96"/>
      <c r="N79" s="86"/>
      <c r="O79" s="87"/>
      <c r="P79" s="348"/>
    </row>
    <row r="80" spans="1:16" s="75" customFormat="1" x14ac:dyDescent="0.2">
      <c r="A80"/>
      <c r="B80" s="105"/>
      <c r="C80" s="135"/>
      <c r="D80" s="135"/>
      <c r="E80" s="135"/>
      <c r="F80" s="135"/>
      <c r="G80" s="135"/>
      <c r="H80" s="135"/>
      <c r="I80" s="105"/>
      <c r="J80" s="105"/>
      <c r="K80" s="109"/>
      <c r="L80" s="109"/>
      <c r="M80" s="96"/>
      <c r="N80" s="86"/>
      <c r="O80" s="87"/>
      <c r="P80" s="348"/>
    </row>
    <row r="81" spans="1:16" s="75" customFormat="1" x14ac:dyDescent="0.2">
      <c r="A81"/>
      <c r="B81" s="105"/>
      <c r="C81" s="135"/>
      <c r="D81" s="135"/>
      <c r="E81" s="135"/>
      <c r="F81" s="135"/>
      <c r="G81" s="135"/>
      <c r="H81" s="135"/>
      <c r="I81" s="105"/>
      <c r="J81" s="105"/>
      <c r="K81" s="109"/>
      <c r="L81" s="109"/>
      <c r="M81" s="96"/>
      <c r="N81" s="86"/>
      <c r="O81" s="87"/>
      <c r="P81" s="348"/>
    </row>
    <row r="82" spans="1:16" s="75" customFormat="1" x14ac:dyDescent="0.2">
      <c r="A82"/>
      <c r="B82" s="105"/>
      <c r="C82" s="135"/>
      <c r="D82" s="135"/>
      <c r="E82" s="135"/>
      <c r="F82" s="135"/>
      <c r="G82" s="135"/>
      <c r="H82" s="135"/>
      <c r="I82" s="105"/>
      <c r="J82" s="105"/>
      <c r="K82" s="109"/>
      <c r="L82" s="109"/>
      <c r="M82" s="96"/>
      <c r="N82" s="86"/>
      <c r="O82" s="87"/>
      <c r="P82" s="348"/>
    </row>
    <row r="83" spans="1:16" s="75" customFormat="1" x14ac:dyDescent="0.2">
      <c r="A83"/>
      <c r="B83" s="105"/>
      <c r="C83" s="135"/>
      <c r="D83" s="135"/>
      <c r="E83" s="135"/>
      <c r="F83" s="135"/>
      <c r="G83" s="135"/>
      <c r="H83" s="135"/>
      <c r="I83" s="105"/>
      <c r="J83" s="105"/>
      <c r="K83" s="109"/>
      <c r="L83" s="109"/>
      <c r="M83" s="96"/>
      <c r="N83" s="86"/>
      <c r="O83" s="96"/>
      <c r="P83" s="348"/>
    </row>
    <row r="85" spans="1:16" s="75" customFormat="1" x14ac:dyDescent="0.2">
      <c r="A85"/>
      <c r="B85" s="95"/>
      <c r="C85" s="138"/>
      <c r="D85" s="138"/>
      <c r="E85" s="138"/>
      <c r="F85" s="138"/>
      <c r="G85" s="138"/>
      <c r="H85" s="138"/>
      <c r="I85" s="138"/>
      <c r="J85" s="138"/>
      <c r="K85" s="138"/>
      <c r="L85" s="138"/>
      <c r="M85" s="137"/>
      <c r="N85" s="95"/>
      <c r="O85" s="87"/>
      <c r="P85" s="348"/>
    </row>
    <row r="86" spans="1:16" s="75" customFormat="1" x14ac:dyDescent="0.2">
      <c r="A86"/>
      <c r="B86" s="143"/>
      <c r="C86" s="135"/>
      <c r="D86" s="135"/>
      <c r="E86" s="135"/>
      <c r="F86" s="135"/>
      <c r="G86" s="135"/>
      <c r="H86" s="135"/>
      <c r="I86" s="105"/>
      <c r="J86" s="105"/>
      <c r="K86" s="109"/>
      <c r="L86" s="109"/>
      <c r="M86" s="96"/>
      <c r="N86" s="86"/>
      <c r="O86" s="96"/>
      <c r="P86" s="348"/>
    </row>
    <row r="88" spans="1:16" s="75" customFormat="1" x14ac:dyDescent="0.2">
      <c r="A88"/>
      <c r="B88" s="95"/>
      <c r="C88" s="138"/>
      <c r="D88" s="138"/>
      <c r="E88" s="138"/>
      <c r="F88" s="138"/>
      <c r="G88" s="138"/>
      <c r="H88" s="138"/>
      <c r="I88" s="138"/>
      <c r="J88" s="138"/>
      <c r="K88" s="138"/>
      <c r="L88" s="138"/>
      <c r="M88" s="137"/>
      <c r="N88" s="95"/>
      <c r="O88" s="87"/>
      <c r="P88" s="348"/>
    </row>
    <row r="89" spans="1:16" s="75" customFormat="1" x14ac:dyDescent="0.2">
      <c r="A89"/>
      <c r="B89" s="105"/>
      <c r="C89" s="135"/>
      <c r="D89" s="135"/>
      <c r="E89" s="135"/>
      <c r="F89" s="135"/>
      <c r="G89" s="135"/>
      <c r="H89" s="135"/>
      <c r="I89" s="105"/>
      <c r="J89" s="105"/>
      <c r="K89" s="109"/>
      <c r="L89" s="109"/>
      <c r="M89" s="96"/>
      <c r="N89" s="86"/>
      <c r="O89" s="87"/>
      <c r="P89" s="348"/>
    </row>
    <row r="90" spans="1:16" s="75" customFormat="1" x14ac:dyDescent="0.2">
      <c r="A90"/>
      <c r="B90" s="105"/>
      <c r="C90" s="135"/>
      <c r="D90" s="135"/>
      <c r="E90" s="135"/>
      <c r="F90" s="135"/>
      <c r="G90" s="135"/>
      <c r="H90" s="135"/>
      <c r="I90" s="105"/>
      <c r="J90" s="105"/>
      <c r="K90" s="109"/>
      <c r="L90" s="109"/>
      <c r="M90" s="96"/>
      <c r="N90" s="86"/>
      <c r="O90" s="87"/>
      <c r="P90" s="348"/>
    </row>
    <row r="91" spans="1:16" s="75" customFormat="1" x14ac:dyDescent="0.2">
      <c r="A91"/>
      <c r="B91" s="141"/>
      <c r="C91" s="141"/>
      <c r="D91" s="141"/>
      <c r="E91" s="141"/>
      <c r="F91" s="141"/>
      <c r="G91" s="141"/>
      <c r="H91" s="141"/>
      <c r="I91" s="141"/>
      <c r="J91" s="96"/>
      <c r="K91" s="96"/>
      <c r="L91" s="96"/>
      <c r="M91" s="96"/>
      <c r="N91" s="86"/>
      <c r="O91" s="87"/>
      <c r="P91" s="348"/>
    </row>
    <row r="92" spans="1:16" s="75" customFormat="1" x14ac:dyDescent="0.2">
      <c r="A92"/>
      <c r="B92" s="141"/>
      <c r="C92" s="141"/>
      <c r="D92" s="141"/>
      <c r="E92" s="141"/>
      <c r="F92" s="141"/>
      <c r="G92" s="141"/>
      <c r="H92" s="141"/>
      <c r="I92" s="141"/>
      <c r="J92" s="141"/>
      <c r="K92" s="141"/>
      <c r="L92" s="87"/>
      <c r="M92" s="87"/>
      <c r="N92" s="86"/>
      <c r="O92" s="138"/>
      <c r="P92" s="348"/>
    </row>
    <row r="93" spans="1:16" s="75" customFormat="1" x14ac:dyDescent="0.2">
      <c r="A93"/>
      <c r="B93" s="105"/>
      <c r="C93" s="139"/>
      <c r="D93" s="139"/>
      <c r="E93" s="139"/>
      <c r="F93" s="139"/>
      <c r="G93" s="139"/>
      <c r="H93" s="139"/>
      <c r="I93" s="86"/>
      <c r="J93" s="140"/>
      <c r="K93" s="141"/>
      <c r="L93" s="87"/>
      <c r="M93" s="144"/>
      <c r="N93" s="86"/>
      <c r="O93" s="87"/>
      <c r="P93" s="348"/>
    </row>
    <row r="94" spans="1:16" s="75" customFormat="1" x14ac:dyDescent="0.2">
      <c r="A94"/>
      <c r="B94" s="138"/>
      <c r="C94" s="138"/>
      <c r="D94" s="138"/>
      <c r="E94" s="138"/>
      <c r="F94" s="138"/>
      <c r="G94" s="138"/>
      <c r="H94" s="138"/>
      <c r="I94" s="138"/>
      <c r="J94" s="138"/>
      <c r="K94" s="138"/>
      <c r="L94" s="138"/>
      <c r="M94" s="145"/>
      <c r="N94" s="95"/>
      <c r="O94" s="96"/>
      <c r="P94" s="348"/>
    </row>
    <row r="95" spans="1:16" s="75" customFormat="1" x14ac:dyDescent="0.2">
      <c r="A95"/>
      <c r="B95" s="105"/>
      <c r="C95" s="135"/>
      <c r="D95" s="135"/>
      <c r="E95" s="135"/>
      <c r="F95" s="135"/>
      <c r="G95" s="135"/>
      <c r="H95" s="135"/>
      <c r="I95" s="105"/>
      <c r="J95" s="95"/>
      <c r="K95" s="96"/>
      <c r="L95" s="96"/>
      <c r="M95" s="96"/>
      <c r="N95" s="86"/>
      <c r="O95" s="87"/>
      <c r="P95" s="348"/>
    </row>
    <row r="96" spans="1:16" s="75" customFormat="1" x14ac:dyDescent="0.2">
      <c r="A96"/>
      <c r="B96" s="95"/>
      <c r="C96" s="138"/>
      <c r="D96" s="138"/>
      <c r="E96" s="138"/>
      <c r="F96" s="138"/>
      <c r="G96" s="138"/>
      <c r="H96" s="138"/>
      <c r="I96" s="138"/>
      <c r="J96" s="138"/>
      <c r="K96" s="138"/>
      <c r="L96" s="138"/>
      <c r="M96" s="137"/>
      <c r="N96" s="95"/>
      <c r="O96" s="87"/>
      <c r="P96" s="348"/>
    </row>
    <row r="97" spans="1:16" s="75" customFormat="1" x14ac:dyDescent="0.2">
      <c r="A97"/>
      <c r="B97" s="105"/>
      <c r="C97" s="106"/>
      <c r="D97" s="106"/>
      <c r="E97" s="106"/>
      <c r="F97" s="106"/>
      <c r="G97" s="106"/>
      <c r="H97" s="106"/>
      <c r="I97" s="105"/>
      <c r="J97" s="105"/>
      <c r="K97" s="109"/>
      <c r="L97" s="109"/>
      <c r="M97" s="96"/>
      <c r="N97" s="86"/>
      <c r="O97" s="87"/>
      <c r="P97" s="348"/>
    </row>
    <row r="98" spans="1:16" s="75" customFormat="1" x14ac:dyDescent="0.2">
      <c r="A98"/>
      <c r="B98" s="105"/>
      <c r="C98" s="106"/>
      <c r="D98" s="106"/>
      <c r="E98" s="106"/>
      <c r="F98" s="106"/>
      <c r="G98" s="106"/>
      <c r="H98" s="106"/>
      <c r="I98" s="105"/>
      <c r="J98" s="105"/>
      <c r="K98" s="109"/>
      <c r="L98" s="109"/>
      <c r="M98" s="96"/>
      <c r="N98" s="86"/>
      <c r="O98" s="96"/>
      <c r="P98" s="348"/>
    </row>
    <row r="99" spans="1:16" s="75" customFormat="1" x14ac:dyDescent="0.2">
      <c r="A99"/>
      <c r="B99" s="105"/>
      <c r="C99" s="135"/>
      <c r="D99" s="135"/>
      <c r="E99" s="135"/>
      <c r="F99" s="135"/>
      <c r="G99" s="135"/>
      <c r="H99" s="135"/>
      <c r="I99" s="105"/>
      <c r="J99" s="95"/>
      <c r="K99" s="96"/>
      <c r="L99" s="96"/>
      <c r="M99" s="96"/>
      <c r="N99" s="86"/>
      <c r="O99" s="87"/>
      <c r="P99" s="348"/>
    </row>
    <row r="100" spans="1:16" s="75" customFormat="1" x14ac:dyDescent="0.2">
      <c r="A100"/>
      <c r="B100" s="95"/>
      <c r="C100" s="138"/>
      <c r="D100" s="138"/>
      <c r="E100" s="138"/>
      <c r="F100" s="138"/>
      <c r="G100" s="138"/>
      <c r="H100" s="138"/>
      <c r="I100" s="142"/>
      <c r="J100" s="105"/>
      <c r="K100" s="105"/>
      <c r="L100" s="105"/>
      <c r="M100" s="137"/>
      <c r="N100" s="95"/>
      <c r="O100" s="87"/>
      <c r="P100" s="348"/>
    </row>
    <row r="101" spans="1:16" s="75" customFormat="1" x14ac:dyDescent="0.2">
      <c r="A101"/>
      <c r="B101" s="105"/>
      <c r="C101" s="130"/>
      <c r="D101" s="130"/>
      <c r="E101" s="130"/>
      <c r="F101" s="130"/>
      <c r="G101" s="130"/>
      <c r="H101" s="130"/>
      <c r="I101" s="86"/>
      <c r="J101" s="105"/>
      <c r="K101" s="109"/>
      <c r="L101" s="109"/>
      <c r="M101" s="96"/>
      <c r="N101" s="86"/>
      <c r="O101" s="87"/>
      <c r="P101" s="348"/>
    </row>
    <row r="102" spans="1:16" s="75" customFormat="1" x14ac:dyDescent="0.2">
      <c r="A102"/>
      <c r="B102" s="105"/>
      <c r="C102" s="130"/>
      <c r="D102" s="130"/>
      <c r="E102" s="130"/>
      <c r="F102" s="130"/>
      <c r="G102" s="130"/>
      <c r="H102" s="130"/>
      <c r="I102" s="86"/>
      <c r="J102" s="105"/>
      <c r="K102" s="109"/>
      <c r="L102" s="109"/>
      <c r="M102" s="96"/>
      <c r="N102" s="86"/>
      <c r="O102" s="87"/>
      <c r="P102" s="348"/>
    </row>
    <row r="103" spans="1:16" s="75" customFormat="1" x14ac:dyDescent="0.2">
      <c r="A103"/>
      <c r="B103" s="105"/>
      <c r="C103" s="130"/>
      <c r="D103" s="130"/>
      <c r="E103" s="130"/>
      <c r="F103" s="130"/>
      <c r="G103" s="130"/>
      <c r="H103" s="130"/>
      <c r="I103" s="86"/>
      <c r="J103" s="105"/>
      <c r="K103" s="109"/>
      <c r="L103" s="109"/>
      <c r="M103" s="96"/>
      <c r="N103" s="86"/>
      <c r="O103" s="87"/>
      <c r="P103" s="348"/>
    </row>
    <row r="104" spans="1:16" s="75" customFormat="1" x14ac:dyDescent="0.2">
      <c r="A104"/>
      <c r="B104" s="105"/>
      <c r="C104" s="130"/>
      <c r="D104" s="130"/>
      <c r="E104" s="130"/>
      <c r="F104" s="130"/>
      <c r="G104" s="130"/>
      <c r="H104" s="130"/>
      <c r="I104" s="86"/>
      <c r="J104" s="105"/>
      <c r="K104" s="109"/>
      <c r="L104" s="109"/>
      <c r="M104" s="96"/>
      <c r="N104" s="86"/>
      <c r="O104" s="87"/>
      <c r="P104" s="348"/>
    </row>
    <row r="105" spans="1:16" s="75" customFormat="1" x14ac:dyDescent="0.2">
      <c r="A105"/>
      <c r="B105" s="105"/>
      <c r="C105" s="130"/>
      <c r="D105" s="130"/>
      <c r="E105" s="130"/>
      <c r="F105" s="130"/>
      <c r="G105" s="130"/>
      <c r="H105" s="130"/>
      <c r="I105" s="86"/>
      <c r="J105" s="105"/>
      <c r="K105" s="109"/>
      <c r="L105" s="109"/>
      <c r="M105" s="96"/>
      <c r="N105" s="86"/>
      <c r="O105" s="87"/>
      <c r="P105" s="348"/>
    </row>
    <row r="106" spans="1:16" s="75" customFormat="1" x14ac:dyDescent="0.2">
      <c r="A106"/>
      <c r="B106" s="105"/>
      <c r="C106" s="130"/>
      <c r="D106" s="130"/>
      <c r="E106" s="130"/>
      <c r="F106" s="130"/>
      <c r="G106" s="130"/>
      <c r="H106" s="130"/>
      <c r="I106" s="86"/>
      <c r="J106" s="105"/>
      <c r="K106" s="109"/>
      <c r="L106" s="109"/>
      <c r="M106" s="96"/>
      <c r="N106" s="86"/>
      <c r="O106" s="87"/>
      <c r="P106" s="348"/>
    </row>
    <row r="107" spans="1:16" s="75" customFormat="1" x14ac:dyDescent="0.2">
      <c r="A107"/>
      <c r="B107" s="105"/>
      <c r="C107" s="130"/>
      <c r="D107" s="130"/>
      <c r="E107" s="130"/>
      <c r="F107" s="130"/>
      <c r="G107" s="130"/>
      <c r="H107" s="130"/>
      <c r="I107" s="86"/>
      <c r="J107" s="105"/>
      <c r="K107" s="109"/>
      <c r="L107" s="109"/>
      <c r="M107" s="96"/>
      <c r="N107" s="86"/>
      <c r="O107" s="87"/>
      <c r="P107" s="348"/>
    </row>
    <row r="108" spans="1:16" s="75" customFormat="1" x14ac:dyDescent="0.2">
      <c r="A108"/>
      <c r="B108" s="105"/>
      <c r="C108" s="123"/>
      <c r="D108" s="123"/>
      <c r="E108" s="123"/>
      <c r="F108" s="123"/>
      <c r="G108" s="123"/>
      <c r="H108" s="123"/>
      <c r="I108" s="86"/>
      <c r="J108" s="105"/>
      <c r="K108" s="109"/>
      <c r="L108" s="109"/>
      <c r="M108" s="96"/>
      <c r="N108" s="86"/>
      <c r="O108" s="87"/>
      <c r="P108" s="348"/>
    </row>
    <row r="109" spans="1:16" s="75" customFormat="1" x14ac:dyDescent="0.2">
      <c r="A109"/>
      <c r="B109" s="105"/>
      <c r="C109" s="123"/>
      <c r="D109" s="123"/>
      <c r="E109" s="123"/>
      <c r="F109" s="123"/>
      <c r="G109" s="123"/>
      <c r="H109" s="123"/>
      <c r="I109" s="86"/>
      <c r="J109" s="105"/>
      <c r="K109" s="109"/>
      <c r="L109" s="109"/>
      <c r="M109" s="96"/>
      <c r="N109" s="86"/>
      <c r="O109" s="96"/>
      <c r="P109" s="348"/>
    </row>
    <row r="110" spans="1:16" x14ac:dyDescent="0.2">
      <c r="C110" s="135"/>
      <c r="D110" s="135"/>
      <c r="E110" s="135"/>
      <c r="F110" s="135"/>
      <c r="G110" s="135"/>
      <c r="H110" s="135"/>
      <c r="I110" s="105"/>
      <c r="J110" s="95"/>
      <c r="K110" s="96"/>
      <c r="L110" s="96"/>
      <c r="M110" s="96"/>
    </row>
    <row r="111" spans="1:16" x14ac:dyDescent="0.2">
      <c r="B111" s="95"/>
      <c r="C111" s="138"/>
      <c r="D111" s="138"/>
      <c r="E111" s="138"/>
      <c r="F111" s="138"/>
      <c r="G111" s="138"/>
      <c r="H111" s="138"/>
      <c r="I111" s="138"/>
      <c r="J111" s="138"/>
      <c r="K111" s="138"/>
      <c r="L111" s="138"/>
      <c r="M111" s="137"/>
      <c r="N111" s="95"/>
    </row>
    <row r="112" spans="1:16" x14ac:dyDescent="0.2">
      <c r="C112" s="106"/>
      <c r="D112" s="106"/>
      <c r="E112" s="106"/>
      <c r="F112" s="106"/>
      <c r="G112" s="106"/>
      <c r="H112" s="106"/>
      <c r="I112" s="105"/>
      <c r="J112" s="146"/>
      <c r="K112" s="109"/>
      <c r="L112" s="109"/>
      <c r="M112" s="96"/>
    </row>
    <row r="113" spans="2:16" x14ac:dyDescent="0.2">
      <c r="B113" s="141"/>
      <c r="C113" s="141"/>
      <c r="D113" s="141"/>
      <c r="E113" s="141"/>
      <c r="F113" s="141"/>
      <c r="G113" s="141"/>
      <c r="H113" s="141"/>
      <c r="I113" s="141"/>
      <c r="J113" s="96"/>
      <c r="K113" s="96"/>
      <c r="L113" s="96"/>
      <c r="M113" s="96"/>
    </row>
    <row r="114" spans="2:16" x14ac:dyDescent="0.2">
      <c r="B114" s="141"/>
      <c r="C114" s="141"/>
      <c r="D114" s="141"/>
      <c r="E114" s="141"/>
      <c r="F114" s="141"/>
      <c r="G114" s="141"/>
      <c r="H114" s="141"/>
      <c r="I114" s="141"/>
      <c r="J114" s="141"/>
      <c r="O114" s="138"/>
    </row>
    <row r="115" spans="2:16" x14ac:dyDescent="0.2">
      <c r="M115" s="144"/>
    </row>
    <row r="116" spans="2:16" x14ac:dyDescent="0.2">
      <c r="B116" s="138"/>
      <c r="C116" s="138"/>
      <c r="D116" s="138"/>
      <c r="E116" s="138"/>
      <c r="F116" s="138"/>
      <c r="G116" s="138"/>
      <c r="H116" s="138"/>
      <c r="I116" s="138"/>
      <c r="J116" s="138"/>
      <c r="K116" s="138"/>
      <c r="L116" s="138"/>
      <c r="M116" s="145"/>
      <c r="N116" s="95"/>
      <c r="O116" s="96"/>
    </row>
    <row r="117" spans="2:16" x14ac:dyDescent="0.2">
      <c r="C117" s="135"/>
      <c r="D117" s="135"/>
      <c r="E117" s="135"/>
      <c r="F117" s="135"/>
      <c r="G117" s="135"/>
      <c r="H117" s="135"/>
      <c r="I117" s="105"/>
      <c r="J117" s="95"/>
      <c r="K117" s="96"/>
      <c r="L117" s="96"/>
      <c r="M117" s="96"/>
    </row>
    <row r="118" spans="2:16" x14ac:dyDescent="0.2">
      <c r="B118" s="95"/>
      <c r="C118" s="138"/>
      <c r="D118" s="138"/>
      <c r="E118" s="138"/>
      <c r="F118" s="138"/>
      <c r="G118" s="138"/>
      <c r="H118" s="138"/>
      <c r="I118" s="138"/>
      <c r="J118" s="138"/>
      <c r="K118" s="138"/>
      <c r="L118" s="138"/>
      <c r="M118" s="137"/>
      <c r="N118" s="95"/>
    </row>
    <row r="119" spans="2:16" x14ac:dyDescent="0.2">
      <c r="C119" s="106"/>
      <c r="D119" s="106"/>
      <c r="E119" s="106"/>
      <c r="F119" s="106"/>
      <c r="G119" s="106"/>
      <c r="H119" s="106"/>
      <c r="I119" s="105"/>
      <c r="J119" s="146"/>
      <c r="K119" s="109"/>
      <c r="L119" s="109"/>
      <c r="M119" s="96"/>
      <c r="O119" s="96"/>
    </row>
    <row r="120" spans="2:16" s="121" customFormat="1" ht="14" x14ac:dyDescent="0.15">
      <c r="B120" s="105"/>
      <c r="C120" s="135"/>
      <c r="D120" s="135"/>
      <c r="E120" s="135"/>
      <c r="F120" s="135"/>
      <c r="G120" s="135"/>
      <c r="H120" s="135"/>
      <c r="I120" s="105"/>
      <c r="J120" s="95"/>
      <c r="K120" s="96"/>
      <c r="L120" s="96"/>
      <c r="M120" s="96"/>
      <c r="N120" s="86"/>
      <c r="O120" s="87"/>
      <c r="P120" s="349"/>
    </row>
    <row r="121" spans="2:16" s="121" customFormat="1" ht="14" x14ac:dyDescent="0.15">
      <c r="B121" s="95"/>
      <c r="C121" s="138"/>
      <c r="D121" s="138"/>
      <c r="E121" s="138"/>
      <c r="F121" s="138"/>
      <c r="G121" s="138"/>
      <c r="H121" s="138"/>
      <c r="I121" s="138"/>
      <c r="J121" s="138"/>
      <c r="K121" s="138"/>
      <c r="L121" s="138"/>
      <c r="M121" s="137"/>
      <c r="N121" s="95"/>
      <c r="O121" s="87"/>
      <c r="P121" s="349"/>
    </row>
    <row r="122" spans="2:16" x14ac:dyDescent="0.2">
      <c r="C122" s="106"/>
      <c r="D122" s="106"/>
      <c r="E122" s="106"/>
      <c r="F122" s="106"/>
      <c r="G122" s="106"/>
      <c r="H122" s="106"/>
      <c r="I122" s="147"/>
      <c r="J122" s="148"/>
      <c r="K122" s="149"/>
      <c r="L122" s="149"/>
      <c r="M122" s="96"/>
    </row>
    <row r="123" spans="2:16" x14ac:dyDescent="0.2">
      <c r="C123" s="106"/>
      <c r="D123" s="106"/>
      <c r="E123" s="106"/>
      <c r="F123" s="106"/>
      <c r="G123" s="106"/>
      <c r="H123" s="106"/>
      <c r="I123" s="105"/>
      <c r="J123" s="146"/>
      <c r="K123" s="109"/>
      <c r="L123" s="109"/>
      <c r="M123" s="96"/>
    </row>
    <row r="160" spans="1:16" s="75" customFormat="1" x14ac:dyDescent="0.2">
      <c r="A160"/>
      <c r="B160" s="105"/>
      <c r="C160" s="130"/>
      <c r="D160" s="130"/>
      <c r="E160" s="130"/>
      <c r="F160" s="130"/>
      <c r="G160" s="130"/>
      <c r="H160" s="130"/>
      <c r="I160" s="86"/>
      <c r="J160" s="105"/>
      <c r="K160" s="109"/>
      <c r="L160" s="109"/>
      <c r="M160" s="96"/>
      <c r="N160" s="86"/>
      <c r="O160" s="150"/>
      <c r="P160" s="348"/>
    </row>
    <row r="161" spans="1:16" s="75" customFormat="1" x14ac:dyDescent="0.2">
      <c r="A161"/>
      <c r="B161" s="105"/>
      <c r="C161" s="135"/>
      <c r="D161" s="135"/>
      <c r="E161" s="135"/>
      <c r="F161" s="135"/>
      <c r="G161" s="135"/>
      <c r="H161" s="135"/>
      <c r="I161" s="105"/>
      <c r="J161" s="95"/>
      <c r="K161" s="96"/>
      <c r="L161" s="96"/>
      <c r="M161" s="96"/>
      <c r="N161" s="86"/>
      <c r="O161" s="150"/>
      <c r="P161" s="348"/>
    </row>
    <row r="162" spans="1:16" s="75" customFormat="1" x14ac:dyDescent="0.2">
      <c r="A162"/>
      <c r="B162" s="151"/>
      <c r="C162" s="151"/>
      <c r="D162" s="151"/>
      <c r="E162" s="151"/>
      <c r="F162" s="151"/>
      <c r="G162" s="151"/>
      <c r="H162" s="151"/>
      <c r="I162" s="151"/>
      <c r="J162" s="151"/>
      <c r="K162" s="151"/>
      <c r="L162" s="151"/>
      <c r="M162" s="152"/>
      <c r="N162" s="150"/>
      <c r="O162" s="150"/>
      <c r="P162" s="348"/>
    </row>
    <row r="163" spans="1:16" s="75" customFormat="1" x14ac:dyDescent="0.2">
      <c r="A163"/>
      <c r="B163" s="151"/>
      <c r="C163" s="151"/>
      <c r="D163" s="151"/>
      <c r="E163" s="151"/>
      <c r="F163" s="151"/>
      <c r="G163" s="151"/>
      <c r="H163" s="151"/>
      <c r="I163" s="151"/>
      <c r="J163" s="151"/>
      <c r="K163" s="151"/>
      <c r="L163" s="151"/>
      <c r="M163" s="153"/>
      <c r="N163" s="150"/>
      <c r="O163" s="150"/>
      <c r="P163" s="348"/>
    </row>
    <row r="164" spans="1:16" s="75" customFormat="1" x14ac:dyDescent="0.2">
      <c r="A164"/>
      <c r="B164" s="151"/>
      <c r="C164" s="154"/>
      <c r="D164" s="154"/>
      <c r="E164" s="154"/>
      <c r="F164" s="154"/>
      <c r="G164" s="154"/>
      <c r="H164" s="154"/>
      <c r="I164" s="151"/>
      <c r="J164" s="155"/>
      <c r="K164" s="156"/>
      <c r="L164" s="157"/>
      <c r="M164" s="158"/>
      <c r="N164" s="150"/>
      <c r="O164" s="150"/>
      <c r="P164" s="348"/>
    </row>
    <row r="165" spans="1:16" s="75" customFormat="1" x14ac:dyDescent="0.2">
      <c r="A165"/>
      <c r="B165" s="151"/>
      <c r="C165" s="154"/>
      <c r="D165" s="154"/>
      <c r="E165" s="154"/>
      <c r="F165" s="154"/>
      <c r="G165" s="154"/>
      <c r="H165" s="154"/>
      <c r="I165" s="151"/>
      <c r="J165" s="155"/>
      <c r="K165" s="156"/>
      <c r="L165" s="157"/>
      <c r="M165" s="158"/>
      <c r="N165" s="150"/>
      <c r="O165" s="150"/>
      <c r="P165" s="348"/>
    </row>
    <row r="166" spans="1:16" s="75" customFormat="1" x14ac:dyDescent="0.2">
      <c r="A166"/>
      <c r="B166" s="151"/>
      <c r="C166" s="154"/>
      <c r="D166" s="154"/>
      <c r="E166" s="154"/>
      <c r="F166" s="154"/>
      <c r="G166" s="154"/>
      <c r="H166" s="154"/>
      <c r="I166" s="151"/>
      <c r="J166" s="155"/>
      <c r="K166" s="156"/>
      <c r="L166" s="157"/>
      <c r="M166" s="158"/>
      <c r="N166" s="150"/>
      <c r="O166" s="150"/>
      <c r="P166" s="348"/>
    </row>
    <row r="167" spans="1:16" s="75" customFormat="1" x14ac:dyDescent="0.2">
      <c r="A167"/>
      <c r="B167" s="151"/>
      <c r="C167" s="154"/>
      <c r="D167" s="154"/>
      <c r="E167" s="154"/>
      <c r="F167" s="154"/>
      <c r="G167" s="154"/>
      <c r="H167" s="154"/>
      <c r="I167" s="151"/>
      <c r="J167" s="159"/>
      <c r="K167" s="160"/>
      <c r="L167" s="160"/>
      <c r="M167" s="153"/>
      <c r="N167" s="150"/>
      <c r="O167" s="150"/>
      <c r="P167" s="348"/>
    </row>
    <row r="168" spans="1:16" s="75" customFormat="1" x14ac:dyDescent="0.2">
      <c r="A168"/>
      <c r="B168" s="151"/>
      <c r="C168" s="154"/>
      <c r="D168" s="154"/>
      <c r="E168" s="154"/>
      <c r="F168" s="154"/>
      <c r="G168" s="154"/>
      <c r="H168" s="154"/>
      <c r="I168" s="151"/>
      <c r="J168" s="159"/>
      <c r="K168" s="156"/>
      <c r="L168" s="160"/>
      <c r="M168" s="153"/>
      <c r="N168" s="150"/>
      <c r="O168" s="87"/>
      <c r="P168" s="348"/>
    </row>
    <row r="169" spans="1:16" s="75" customFormat="1" x14ac:dyDescent="0.2">
      <c r="A169"/>
      <c r="B169" s="151"/>
      <c r="C169" s="151"/>
      <c r="D169" s="151"/>
      <c r="E169" s="151"/>
      <c r="F169" s="151"/>
      <c r="G169" s="151"/>
      <c r="H169" s="151"/>
      <c r="I169" s="151"/>
      <c r="J169" s="159"/>
      <c r="K169" s="160"/>
      <c r="L169" s="160"/>
      <c r="M169" s="153"/>
      <c r="N169" s="150"/>
      <c r="O169" s="87"/>
      <c r="P169" s="348"/>
    </row>
    <row r="170" spans="1:16" s="75" customFormat="1" x14ac:dyDescent="0.2">
      <c r="A170"/>
      <c r="B170" s="105"/>
      <c r="C170" s="135"/>
      <c r="D170" s="135"/>
      <c r="E170" s="135"/>
      <c r="F170" s="135"/>
      <c r="G170" s="135"/>
      <c r="H170" s="135"/>
      <c r="I170" s="105"/>
      <c r="J170" s="95"/>
      <c r="K170" s="96"/>
      <c r="L170" s="96"/>
      <c r="M170" s="96"/>
      <c r="N170" s="86"/>
      <c r="O170" s="96"/>
      <c r="P170" s="348"/>
    </row>
    <row r="171" spans="1:16" s="75" customFormat="1" x14ac:dyDescent="0.2">
      <c r="A171"/>
      <c r="B171" s="105"/>
      <c r="C171" s="135"/>
      <c r="D171" s="135"/>
      <c r="E171" s="135"/>
      <c r="F171" s="135"/>
      <c r="G171" s="135"/>
      <c r="H171" s="135"/>
      <c r="I171" s="105"/>
      <c r="J171" s="95"/>
      <c r="K171" s="96"/>
      <c r="L171" s="96"/>
      <c r="M171" s="96"/>
      <c r="N171" s="86"/>
      <c r="O171" s="87"/>
      <c r="P171" s="348"/>
    </row>
    <row r="172" spans="1:16" s="75" customFormat="1" x14ac:dyDescent="0.2">
      <c r="A172"/>
      <c r="B172" s="95"/>
      <c r="C172" s="138"/>
      <c r="D172" s="138"/>
      <c r="E172" s="138"/>
      <c r="F172" s="138"/>
      <c r="G172" s="138"/>
      <c r="H172" s="138"/>
      <c r="I172" s="138"/>
      <c r="J172" s="138"/>
      <c r="K172" s="138"/>
      <c r="L172" s="138"/>
      <c r="M172" s="137"/>
      <c r="N172" s="95"/>
      <c r="O172" s="87"/>
      <c r="P172" s="348"/>
    </row>
    <row r="173" spans="1:16" s="75" customFormat="1" x14ac:dyDescent="0.2">
      <c r="A173"/>
      <c r="B173" s="105"/>
      <c r="C173" s="130"/>
      <c r="D173" s="130"/>
      <c r="E173" s="130"/>
      <c r="F173" s="130"/>
      <c r="G173" s="130"/>
      <c r="H173" s="130"/>
      <c r="I173" s="86"/>
      <c r="J173" s="105"/>
      <c r="K173" s="109"/>
      <c r="L173" s="109"/>
      <c r="M173" s="96"/>
      <c r="N173" s="86"/>
      <c r="O173" s="87"/>
      <c r="P173" s="348"/>
    </row>
    <row r="174" spans="1:16" s="75" customFormat="1" x14ac:dyDescent="0.2">
      <c r="A174"/>
      <c r="B174" s="105"/>
      <c r="C174" s="130"/>
      <c r="D174" s="130"/>
      <c r="E174" s="130"/>
      <c r="F174" s="130"/>
      <c r="G174" s="130"/>
      <c r="H174" s="130"/>
      <c r="I174" s="86"/>
      <c r="J174" s="105"/>
      <c r="K174" s="109"/>
      <c r="L174" s="109"/>
      <c r="M174" s="96"/>
      <c r="N174" s="86"/>
      <c r="O174" s="87"/>
      <c r="P174" s="348"/>
    </row>
    <row r="175" spans="1:16" s="75" customFormat="1" x14ac:dyDescent="0.2">
      <c r="A175"/>
      <c r="B175" s="105"/>
      <c r="C175" s="123"/>
      <c r="D175" s="123"/>
      <c r="E175" s="123"/>
      <c r="F175" s="123"/>
      <c r="G175" s="123"/>
      <c r="H175" s="123"/>
      <c r="I175" s="86"/>
      <c r="J175" s="105"/>
      <c r="K175" s="109"/>
      <c r="L175" s="109"/>
      <c r="M175" s="96"/>
      <c r="N175" s="86"/>
      <c r="O175" s="87"/>
      <c r="P175" s="348"/>
    </row>
    <row r="176" spans="1:16" s="75" customFormat="1" x14ac:dyDescent="0.2">
      <c r="A176"/>
      <c r="B176" s="105"/>
      <c r="C176" s="123"/>
      <c r="D176" s="123"/>
      <c r="E176" s="123"/>
      <c r="F176" s="123"/>
      <c r="G176" s="123"/>
      <c r="H176" s="123"/>
      <c r="I176" s="86"/>
      <c r="J176" s="105"/>
      <c r="K176" s="109"/>
      <c r="L176" s="109"/>
      <c r="M176" s="96"/>
      <c r="N176" s="86"/>
      <c r="O176" s="87"/>
      <c r="P176" s="348"/>
    </row>
    <row r="177" spans="1:16" s="75" customFormat="1" x14ac:dyDescent="0.2">
      <c r="A177"/>
      <c r="B177" s="105"/>
      <c r="C177" s="123"/>
      <c r="D177" s="123"/>
      <c r="E177" s="123"/>
      <c r="F177" s="123"/>
      <c r="G177" s="123"/>
      <c r="H177" s="123"/>
      <c r="I177" s="86"/>
      <c r="J177" s="105"/>
      <c r="K177" s="109"/>
      <c r="L177" s="109"/>
      <c r="M177" s="96"/>
      <c r="N177" s="86"/>
      <c r="O177" s="87"/>
      <c r="P177" s="348"/>
    </row>
    <row r="178" spans="1:16" s="75" customFormat="1" x14ac:dyDescent="0.2">
      <c r="A178"/>
      <c r="B178" s="105"/>
      <c r="C178" s="123"/>
      <c r="D178" s="123"/>
      <c r="E178" s="123"/>
      <c r="F178" s="123"/>
      <c r="G178" s="123"/>
      <c r="H178" s="123"/>
      <c r="I178" s="86"/>
      <c r="J178" s="105"/>
      <c r="K178" s="109"/>
      <c r="L178" s="109"/>
      <c r="M178" s="96"/>
      <c r="N178" s="86"/>
      <c r="O178" s="87"/>
      <c r="P178" s="348"/>
    </row>
    <row r="179" spans="1:16" s="75" customFormat="1" x14ac:dyDescent="0.2">
      <c r="A179"/>
      <c r="B179" s="105"/>
      <c r="C179" s="130"/>
      <c r="D179" s="130"/>
      <c r="E179" s="130"/>
      <c r="F179" s="130"/>
      <c r="G179" s="130"/>
      <c r="H179" s="130"/>
      <c r="I179" s="86"/>
      <c r="J179" s="161"/>
      <c r="K179" s="109"/>
      <c r="L179" s="109"/>
      <c r="M179" s="96"/>
      <c r="N179" s="86"/>
      <c r="O179" s="87"/>
      <c r="P179" s="348"/>
    </row>
    <row r="180" spans="1:16" s="75" customFormat="1" x14ac:dyDescent="0.2">
      <c r="A180"/>
      <c r="B180" s="105"/>
      <c r="C180" s="135"/>
      <c r="D180" s="135"/>
      <c r="E180" s="135"/>
      <c r="F180" s="135"/>
      <c r="G180" s="135"/>
      <c r="H180" s="135"/>
      <c r="I180" s="105"/>
      <c r="J180" s="95"/>
      <c r="K180" s="96"/>
      <c r="L180" s="96"/>
      <c r="M180" s="96"/>
      <c r="N180" s="86"/>
      <c r="O180" s="96"/>
      <c r="P180" s="348"/>
    </row>
    <row r="181" spans="1:16" s="75" customFormat="1" x14ac:dyDescent="0.2">
      <c r="A181"/>
      <c r="B181" s="105"/>
      <c r="C181" s="135"/>
      <c r="D181" s="135"/>
      <c r="E181" s="135"/>
      <c r="F181" s="135"/>
      <c r="G181" s="135"/>
      <c r="H181" s="135"/>
      <c r="I181" s="105"/>
      <c r="J181" s="95"/>
      <c r="K181" s="96"/>
      <c r="L181" s="96"/>
      <c r="M181" s="96"/>
      <c r="N181" s="86"/>
      <c r="O181" s="87"/>
      <c r="P181" s="348"/>
    </row>
    <row r="182" spans="1:16" s="75" customFormat="1" x14ac:dyDescent="0.2">
      <c r="A182"/>
      <c r="B182" s="95"/>
      <c r="C182" s="138"/>
      <c r="D182" s="138"/>
      <c r="E182" s="138"/>
      <c r="F182" s="138"/>
      <c r="G182" s="138"/>
      <c r="H182" s="138"/>
      <c r="I182" s="142"/>
      <c r="J182" s="105"/>
      <c r="K182" s="105"/>
      <c r="L182" s="105"/>
      <c r="M182" s="137"/>
      <c r="N182" s="95"/>
      <c r="O182" s="87"/>
      <c r="P182" s="348"/>
    </row>
    <row r="183" spans="1:16" s="75" customFormat="1" x14ac:dyDescent="0.2">
      <c r="A183"/>
      <c r="B183" s="105"/>
      <c r="C183" s="130"/>
      <c r="D183" s="130"/>
      <c r="E183" s="130"/>
      <c r="F183" s="130"/>
      <c r="G183" s="130"/>
      <c r="H183" s="130"/>
      <c r="I183" s="86"/>
      <c r="J183" s="105"/>
      <c r="K183" s="109"/>
      <c r="L183" s="109"/>
      <c r="M183" s="96"/>
      <c r="N183" s="86"/>
      <c r="O183" s="87"/>
      <c r="P183" s="348"/>
    </row>
    <row r="184" spans="1:16" s="75" customFormat="1" x14ac:dyDescent="0.2">
      <c r="A184"/>
      <c r="B184" s="105"/>
      <c r="C184" s="130"/>
      <c r="D184" s="130"/>
      <c r="E184" s="130"/>
      <c r="F184" s="130"/>
      <c r="G184" s="130"/>
      <c r="H184" s="130"/>
      <c r="I184" s="86"/>
      <c r="J184" s="105"/>
      <c r="K184" s="109"/>
      <c r="L184" s="109"/>
      <c r="M184" s="96"/>
      <c r="N184" s="86"/>
      <c r="O184" s="87"/>
      <c r="P184" s="348"/>
    </row>
    <row r="185" spans="1:16" s="75" customFormat="1" x14ac:dyDescent="0.2">
      <c r="A185"/>
      <c r="B185" s="105"/>
      <c r="C185" s="130"/>
      <c r="D185" s="130"/>
      <c r="E185" s="130"/>
      <c r="F185" s="130"/>
      <c r="G185" s="130"/>
      <c r="H185" s="130"/>
      <c r="I185" s="86"/>
      <c r="J185" s="105"/>
      <c r="K185" s="109"/>
      <c r="L185" s="109"/>
      <c r="M185" s="96"/>
      <c r="N185" s="86"/>
      <c r="O185" s="96"/>
      <c r="P185" s="348"/>
    </row>
    <row r="186" spans="1:16" s="75" customFormat="1" x14ac:dyDescent="0.2">
      <c r="A186"/>
      <c r="B186" s="105"/>
      <c r="C186" s="135"/>
      <c r="D186" s="135"/>
      <c r="E186" s="135"/>
      <c r="F186" s="135"/>
      <c r="G186" s="135"/>
      <c r="H186" s="135"/>
      <c r="I186" s="105"/>
      <c r="J186" s="95"/>
      <c r="K186" s="96"/>
      <c r="L186" s="96"/>
      <c r="M186" s="96"/>
      <c r="N186" s="86"/>
      <c r="O186" s="87"/>
      <c r="P186" s="348"/>
    </row>
    <row r="187" spans="1:16" s="75" customFormat="1" x14ac:dyDescent="0.2">
      <c r="A187"/>
      <c r="B187" s="95"/>
      <c r="C187" s="138"/>
      <c r="D187" s="138"/>
      <c r="E187" s="138"/>
      <c r="F187" s="138"/>
      <c r="G187" s="138"/>
      <c r="H187" s="138"/>
      <c r="I187" s="142"/>
      <c r="J187" s="105"/>
      <c r="K187" s="105"/>
      <c r="L187" s="105"/>
      <c r="M187" s="137"/>
      <c r="N187" s="95"/>
      <c r="O187" s="87"/>
      <c r="P187" s="348"/>
    </row>
    <row r="188" spans="1:16" s="75" customFormat="1" x14ac:dyDescent="0.2">
      <c r="A188"/>
      <c r="B188" s="105"/>
      <c r="C188" s="130"/>
      <c r="D188" s="130"/>
      <c r="E188" s="130"/>
      <c r="F188" s="130"/>
      <c r="G188" s="130"/>
      <c r="H188" s="130"/>
      <c r="I188" s="86"/>
      <c r="J188" s="105"/>
      <c r="K188" s="109"/>
      <c r="L188" s="109"/>
      <c r="M188" s="96"/>
      <c r="N188" s="86"/>
      <c r="O188" s="87"/>
      <c r="P188" s="348"/>
    </row>
    <row r="189" spans="1:16" s="75" customFormat="1" x14ac:dyDescent="0.2">
      <c r="A189"/>
      <c r="B189" s="105"/>
      <c r="C189" s="130"/>
      <c r="D189" s="130"/>
      <c r="E189" s="130"/>
      <c r="F189" s="130"/>
      <c r="G189" s="130"/>
      <c r="H189" s="130"/>
      <c r="I189" s="86"/>
      <c r="J189" s="105"/>
      <c r="K189" s="109"/>
      <c r="L189" s="109"/>
      <c r="M189" s="96"/>
      <c r="N189" s="86"/>
      <c r="O189" s="87"/>
      <c r="P189" s="348"/>
    </row>
    <row r="190" spans="1:16" s="86" customFormat="1" x14ac:dyDescent="0.2">
      <c r="A190"/>
      <c r="B190" s="105"/>
      <c r="C190" s="130"/>
      <c r="D190" s="130"/>
      <c r="E190" s="130"/>
      <c r="F190" s="130"/>
      <c r="G190" s="130"/>
      <c r="H190" s="130"/>
      <c r="J190" s="105"/>
      <c r="K190" s="109"/>
      <c r="L190" s="109"/>
      <c r="M190" s="96"/>
      <c r="O190" s="87"/>
      <c r="P190" s="350"/>
    </row>
    <row r="191" spans="1:16" s="86" customFormat="1" x14ac:dyDescent="0.2">
      <c r="A191"/>
      <c r="B191" s="105"/>
      <c r="C191" s="123"/>
      <c r="D191" s="123"/>
      <c r="E191" s="123"/>
      <c r="F191" s="123"/>
      <c r="G191" s="123"/>
      <c r="H191" s="123"/>
      <c r="J191" s="105"/>
      <c r="K191" s="109"/>
      <c r="L191" s="109"/>
      <c r="M191" s="87"/>
      <c r="O191" s="87"/>
      <c r="P191" s="350"/>
    </row>
    <row r="195" spans="1:16" s="86" customFormat="1" x14ac:dyDescent="0.2">
      <c r="A195"/>
      <c r="B195" s="105"/>
      <c r="C195" s="139"/>
      <c r="D195" s="139"/>
      <c r="E195" s="139"/>
      <c r="F195" s="139"/>
      <c r="G195" s="139"/>
      <c r="H195" s="139"/>
      <c r="J195" s="140"/>
      <c r="K195" s="141"/>
      <c r="L195" s="87"/>
      <c r="M195" s="144"/>
      <c r="O195" s="87"/>
      <c r="P195" s="350"/>
    </row>
  </sheetData>
  <mergeCells count="30">
    <mergeCell ref="B5:L5"/>
    <mergeCell ref="E56:H56"/>
    <mergeCell ref="B1:L1"/>
    <mergeCell ref="M1:N2"/>
    <mergeCell ref="B2:L3"/>
    <mergeCell ref="M3:N3"/>
    <mergeCell ref="B6:G6"/>
    <mergeCell ref="H6:L6"/>
    <mergeCell ref="B7:B8"/>
    <mergeCell ref="C7:C8"/>
    <mergeCell ref="D7:D8"/>
    <mergeCell ref="E7:F7"/>
    <mergeCell ref="G7:H7"/>
    <mergeCell ref="I7:I8"/>
    <mergeCell ref="J7:J8"/>
    <mergeCell ref="K7:K8"/>
    <mergeCell ref="E57:H57"/>
    <mergeCell ref="L7:L8"/>
    <mergeCell ref="M7:M8"/>
    <mergeCell ref="C48:L48"/>
    <mergeCell ref="E49:H49"/>
    <mergeCell ref="E51:H51"/>
    <mergeCell ref="E52:H52"/>
    <mergeCell ref="E53:H53"/>
    <mergeCell ref="E54:H54"/>
    <mergeCell ref="B59:C59"/>
    <mergeCell ref="B60:C60"/>
    <mergeCell ref="G59:L59"/>
    <mergeCell ref="G60:L60"/>
    <mergeCell ref="G61:L61"/>
  </mergeCells>
  <printOptions horizontalCentered="1" verticalCentered="1"/>
  <pageMargins left="0.25" right="0.25" top="0.37878787878787901" bottom="0.75" header="0.3" footer="0.3"/>
  <pageSetup scale="5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DA47B-A41C-D040-B755-048B3374E4B1}">
  <sheetPr>
    <tabColor rgb="FF92D050"/>
  </sheetPr>
  <dimension ref="A1:K46"/>
  <sheetViews>
    <sheetView zoomScaleNormal="78" workbookViewId="0">
      <selection activeCell="C6" sqref="C6"/>
    </sheetView>
  </sheetViews>
  <sheetFormatPr baseColWidth="10" defaultColWidth="11.5" defaultRowHeight="20.5" customHeight="1" x14ac:dyDescent="0.15"/>
  <cols>
    <col min="1" max="1" width="1.5" style="162" customWidth="1"/>
    <col min="2" max="2" width="5.5" style="162" customWidth="1"/>
    <col min="3" max="3" width="51.5" style="162" customWidth="1"/>
    <col min="4" max="4" width="8.1640625" style="162" bestFit="1" customWidth="1"/>
    <col min="5" max="5" width="20.5" style="162" customWidth="1"/>
    <col min="6" max="6" width="22.33203125" style="162" customWidth="1"/>
    <col min="7" max="7" width="19.6640625" style="162" bestFit="1" customWidth="1"/>
    <col min="8" max="8" width="18" style="164" customWidth="1"/>
    <col min="9" max="9" width="28.6640625" style="162" bestFit="1" customWidth="1"/>
    <col min="10" max="10" width="2.6640625" style="162" customWidth="1"/>
    <col min="11" max="11" width="17.33203125" style="162" bestFit="1" customWidth="1"/>
    <col min="12" max="16384" width="11.5" style="162"/>
  </cols>
  <sheetData>
    <row r="1" spans="1:11" customFormat="1" ht="99.5" customHeight="1" x14ac:dyDescent="0.2">
      <c r="A1" s="162"/>
      <c r="B1" s="162"/>
      <c r="C1" s="539" t="s">
        <v>288</v>
      </c>
      <c r="D1" s="539"/>
      <c r="E1" s="539"/>
      <c r="F1" s="539"/>
      <c r="G1" s="539"/>
      <c r="H1" s="539"/>
      <c r="I1" s="539"/>
      <c r="J1" s="540"/>
    </row>
    <row r="2" spans="1:11" customFormat="1" ht="15" x14ac:dyDescent="0.2">
      <c r="A2" s="162"/>
      <c r="B2" s="162"/>
      <c r="C2" s="539" t="s">
        <v>417</v>
      </c>
      <c r="D2" s="539"/>
      <c r="E2" s="539"/>
      <c r="F2" s="539"/>
      <c r="G2" s="539"/>
      <c r="H2" s="539"/>
      <c r="I2" s="539"/>
      <c r="J2" s="540"/>
    </row>
    <row r="3" spans="1:11" customFormat="1" ht="15" x14ac:dyDescent="0.2">
      <c r="A3" s="162"/>
      <c r="B3" s="162"/>
      <c r="C3" s="539" t="s">
        <v>418</v>
      </c>
      <c r="D3" s="539"/>
      <c r="E3" s="539"/>
      <c r="F3" s="539"/>
      <c r="G3" s="539"/>
      <c r="H3" s="539"/>
      <c r="I3" s="539"/>
      <c r="J3" s="540"/>
    </row>
    <row r="4" spans="1:11" customFormat="1" ht="77.25" customHeight="1" x14ac:dyDescent="0.2">
      <c r="A4" s="162"/>
      <c r="B4" s="162"/>
      <c r="C4" s="163" t="s">
        <v>723</v>
      </c>
      <c r="D4" s="541" t="s">
        <v>722</v>
      </c>
      <c r="E4" s="541"/>
      <c r="F4" s="541"/>
      <c r="G4" s="541"/>
      <c r="H4" s="541"/>
      <c r="I4" s="541"/>
      <c r="J4" s="540"/>
    </row>
    <row r="5" spans="1:11" ht="20.5" customHeight="1" x14ac:dyDescent="0.15">
      <c r="I5" s="162" t="str" cm="1">
        <f t="array" ref="I5:J5">+'E Y D PRESU ESTIMADO'!M3:N3</f>
        <v>AGOSTO 2026</v>
      </c>
      <c r="J5" s="162">
        <v>0</v>
      </c>
    </row>
    <row r="6" spans="1:11" s="165" customFormat="1" ht="20.5" customHeight="1" x14ac:dyDescent="0.2">
      <c r="C6" s="166" t="s">
        <v>419</v>
      </c>
      <c r="D6" s="167"/>
      <c r="E6" s="168">
        <f>'PRESU  ESTIMADO OBRA  ALPES'!H87</f>
        <v>2411815584</v>
      </c>
      <c r="F6" s="534" t="s">
        <v>420</v>
      </c>
      <c r="G6" s="535"/>
      <c r="H6" s="536"/>
      <c r="I6" s="169">
        <v>7</v>
      </c>
    </row>
    <row r="8" spans="1:11" ht="20.5" customHeight="1" x14ac:dyDescent="0.15">
      <c r="C8" s="170" t="s">
        <v>421</v>
      </c>
    </row>
    <row r="9" spans="1:11" ht="33" customHeight="1" x14ac:dyDescent="0.15">
      <c r="C9" s="537" t="s">
        <v>422</v>
      </c>
      <c r="D9" s="171" t="s">
        <v>423</v>
      </c>
      <c r="E9" s="172" t="s">
        <v>424</v>
      </c>
      <c r="F9" s="173" t="s">
        <v>425</v>
      </c>
      <c r="G9" s="172" t="s">
        <v>426</v>
      </c>
      <c r="H9" s="172" t="s">
        <v>427</v>
      </c>
      <c r="I9" s="172" t="s">
        <v>428</v>
      </c>
    </row>
    <row r="10" spans="1:11" ht="20.5" customHeight="1" x14ac:dyDescent="0.15">
      <c r="C10" s="538"/>
      <c r="D10" s="174" t="s">
        <v>429</v>
      </c>
      <c r="E10" s="171" t="s">
        <v>430</v>
      </c>
      <c r="F10" s="173" t="s">
        <v>431</v>
      </c>
      <c r="G10" s="172" t="s">
        <v>432</v>
      </c>
      <c r="H10" s="172" t="s">
        <v>433</v>
      </c>
      <c r="I10" s="172" t="s">
        <v>434</v>
      </c>
    </row>
    <row r="11" spans="1:11" ht="20.5" customHeight="1" x14ac:dyDescent="0.15">
      <c r="C11" s="175" t="s">
        <v>435</v>
      </c>
      <c r="D11" s="176" t="s">
        <v>436</v>
      </c>
      <c r="E11" s="177"/>
      <c r="F11" s="178"/>
      <c r="G11" s="179"/>
      <c r="H11" s="179"/>
      <c r="I11" s="179"/>
    </row>
    <row r="12" spans="1:11" ht="20.5" customHeight="1" x14ac:dyDescent="0.15">
      <c r="A12" s="180"/>
      <c r="B12" s="180"/>
      <c r="C12" s="181" t="s">
        <v>437</v>
      </c>
      <c r="D12" s="182">
        <v>1</v>
      </c>
      <c r="E12" s="183">
        <v>0.4</v>
      </c>
      <c r="F12" s="184">
        <f>SALARIOS!F8</f>
        <v>11183000</v>
      </c>
      <c r="G12" s="185">
        <f>FM!C46</f>
        <v>2.0289600000000005</v>
      </c>
      <c r="H12" s="186">
        <f>+$I$6</f>
        <v>7</v>
      </c>
      <c r="I12" s="187">
        <f>(F12*G12)*D12*E12*H12</f>
        <v>63531607.104000024</v>
      </c>
      <c r="J12" s="188"/>
      <c r="K12" s="189"/>
    </row>
    <row r="13" spans="1:11" ht="20.5" customHeight="1" x14ac:dyDescent="0.15">
      <c r="A13" s="180"/>
      <c r="B13" s="180"/>
      <c r="C13" s="181" t="s">
        <v>438</v>
      </c>
      <c r="D13" s="182">
        <v>1</v>
      </c>
      <c r="E13" s="183">
        <v>1</v>
      </c>
      <c r="F13" s="184">
        <f>SALARIOS!F9</f>
        <v>9522000</v>
      </c>
      <c r="G13" s="185">
        <f>+$G$12</f>
        <v>2.0289600000000005</v>
      </c>
      <c r="H13" s="186">
        <f t="shared" ref="H13:H31" si="0">+$I$6</f>
        <v>7</v>
      </c>
      <c r="I13" s="187">
        <f t="shared" ref="I13:I31" si="1">(F13*G13)*D13*E13*H13</f>
        <v>135238299.84000003</v>
      </c>
      <c r="J13" s="188"/>
    </row>
    <row r="14" spans="1:11" ht="20.5" customHeight="1" x14ac:dyDescent="0.15">
      <c r="A14" s="180"/>
      <c r="B14" s="180"/>
      <c r="C14" s="181" t="s">
        <v>439</v>
      </c>
      <c r="D14" s="182">
        <v>1</v>
      </c>
      <c r="E14" s="183">
        <v>0.5</v>
      </c>
      <c r="F14" s="184">
        <f>SALARIOS!$F$10</f>
        <v>8589000</v>
      </c>
      <c r="G14" s="185">
        <f t="shared" ref="G14:G31" si="2">+$G$12</f>
        <v>2.0289600000000005</v>
      </c>
      <c r="H14" s="186">
        <f t="shared" si="0"/>
        <v>7</v>
      </c>
      <c r="I14" s="187">
        <f t="shared" si="1"/>
        <v>60993581.040000021</v>
      </c>
    </row>
    <row r="15" spans="1:11" ht="20.5" customHeight="1" x14ac:dyDescent="0.15">
      <c r="A15" s="180"/>
      <c r="B15" s="180"/>
      <c r="C15" s="181" t="s">
        <v>440</v>
      </c>
      <c r="D15" s="182">
        <v>1</v>
      </c>
      <c r="E15" s="183">
        <v>0.1</v>
      </c>
      <c r="F15" s="184">
        <f>SALARIOS!$F$10</f>
        <v>8589000</v>
      </c>
      <c r="G15" s="185">
        <f t="shared" si="2"/>
        <v>2.0289600000000005</v>
      </c>
      <c r="H15" s="186">
        <v>2</v>
      </c>
      <c r="I15" s="187">
        <f t="shared" si="1"/>
        <v>3485347.4880000013</v>
      </c>
    </row>
    <row r="16" spans="1:11" ht="20.5" customHeight="1" x14ac:dyDescent="0.15">
      <c r="A16" s="180"/>
      <c r="B16" s="180"/>
      <c r="C16" s="181" t="s">
        <v>441</v>
      </c>
      <c r="D16" s="182">
        <v>1</v>
      </c>
      <c r="E16" s="183">
        <v>0.15</v>
      </c>
      <c r="F16" s="184">
        <f>SALARIOS!$F$10</f>
        <v>8589000</v>
      </c>
      <c r="G16" s="185">
        <f t="shared" si="2"/>
        <v>2.0289600000000005</v>
      </c>
      <c r="H16" s="186">
        <v>4</v>
      </c>
      <c r="I16" s="187">
        <f t="shared" si="1"/>
        <v>10456042.464000003</v>
      </c>
    </row>
    <row r="17" spans="1:9" ht="20.5" customHeight="1" x14ac:dyDescent="0.15">
      <c r="A17" s="180"/>
      <c r="B17" s="180"/>
      <c r="C17" s="181" t="s">
        <v>442</v>
      </c>
      <c r="D17" s="182">
        <v>1</v>
      </c>
      <c r="E17" s="183">
        <v>0.3</v>
      </c>
      <c r="F17" s="184">
        <f>SALARIOS!$F$10</f>
        <v>8589000</v>
      </c>
      <c r="G17" s="185">
        <f t="shared" si="2"/>
        <v>2.0289600000000005</v>
      </c>
      <c r="H17" s="186">
        <v>5</v>
      </c>
      <c r="I17" s="187">
        <f t="shared" si="1"/>
        <v>26140106.160000008</v>
      </c>
    </row>
    <row r="18" spans="1:9" ht="20.5" customHeight="1" x14ac:dyDescent="0.15">
      <c r="A18" s="180"/>
      <c r="B18" s="180"/>
      <c r="C18" s="181" t="s">
        <v>443</v>
      </c>
      <c r="D18" s="182">
        <v>1</v>
      </c>
      <c r="E18" s="183">
        <v>0.2</v>
      </c>
      <c r="F18" s="184">
        <f>SALARIOS!$F$10</f>
        <v>8589000</v>
      </c>
      <c r="G18" s="185">
        <f t="shared" si="2"/>
        <v>2.0289600000000005</v>
      </c>
      <c r="H18" s="186">
        <v>3</v>
      </c>
      <c r="I18" s="187">
        <f t="shared" si="1"/>
        <v>10456042.464000003</v>
      </c>
    </row>
    <row r="19" spans="1:9" ht="20.5" customHeight="1" x14ac:dyDescent="0.15">
      <c r="A19" s="180"/>
      <c r="B19" s="180"/>
      <c r="C19" s="181" t="s">
        <v>444</v>
      </c>
      <c r="D19" s="182">
        <v>1</v>
      </c>
      <c r="E19" s="183">
        <v>0.2</v>
      </c>
      <c r="F19" s="184">
        <f>SALARIOS!$F$10</f>
        <v>8589000</v>
      </c>
      <c r="G19" s="185">
        <f t="shared" si="2"/>
        <v>2.0289600000000005</v>
      </c>
      <c r="H19" s="186">
        <v>1</v>
      </c>
      <c r="I19" s="187">
        <f t="shared" si="1"/>
        <v>3485347.4880000013</v>
      </c>
    </row>
    <row r="20" spans="1:9" ht="20.5" customHeight="1" x14ac:dyDescent="0.15">
      <c r="A20" s="180"/>
      <c r="B20" s="180"/>
      <c r="C20" s="181" t="s">
        <v>445</v>
      </c>
      <c r="D20" s="182">
        <v>1</v>
      </c>
      <c r="E20" s="183">
        <v>0.5</v>
      </c>
      <c r="F20" s="184">
        <f>SALARIOS!$F$11</f>
        <v>7659000</v>
      </c>
      <c r="G20" s="185">
        <f t="shared" si="2"/>
        <v>2.0289600000000005</v>
      </c>
      <c r="H20" s="186">
        <f t="shared" si="0"/>
        <v>7</v>
      </c>
      <c r="I20" s="187">
        <f t="shared" si="1"/>
        <v>54389316.240000017</v>
      </c>
    </row>
    <row r="21" spans="1:9" ht="20.5" customHeight="1" x14ac:dyDescent="0.15">
      <c r="A21" s="180"/>
      <c r="B21" s="180"/>
      <c r="C21" s="181" t="s">
        <v>446</v>
      </c>
      <c r="D21" s="182">
        <v>1</v>
      </c>
      <c r="E21" s="183">
        <v>0.3</v>
      </c>
      <c r="F21" s="184">
        <f>SALARIOS!$F$11</f>
        <v>7659000</v>
      </c>
      <c r="G21" s="185">
        <f t="shared" si="2"/>
        <v>2.0289600000000005</v>
      </c>
      <c r="H21" s="186">
        <f t="shared" si="0"/>
        <v>7</v>
      </c>
      <c r="I21" s="187">
        <f t="shared" si="1"/>
        <v>32633589.744000006</v>
      </c>
    </row>
    <row r="22" spans="1:9" ht="20.5" customHeight="1" x14ac:dyDescent="0.15">
      <c r="A22" s="180"/>
      <c r="B22" s="180"/>
      <c r="C22" s="181" t="s">
        <v>447</v>
      </c>
      <c r="D22" s="182">
        <v>1</v>
      </c>
      <c r="E22" s="183">
        <v>0.2</v>
      </c>
      <c r="F22" s="184">
        <f>SALARIOS!$F$11</f>
        <v>7659000</v>
      </c>
      <c r="G22" s="185">
        <f t="shared" si="2"/>
        <v>2.0289600000000005</v>
      </c>
      <c r="H22" s="186">
        <v>3</v>
      </c>
      <c r="I22" s="187">
        <f t="shared" si="1"/>
        <v>9323882.7840000037</v>
      </c>
    </row>
    <row r="23" spans="1:9" ht="20.5" customHeight="1" x14ac:dyDescent="0.15">
      <c r="A23" s="180"/>
      <c r="B23" s="180"/>
      <c r="C23" s="181" t="s">
        <v>448</v>
      </c>
      <c r="D23" s="182">
        <v>1</v>
      </c>
      <c r="E23" s="183">
        <v>0.3</v>
      </c>
      <c r="F23" s="184">
        <f>SALARIOS!$F$11</f>
        <v>7659000</v>
      </c>
      <c r="G23" s="185">
        <f t="shared" si="2"/>
        <v>2.0289600000000005</v>
      </c>
      <c r="H23" s="186">
        <v>3</v>
      </c>
      <c r="I23" s="187">
        <f t="shared" si="1"/>
        <v>13985824.176000003</v>
      </c>
    </row>
    <row r="24" spans="1:9" ht="20.5" customHeight="1" x14ac:dyDescent="0.15">
      <c r="A24" s="180"/>
      <c r="B24" s="180"/>
      <c r="C24" s="181" t="s">
        <v>449</v>
      </c>
      <c r="D24" s="182">
        <v>1</v>
      </c>
      <c r="E24" s="183">
        <v>1</v>
      </c>
      <c r="F24" s="184">
        <f>SALARIOS!$F$11</f>
        <v>7659000</v>
      </c>
      <c r="G24" s="185">
        <f t="shared" si="2"/>
        <v>2.0289600000000005</v>
      </c>
      <c r="H24" s="186">
        <f t="shared" si="0"/>
        <v>7</v>
      </c>
      <c r="I24" s="187">
        <f t="shared" si="1"/>
        <v>108778632.48000003</v>
      </c>
    </row>
    <row r="25" spans="1:9" ht="20.5" customHeight="1" x14ac:dyDescent="0.15">
      <c r="A25" s="180"/>
      <c r="B25" s="180"/>
      <c r="C25" s="181" t="s">
        <v>450</v>
      </c>
      <c r="D25" s="182">
        <v>1</v>
      </c>
      <c r="E25" s="183">
        <v>0.2</v>
      </c>
      <c r="F25" s="184">
        <f>SALARIOS!$F$11</f>
        <v>7659000</v>
      </c>
      <c r="G25" s="185">
        <f t="shared" si="2"/>
        <v>2.0289600000000005</v>
      </c>
      <c r="H25" s="186">
        <v>1</v>
      </c>
      <c r="I25" s="187">
        <f t="shared" si="1"/>
        <v>3107960.9280000012</v>
      </c>
    </row>
    <row r="26" spans="1:9" ht="20.5" customHeight="1" x14ac:dyDescent="0.15">
      <c r="A26" s="180"/>
      <c r="B26" s="180"/>
      <c r="C26" s="181" t="s">
        <v>451</v>
      </c>
      <c r="D26" s="182">
        <v>1</v>
      </c>
      <c r="E26" s="183">
        <v>0.1</v>
      </c>
      <c r="F26" s="184">
        <f>SALARIOS!$F$11</f>
        <v>7659000</v>
      </c>
      <c r="G26" s="185">
        <f t="shared" si="2"/>
        <v>2.0289600000000005</v>
      </c>
      <c r="H26" s="186">
        <v>2</v>
      </c>
      <c r="I26" s="187">
        <f t="shared" si="1"/>
        <v>3107960.9280000012</v>
      </c>
    </row>
    <row r="27" spans="1:9" ht="20.5" customHeight="1" x14ac:dyDescent="0.15">
      <c r="A27" s="180"/>
      <c r="B27" s="180"/>
      <c r="C27" s="175" t="s">
        <v>452</v>
      </c>
      <c r="D27" s="176" t="s">
        <v>436</v>
      </c>
      <c r="E27" s="190"/>
      <c r="F27" s="191"/>
      <c r="G27" s="192"/>
      <c r="H27" s="193"/>
      <c r="I27" s="194"/>
    </row>
    <row r="28" spans="1:9" ht="30" customHeight="1" x14ac:dyDescent="0.15">
      <c r="A28" s="195"/>
      <c r="B28" s="195"/>
      <c r="C28" s="196" t="s">
        <v>453</v>
      </c>
      <c r="D28" s="182">
        <v>1</v>
      </c>
      <c r="E28" s="197">
        <v>0.3</v>
      </c>
      <c r="F28" s="184">
        <f>SALARIOS!F17</f>
        <v>2718000</v>
      </c>
      <c r="G28" s="185">
        <f t="shared" si="2"/>
        <v>2.0289600000000005</v>
      </c>
      <c r="H28" s="186">
        <f t="shared" si="0"/>
        <v>7</v>
      </c>
      <c r="I28" s="187">
        <f t="shared" si="1"/>
        <v>11580897.888000002</v>
      </c>
    </row>
    <row r="29" spans="1:9" ht="15" x14ac:dyDescent="0.15">
      <c r="A29" s="180"/>
      <c r="B29" s="180"/>
      <c r="C29" s="196" t="s">
        <v>454</v>
      </c>
      <c r="D29" s="182">
        <v>1</v>
      </c>
      <c r="E29" s="198">
        <v>0.5</v>
      </c>
      <c r="F29" s="184">
        <f>SALARIOS!F13</f>
        <v>3736000</v>
      </c>
      <c r="G29" s="185">
        <f t="shared" si="2"/>
        <v>2.0289600000000005</v>
      </c>
      <c r="H29" s="186">
        <f t="shared" si="0"/>
        <v>7</v>
      </c>
      <c r="I29" s="187">
        <f t="shared" si="1"/>
        <v>26530680.960000008</v>
      </c>
    </row>
    <row r="30" spans="1:9" ht="30" x14ac:dyDescent="0.15">
      <c r="A30" s="180"/>
      <c r="B30" s="180"/>
      <c r="C30" s="199" t="s">
        <v>455</v>
      </c>
      <c r="D30" s="182">
        <v>1</v>
      </c>
      <c r="E30" s="198">
        <v>0.3</v>
      </c>
      <c r="F30" s="184">
        <f>SALARIOS!F14</f>
        <v>2316000</v>
      </c>
      <c r="G30" s="185">
        <f t="shared" si="2"/>
        <v>2.0289600000000005</v>
      </c>
      <c r="H30" s="186">
        <f t="shared" si="0"/>
        <v>7</v>
      </c>
      <c r="I30" s="187">
        <f t="shared" si="1"/>
        <v>9868049.8560000025</v>
      </c>
    </row>
    <row r="31" spans="1:9" ht="30" x14ac:dyDescent="0.15">
      <c r="A31" s="180"/>
      <c r="B31" s="180"/>
      <c r="C31" s="199" t="s">
        <v>456</v>
      </c>
      <c r="D31" s="182">
        <v>1</v>
      </c>
      <c r="E31" s="197">
        <v>1</v>
      </c>
      <c r="F31" s="184">
        <f>+F30</f>
        <v>2316000</v>
      </c>
      <c r="G31" s="185">
        <f t="shared" si="2"/>
        <v>2.0289600000000005</v>
      </c>
      <c r="H31" s="186">
        <f t="shared" si="0"/>
        <v>7</v>
      </c>
      <c r="I31" s="187">
        <f t="shared" si="1"/>
        <v>32893499.520000011</v>
      </c>
    </row>
    <row r="32" spans="1:9" ht="20.5" customHeight="1" x14ac:dyDescent="0.15">
      <c r="A32" s="180"/>
      <c r="B32" s="180"/>
      <c r="C32" s="175" t="s">
        <v>457</v>
      </c>
      <c r="D32" s="176" t="s">
        <v>436</v>
      </c>
      <c r="E32" s="200"/>
      <c r="F32" s="200"/>
      <c r="G32" s="191"/>
      <c r="H32" s="169"/>
      <c r="I32" s="201"/>
    </row>
    <row r="33" spans="1:11" ht="15" x14ac:dyDescent="0.15">
      <c r="A33" s="180"/>
      <c r="B33" s="180"/>
      <c r="C33" s="199" t="s">
        <v>458</v>
      </c>
      <c r="D33" s="182">
        <v>1</v>
      </c>
      <c r="E33" s="197">
        <v>1</v>
      </c>
      <c r="F33" s="184">
        <f>+F28</f>
        <v>2718000</v>
      </c>
      <c r="G33" s="185">
        <f>+G31</f>
        <v>2.0289600000000005</v>
      </c>
      <c r="H33" s="186">
        <f>+H31</f>
        <v>7</v>
      </c>
      <c r="I33" s="187">
        <f>(F33*G33)*D33*E33*H33</f>
        <v>38602992.960000008</v>
      </c>
    </row>
    <row r="34" spans="1:11" ht="20.5" customHeight="1" x14ac:dyDescent="0.15">
      <c r="A34" s="180"/>
      <c r="B34" s="180"/>
      <c r="G34" s="202" t="s">
        <v>459</v>
      </c>
      <c r="I34" s="203">
        <f>SUM(I12:I33)</f>
        <v>658589662.51200008</v>
      </c>
    </row>
    <row r="35" spans="1:11" ht="20.5" customHeight="1" x14ac:dyDescent="0.15">
      <c r="A35" s="180"/>
      <c r="B35" s="180"/>
      <c r="G35" s="202"/>
      <c r="H35" s="204"/>
      <c r="I35" s="204"/>
    </row>
    <row r="36" spans="1:11" ht="20.5" customHeight="1" x14ac:dyDescent="0.15">
      <c r="A36" s="180"/>
      <c r="B36" s="180"/>
      <c r="C36" s="170" t="s">
        <v>460</v>
      </c>
    </row>
    <row r="37" spans="1:11" ht="20.5" customHeight="1" x14ac:dyDescent="0.15">
      <c r="A37" s="180"/>
      <c r="B37" s="180"/>
      <c r="C37" s="206" t="s">
        <v>461</v>
      </c>
      <c r="D37" s="207" t="s">
        <v>462</v>
      </c>
      <c r="E37" s="208"/>
      <c r="F37" s="207"/>
      <c r="G37" s="207"/>
      <c r="H37" s="380">
        <f>ROUND(+I34/E6,4)</f>
        <v>0.27310000000000001</v>
      </c>
      <c r="I37" s="203">
        <f>+I34</f>
        <v>658589662.51200008</v>
      </c>
      <c r="K37" s="162">
        <v>0.27450000000000002</v>
      </c>
    </row>
    <row r="38" spans="1:11" ht="20.5" customHeight="1" x14ac:dyDescent="0.2">
      <c r="C38" s="209"/>
      <c r="D38" s="210"/>
      <c r="E38" s="210"/>
      <c r="F38" s="210"/>
      <c r="G38" s="211"/>
      <c r="H38" s="212"/>
      <c r="I38" s="213"/>
    </row>
    <row r="39" spans="1:11" ht="20.5" customHeight="1" x14ac:dyDescent="0.15">
      <c r="A39" s="180"/>
      <c r="B39" s="180"/>
      <c r="C39" s="206" t="s">
        <v>463</v>
      </c>
      <c r="D39" s="207" t="s">
        <v>286</v>
      </c>
      <c r="E39" s="208"/>
      <c r="F39" s="207"/>
      <c r="G39" s="207"/>
      <c r="H39" s="214">
        <v>0.01</v>
      </c>
      <c r="I39" s="203">
        <f>+H39*E6</f>
        <v>24118155.84</v>
      </c>
    </row>
    <row r="40" spans="1:11" ht="20.5" customHeight="1" x14ac:dyDescent="0.15">
      <c r="C40" s="209"/>
      <c r="D40" s="215"/>
      <c r="E40" s="215"/>
      <c r="F40" s="215"/>
      <c r="G40" s="215"/>
      <c r="H40" s="212"/>
      <c r="I40" s="216"/>
    </row>
    <row r="41" spans="1:11" ht="20.5" customHeight="1" x14ac:dyDescent="0.15">
      <c r="C41" s="206" t="s">
        <v>464</v>
      </c>
      <c r="D41" s="207" t="s">
        <v>287</v>
      </c>
      <c r="E41" s="208"/>
      <c r="F41" s="207"/>
      <c r="G41" s="207"/>
      <c r="H41" s="214">
        <v>0.05</v>
      </c>
      <c r="I41" s="203">
        <f>+H41*E6</f>
        <v>120590779.2</v>
      </c>
    </row>
    <row r="42" spans="1:11" ht="20.5" customHeight="1" x14ac:dyDescent="0.15">
      <c r="C42" s="217"/>
      <c r="D42" s="218"/>
      <c r="E42" s="218"/>
      <c r="F42" s="218"/>
      <c r="G42" s="219"/>
      <c r="H42" s="220"/>
      <c r="I42" s="221"/>
    </row>
    <row r="43" spans="1:11" ht="20.5" customHeight="1" x14ac:dyDescent="0.15">
      <c r="C43" s="222"/>
      <c r="D43" s="207" t="s">
        <v>465</v>
      </c>
      <c r="E43" s="223"/>
      <c r="F43" s="201"/>
      <c r="G43" s="201"/>
      <c r="H43" s="214">
        <f>SUM(H37:H42)</f>
        <v>0.33310000000000001</v>
      </c>
      <c r="I43" s="205">
        <f>SUM(I37:I42)</f>
        <v>803298597.55200016</v>
      </c>
    </row>
    <row r="45" spans="1:11" ht="20.5" customHeight="1" x14ac:dyDescent="0.15">
      <c r="C45" s="532" t="s">
        <v>466</v>
      </c>
      <c r="D45" s="533"/>
      <c r="E45" s="533"/>
    </row>
    <row r="46" spans="1:11" ht="20.5" customHeight="1" x14ac:dyDescent="0.15">
      <c r="C46" s="533"/>
      <c r="D46" s="533"/>
      <c r="E46" s="533"/>
      <c r="I46" s="224"/>
    </row>
  </sheetData>
  <mergeCells count="8">
    <mergeCell ref="C45:E46"/>
    <mergeCell ref="F6:H6"/>
    <mergeCell ref="C9:C10"/>
    <mergeCell ref="C1:I1"/>
    <mergeCell ref="J1:J4"/>
    <mergeCell ref="C2:I2"/>
    <mergeCell ref="C3:I3"/>
    <mergeCell ref="D4:I4"/>
  </mergeCells>
  <pageMargins left="0.70866141732283472" right="0.70866141732283472" top="0.74803149606299213" bottom="0.74803149606299213" header="0.31496062992125984" footer="0.31496062992125984"/>
  <pageSetup scale="4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81BA8-5014-4F4A-9CF5-4676F68E27DB}">
  <dimension ref="A1:J56"/>
  <sheetViews>
    <sheetView topLeftCell="A29" zoomScaleNormal="100" zoomScaleSheetLayoutView="74" workbookViewId="0">
      <selection activeCell="I42" sqref="I42"/>
    </sheetView>
  </sheetViews>
  <sheetFormatPr baseColWidth="10" defaultColWidth="9.1640625" defaultRowHeight="15" x14ac:dyDescent="0.2"/>
  <cols>
    <col min="1" max="1" width="49.83203125" style="227" customWidth="1"/>
    <col min="2" max="2" width="10" style="227" bestFit="1" customWidth="1"/>
    <col min="3" max="3" width="13.83203125" style="227" customWidth="1"/>
    <col min="4" max="4" width="9.1640625" style="227"/>
    <col min="5" max="5" width="4.33203125" style="227" customWidth="1"/>
    <col min="6" max="6" width="50.6640625" style="227" customWidth="1"/>
    <col min="7" max="7" width="10" style="227" bestFit="1" customWidth="1"/>
    <col min="8" max="8" width="13.33203125" style="227" customWidth="1"/>
    <col min="9" max="9" width="10.83203125" style="227" customWidth="1"/>
    <col min="10" max="16384" width="9.1640625" style="227"/>
  </cols>
  <sheetData>
    <row r="1" spans="1:10" ht="18" x14ac:dyDescent="0.2">
      <c r="A1" s="542" t="s">
        <v>467</v>
      </c>
      <c r="B1" s="542"/>
      <c r="C1" s="542"/>
      <c r="D1" s="225"/>
      <c r="E1" s="226"/>
      <c r="F1" s="542" t="s">
        <v>468</v>
      </c>
      <c r="G1" s="542"/>
      <c r="H1" s="542"/>
    </row>
    <row r="2" spans="1:10" x14ac:dyDescent="0.2">
      <c r="A2" s="228" t="s">
        <v>469</v>
      </c>
      <c r="B2" s="229"/>
      <c r="C2" s="230">
        <v>1</v>
      </c>
      <c r="D2" s="225"/>
      <c r="E2" s="226"/>
      <c r="F2" s="228" t="s">
        <v>469</v>
      </c>
      <c r="G2" s="229"/>
      <c r="H2" s="230">
        <v>1</v>
      </c>
    </row>
    <row r="3" spans="1:10" x14ac:dyDescent="0.2">
      <c r="A3" s="228" t="s">
        <v>470</v>
      </c>
      <c r="B3" s="229"/>
      <c r="C3" s="231">
        <f>SUM(B4:B15)</f>
        <v>0.59630000000000016</v>
      </c>
      <c r="D3" s="225"/>
      <c r="E3" s="226"/>
      <c r="F3" s="228" t="s">
        <v>470</v>
      </c>
      <c r="G3" s="229"/>
      <c r="H3" s="231">
        <f>SUM(G4:G15)</f>
        <v>0.59630000000000016</v>
      </c>
    </row>
    <row r="4" spans="1:10" x14ac:dyDescent="0.2">
      <c r="A4" s="232" t="s">
        <v>471</v>
      </c>
      <c r="B4" s="233">
        <v>8.3299999999999999E-2</v>
      </c>
      <c r="C4" s="234"/>
      <c r="D4" s="225"/>
      <c r="E4" s="226"/>
      <c r="F4" s="232" t="s">
        <v>471</v>
      </c>
      <c r="G4" s="233">
        <v>8.3299999999999999E-2</v>
      </c>
      <c r="H4" s="234"/>
    </row>
    <row r="5" spans="1:10" x14ac:dyDescent="0.2">
      <c r="A5" s="232" t="s">
        <v>472</v>
      </c>
      <c r="B5" s="233">
        <v>0.01</v>
      </c>
      <c r="C5" s="234"/>
      <c r="D5" s="225"/>
      <c r="E5" s="226"/>
      <c r="F5" s="232" t="s">
        <v>472</v>
      </c>
      <c r="G5" s="233">
        <v>0.01</v>
      </c>
      <c r="H5" s="234"/>
    </row>
    <row r="6" spans="1:10" x14ac:dyDescent="0.2">
      <c r="A6" s="232" t="s">
        <v>473</v>
      </c>
      <c r="B6" s="233">
        <v>8.3299999999999999E-2</v>
      </c>
      <c r="C6" s="234"/>
      <c r="D6" s="225"/>
      <c r="E6" s="226"/>
      <c r="F6" s="232" t="s">
        <v>473</v>
      </c>
      <c r="G6" s="233">
        <v>8.3299999999999999E-2</v>
      </c>
      <c r="H6" s="234"/>
    </row>
    <row r="7" spans="1:10" x14ac:dyDescent="0.2">
      <c r="A7" s="232" t="s">
        <v>474</v>
      </c>
      <c r="B7" s="233">
        <v>4.1700000000000001E-2</v>
      </c>
      <c r="C7" s="234"/>
      <c r="D7" s="225"/>
      <c r="E7" s="226"/>
      <c r="F7" s="232" t="s">
        <v>474</v>
      </c>
      <c r="G7" s="233">
        <v>4.1700000000000001E-2</v>
      </c>
      <c r="H7" s="234"/>
    </row>
    <row r="8" spans="1:10" x14ac:dyDescent="0.2">
      <c r="A8" s="232" t="s">
        <v>475</v>
      </c>
      <c r="B8" s="233">
        <v>8.5000000000000006E-2</v>
      </c>
      <c r="C8" s="234"/>
      <c r="D8" s="225"/>
      <c r="E8" s="226"/>
      <c r="F8" s="232" t="s">
        <v>475</v>
      </c>
      <c r="G8" s="233">
        <v>8.5000000000000006E-2</v>
      </c>
      <c r="H8" s="234"/>
    </row>
    <row r="9" spans="1:10" x14ac:dyDescent="0.2">
      <c r="A9" s="232" t="s">
        <v>476</v>
      </c>
      <c r="B9" s="233">
        <v>0.12</v>
      </c>
      <c r="C9" s="234"/>
      <c r="D9" s="225"/>
      <c r="E9" s="226"/>
      <c r="F9" s="232" t="s">
        <v>476</v>
      </c>
      <c r="G9" s="233">
        <v>0.12</v>
      </c>
      <c r="H9" s="234"/>
    </row>
    <row r="10" spans="1:10" x14ac:dyDescent="0.2">
      <c r="A10" s="232" t="s">
        <v>477</v>
      </c>
      <c r="B10" s="233">
        <v>6.9599999999999995E-2</v>
      </c>
      <c r="C10" s="234"/>
      <c r="D10" s="225"/>
      <c r="E10" s="226"/>
      <c r="F10" s="232" t="s">
        <v>477</v>
      </c>
      <c r="G10" s="233">
        <v>6.9599999999999995E-2</v>
      </c>
      <c r="H10" s="234"/>
      <c r="J10" s="235"/>
    </row>
    <row r="11" spans="1:10" x14ac:dyDescent="0.2">
      <c r="A11" s="232" t="s">
        <v>478</v>
      </c>
      <c r="B11" s="233">
        <v>0.04</v>
      </c>
      <c r="C11" s="234"/>
      <c r="D11" s="225"/>
      <c r="E11" s="226"/>
      <c r="F11" s="232" t="s">
        <v>478</v>
      </c>
      <c r="G11" s="233">
        <v>0.04</v>
      </c>
      <c r="H11" s="234"/>
      <c r="J11" s="235"/>
    </row>
    <row r="12" spans="1:10" x14ac:dyDescent="0.2">
      <c r="A12" s="232" t="s">
        <v>479</v>
      </c>
      <c r="B12" s="233">
        <v>0.03</v>
      </c>
      <c r="C12" s="234"/>
      <c r="D12" s="225"/>
      <c r="E12" s="226"/>
      <c r="F12" s="232" t="s">
        <v>479</v>
      </c>
      <c r="G12" s="233">
        <v>0.03</v>
      </c>
      <c r="H12" s="234"/>
    </row>
    <row r="13" spans="1:10" x14ac:dyDescent="0.2">
      <c r="A13" s="232" t="s">
        <v>480</v>
      </c>
      <c r="B13" s="233">
        <v>0.02</v>
      </c>
      <c r="C13" s="234"/>
      <c r="D13" s="225"/>
      <c r="E13" s="226"/>
      <c r="F13" s="232" t="s">
        <v>480</v>
      </c>
      <c r="G13" s="233">
        <v>0.02</v>
      </c>
      <c r="H13" s="234"/>
    </row>
    <row r="14" spans="1:10" x14ac:dyDescent="0.2">
      <c r="A14" s="232" t="s">
        <v>481</v>
      </c>
      <c r="B14" s="233">
        <v>4.5999999999999999E-3</v>
      </c>
      <c r="C14" s="234"/>
      <c r="D14" s="225"/>
      <c r="E14" s="226"/>
      <c r="F14" s="232" t="s">
        <v>481</v>
      </c>
      <c r="G14" s="233">
        <v>4.5999999999999999E-3</v>
      </c>
      <c r="H14" s="234"/>
    </row>
    <row r="15" spans="1:10" x14ac:dyDescent="0.2">
      <c r="A15" s="232" t="s">
        <v>482</v>
      </c>
      <c r="B15" s="233">
        <v>8.8000000000000005E-3</v>
      </c>
      <c r="C15" s="234"/>
      <c r="D15" s="225"/>
      <c r="E15" s="226"/>
      <c r="F15" s="232" t="s">
        <v>482</v>
      </c>
      <c r="G15" s="233">
        <v>8.8000000000000005E-3</v>
      </c>
      <c r="H15" s="234"/>
    </row>
    <row r="16" spans="1:10" x14ac:dyDescent="0.2">
      <c r="A16" s="228" t="s">
        <v>483</v>
      </c>
      <c r="B16" s="229"/>
      <c r="C16" s="231">
        <f>SUM(B17:B32)</f>
        <v>0.30500000000000005</v>
      </c>
      <c r="D16" s="225"/>
      <c r="E16" s="226"/>
      <c r="F16" s="228" t="s">
        <v>483</v>
      </c>
      <c r="G16" s="229"/>
      <c r="H16" s="231">
        <f>SUM(G17:G30)</f>
        <v>0.16</v>
      </c>
    </row>
    <row r="17" spans="1:8" x14ac:dyDescent="0.2">
      <c r="A17" s="232" t="s">
        <v>484</v>
      </c>
      <c r="B17" s="236">
        <v>0.03</v>
      </c>
      <c r="C17" s="234"/>
      <c r="D17" s="237"/>
      <c r="E17" s="226"/>
      <c r="F17" s="232" t="s">
        <v>485</v>
      </c>
      <c r="G17" s="236">
        <v>0.02</v>
      </c>
      <c r="H17" s="234"/>
    </row>
    <row r="18" spans="1:8" x14ac:dyDescent="0.2">
      <c r="A18" s="232" t="s">
        <v>486</v>
      </c>
      <c r="B18" s="236">
        <v>0.02</v>
      </c>
      <c r="C18" s="234"/>
      <c r="D18" s="237"/>
      <c r="E18" s="226"/>
      <c r="F18" s="232" t="s">
        <v>487</v>
      </c>
      <c r="G18" s="236">
        <v>0.01</v>
      </c>
      <c r="H18" s="234"/>
    </row>
    <row r="19" spans="1:8" x14ac:dyDescent="0.2">
      <c r="A19" s="232" t="s">
        <v>488</v>
      </c>
      <c r="B19" s="236">
        <v>0.02</v>
      </c>
      <c r="C19" s="234"/>
      <c r="D19" s="225"/>
      <c r="E19" s="226"/>
      <c r="F19" s="232" t="s">
        <v>488</v>
      </c>
      <c r="G19" s="236">
        <v>0.01</v>
      </c>
      <c r="H19" s="234"/>
    </row>
    <row r="20" spans="1:8" x14ac:dyDescent="0.2">
      <c r="A20" s="232" t="s">
        <v>489</v>
      </c>
      <c r="B20" s="236">
        <v>0.02</v>
      </c>
      <c r="C20" s="234"/>
      <c r="D20" s="226"/>
      <c r="E20" s="226"/>
      <c r="F20" s="232" t="s">
        <v>489</v>
      </c>
      <c r="G20" s="236">
        <v>0.02</v>
      </c>
      <c r="H20" s="234"/>
    </row>
    <row r="21" spans="1:8" ht="30" x14ac:dyDescent="0.2">
      <c r="A21" s="238" t="s">
        <v>490</v>
      </c>
      <c r="B21" s="236">
        <v>0.01</v>
      </c>
      <c r="C21" s="234"/>
      <c r="D21" s="225"/>
      <c r="E21" s="226"/>
      <c r="F21" s="238" t="s">
        <v>490</v>
      </c>
      <c r="G21" s="236">
        <v>0</v>
      </c>
      <c r="H21" s="234"/>
    </row>
    <row r="22" spans="1:8" x14ac:dyDescent="0.2">
      <c r="A22" s="232" t="s">
        <v>491</v>
      </c>
      <c r="B22" s="236">
        <v>0.01</v>
      </c>
      <c r="C22" s="234"/>
      <c r="D22" s="225"/>
      <c r="E22" s="226"/>
      <c r="F22" s="232" t="s">
        <v>491</v>
      </c>
      <c r="G22" s="236">
        <v>0.01</v>
      </c>
      <c r="H22" s="234"/>
    </row>
    <row r="23" spans="1:8" x14ac:dyDescent="0.2">
      <c r="A23" s="238" t="s">
        <v>492</v>
      </c>
      <c r="B23" s="236">
        <v>0.01</v>
      </c>
      <c r="C23" s="234"/>
      <c r="D23" s="225"/>
      <c r="E23" s="226"/>
      <c r="F23" s="238" t="s">
        <v>492</v>
      </c>
      <c r="G23" s="236">
        <v>5.0000000000000001E-3</v>
      </c>
      <c r="H23" s="234"/>
    </row>
    <row r="24" spans="1:8" x14ac:dyDescent="0.2">
      <c r="A24" s="232" t="s">
        <v>493</v>
      </c>
      <c r="B24" s="236">
        <v>0.03</v>
      </c>
      <c r="C24" s="234"/>
      <c r="D24" s="225"/>
      <c r="E24" s="226"/>
      <c r="F24" s="232" t="s">
        <v>494</v>
      </c>
      <c r="G24" s="236">
        <v>0.02</v>
      </c>
      <c r="H24" s="234"/>
    </row>
    <row r="25" spans="1:8" ht="45" x14ac:dyDescent="0.2">
      <c r="A25" s="238" t="s">
        <v>495</v>
      </c>
      <c r="B25" s="236">
        <v>0.01</v>
      </c>
      <c r="C25" s="234"/>
      <c r="D25" s="225"/>
      <c r="E25" s="226"/>
      <c r="F25" s="238" t="s">
        <v>496</v>
      </c>
      <c r="G25" s="236">
        <v>5.0000000000000001E-3</v>
      </c>
      <c r="H25" s="234"/>
    </row>
    <row r="26" spans="1:8" ht="30" x14ac:dyDescent="0.2">
      <c r="A26" s="238" t="s">
        <v>497</v>
      </c>
      <c r="B26" s="236">
        <v>0.02</v>
      </c>
      <c r="C26" s="234"/>
      <c r="D26" s="225"/>
      <c r="E26" s="226"/>
      <c r="F26" s="238" t="s">
        <v>497</v>
      </c>
      <c r="G26" s="236">
        <v>0.01</v>
      </c>
      <c r="H26" s="234"/>
    </row>
    <row r="27" spans="1:8" ht="60" x14ac:dyDescent="0.2">
      <c r="A27" s="238" t="s">
        <v>498</v>
      </c>
      <c r="B27" s="239">
        <v>0.02</v>
      </c>
      <c r="C27" s="240"/>
      <c r="D27" s="225"/>
      <c r="E27" s="226"/>
      <c r="F27" s="238" t="s">
        <v>498</v>
      </c>
      <c r="G27" s="239">
        <v>0.01</v>
      </c>
      <c r="H27" s="240"/>
    </row>
    <row r="28" spans="1:8" x14ac:dyDescent="0.2">
      <c r="A28" s="238" t="s">
        <v>499</v>
      </c>
      <c r="B28" s="239">
        <v>0.01</v>
      </c>
      <c r="C28" s="234"/>
      <c r="D28" s="225"/>
      <c r="E28" s="226"/>
      <c r="F28" s="238" t="s">
        <v>499</v>
      </c>
      <c r="G28" s="239">
        <v>0.01</v>
      </c>
      <c r="H28" s="234"/>
    </row>
    <row r="29" spans="1:8" ht="30" x14ac:dyDescent="0.2">
      <c r="A29" s="238" t="s">
        <v>500</v>
      </c>
      <c r="B29" s="236">
        <v>0.02</v>
      </c>
      <c r="C29" s="234"/>
      <c r="D29" s="225"/>
      <c r="E29" s="226"/>
      <c r="F29" s="238" t="s">
        <v>501</v>
      </c>
      <c r="G29" s="236">
        <v>0.02</v>
      </c>
      <c r="H29" s="234"/>
    </row>
    <row r="30" spans="1:8" ht="45" x14ac:dyDescent="0.2">
      <c r="A30" s="238" t="s">
        <v>502</v>
      </c>
      <c r="B30" s="236">
        <v>3.5000000000000003E-2</v>
      </c>
      <c r="C30" s="234"/>
      <c r="D30" s="241"/>
      <c r="E30" s="226"/>
      <c r="F30" s="238" t="s">
        <v>503</v>
      </c>
      <c r="G30" s="236">
        <v>0.01</v>
      </c>
      <c r="H30" s="234"/>
    </row>
    <row r="31" spans="1:8" ht="45" x14ac:dyDescent="0.2">
      <c r="A31" s="238" t="s">
        <v>503</v>
      </c>
      <c r="B31" s="236">
        <v>0.01</v>
      </c>
      <c r="C31" s="234"/>
      <c r="D31" s="242"/>
      <c r="E31" s="226"/>
      <c r="F31" s="228" t="s">
        <v>504</v>
      </c>
      <c r="G31" s="229"/>
      <c r="H31" s="243">
        <f>SUM(G32:G38)</f>
        <v>0.13816000000000001</v>
      </c>
    </row>
    <row r="32" spans="1:8" ht="45" x14ac:dyDescent="0.2">
      <c r="A32" s="238" t="s">
        <v>505</v>
      </c>
      <c r="B32" s="236">
        <v>0.03</v>
      </c>
      <c r="C32" s="234"/>
      <c r="D32" s="244"/>
      <c r="E32" s="226"/>
      <c r="F32" s="232" t="s">
        <v>506</v>
      </c>
      <c r="G32" s="245">
        <v>0.06</v>
      </c>
      <c r="H32" s="234"/>
    </row>
    <row r="33" spans="1:10" x14ac:dyDescent="0.2">
      <c r="A33" s="228" t="s">
        <v>504</v>
      </c>
      <c r="B33" s="229"/>
      <c r="C33" s="243">
        <f>SUM(B34:B40)</f>
        <v>6.966E-2</v>
      </c>
      <c r="D33" s="226"/>
      <c r="E33" s="226"/>
      <c r="F33" s="246" t="s">
        <v>507</v>
      </c>
      <c r="G33" s="247">
        <v>2.8500000000000001E-2</v>
      </c>
      <c r="H33" s="248"/>
      <c r="J33" s="249"/>
    </row>
    <row r="34" spans="1:10" x14ac:dyDescent="0.2">
      <c r="A34" s="232" t="s">
        <v>506</v>
      </c>
      <c r="B34" s="245">
        <v>0.02</v>
      </c>
      <c r="C34" s="234"/>
      <c r="D34" s="226"/>
      <c r="E34" s="226"/>
      <c r="F34" s="232" t="s">
        <v>508</v>
      </c>
      <c r="G34" s="245">
        <v>8.6599999999999993E-3</v>
      </c>
      <c r="H34" s="234"/>
    </row>
    <row r="35" spans="1:10" x14ac:dyDescent="0.2">
      <c r="A35" s="246" t="s">
        <v>507</v>
      </c>
      <c r="B35" s="245">
        <v>0</v>
      </c>
      <c r="C35" s="250"/>
      <c r="D35" s="226"/>
      <c r="E35" s="226"/>
      <c r="F35" s="232" t="s">
        <v>509</v>
      </c>
      <c r="G35" s="245">
        <v>1.0999999999999999E-2</v>
      </c>
      <c r="H35" s="234"/>
      <c r="I35" s="543"/>
    </row>
    <row r="36" spans="1:10" x14ac:dyDescent="0.2">
      <c r="A36" s="232" t="s">
        <v>508</v>
      </c>
      <c r="B36" s="245">
        <v>8.6599999999999993E-3</v>
      </c>
      <c r="C36" s="234"/>
      <c r="D36" s="226"/>
      <c r="E36" s="226"/>
      <c r="F36" s="232" t="s">
        <v>510</v>
      </c>
      <c r="G36" s="245">
        <v>5.0000000000000001E-3</v>
      </c>
      <c r="H36" s="234"/>
      <c r="I36" s="543"/>
    </row>
    <row r="37" spans="1:10" x14ac:dyDescent="0.2">
      <c r="A37" s="232" t="s">
        <v>509</v>
      </c>
      <c r="B37" s="245">
        <v>1.0999999999999999E-2</v>
      </c>
      <c r="C37" s="234"/>
      <c r="D37" s="226"/>
      <c r="E37" s="226"/>
      <c r="F37" s="232" t="s">
        <v>511</v>
      </c>
      <c r="G37" s="245">
        <v>0.02</v>
      </c>
      <c r="H37" s="234"/>
      <c r="I37" s="543"/>
    </row>
    <row r="38" spans="1:10" x14ac:dyDescent="0.2">
      <c r="A38" s="232" t="s">
        <v>510</v>
      </c>
      <c r="B38" s="245">
        <v>5.0000000000000001E-3</v>
      </c>
      <c r="C38" s="234"/>
      <c r="D38" s="226"/>
      <c r="E38" s="226"/>
      <c r="F38" s="232" t="s">
        <v>512</v>
      </c>
      <c r="G38" s="245">
        <v>5.0000000000000001E-3</v>
      </c>
      <c r="H38" s="234"/>
    </row>
    <row r="39" spans="1:10" x14ac:dyDescent="0.2">
      <c r="A39" s="232" t="s">
        <v>511</v>
      </c>
      <c r="B39" s="245">
        <v>0.02</v>
      </c>
      <c r="C39" s="234"/>
      <c r="D39" s="226"/>
      <c r="E39" s="226"/>
      <c r="F39" s="228" t="s">
        <v>513</v>
      </c>
      <c r="G39" s="229"/>
      <c r="H39" s="231">
        <f>+SUM(G40:G42)</f>
        <v>4.8000000000000001E-2</v>
      </c>
    </row>
    <row r="40" spans="1:10" x14ac:dyDescent="0.2">
      <c r="A40" s="232" t="s">
        <v>512</v>
      </c>
      <c r="B40" s="245">
        <v>5.0000000000000001E-3</v>
      </c>
      <c r="C40" s="234"/>
      <c r="D40" s="226"/>
      <c r="E40" s="226"/>
      <c r="F40" s="232" t="s">
        <v>514</v>
      </c>
      <c r="G40" s="245">
        <v>9.4000000000000004E-3</v>
      </c>
      <c r="H40" s="234"/>
    </row>
    <row r="41" spans="1:10" x14ac:dyDescent="0.2">
      <c r="A41" s="228" t="s">
        <v>513</v>
      </c>
      <c r="B41" s="229"/>
      <c r="C41" s="231">
        <f>+SUM(B42:B45)</f>
        <v>5.8000000000000003E-2</v>
      </c>
      <c r="D41" s="226"/>
      <c r="E41" s="226"/>
      <c r="F41" s="232" t="s">
        <v>515</v>
      </c>
      <c r="G41" s="245">
        <v>8.6E-3</v>
      </c>
      <c r="H41" s="234"/>
    </row>
    <row r="42" spans="1:10" x14ac:dyDescent="0.2">
      <c r="A42" s="232" t="s">
        <v>514</v>
      </c>
      <c r="B42" s="245">
        <v>9.4000000000000004E-3</v>
      </c>
      <c r="C42" s="234"/>
      <c r="D42" s="226"/>
      <c r="E42" s="226"/>
      <c r="F42" s="232" t="s">
        <v>516</v>
      </c>
      <c r="G42" s="245">
        <v>0.03</v>
      </c>
      <c r="H42" s="234"/>
    </row>
    <row r="43" spans="1:10" x14ac:dyDescent="0.2">
      <c r="A43" s="232" t="s">
        <v>515</v>
      </c>
      <c r="B43" s="245">
        <v>8.6E-3</v>
      </c>
      <c r="C43" s="234"/>
      <c r="D43" s="226"/>
      <c r="E43" s="226"/>
      <c r="F43" s="228" t="s">
        <v>168</v>
      </c>
      <c r="G43" s="229"/>
      <c r="H43" s="231">
        <f>SUM(G44:G45)</f>
        <v>6.0000000000000005E-2</v>
      </c>
    </row>
    <row r="44" spans="1:10" x14ac:dyDescent="0.2">
      <c r="A44" s="232" t="s">
        <v>517</v>
      </c>
      <c r="B44" s="245">
        <v>0.03</v>
      </c>
      <c r="C44" s="234"/>
      <c r="D44" s="226"/>
      <c r="E44" s="226"/>
      <c r="F44" s="232" t="s">
        <v>518</v>
      </c>
      <c r="G44" s="245">
        <v>0.01</v>
      </c>
      <c r="H44" s="234"/>
    </row>
    <row r="45" spans="1:10" x14ac:dyDescent="0.2">
      <c r="A45" s="232" t="s">
        <v>519</v>
      </c>
      <c r="B45" s="245">
        <v>0.01</v>
      </c>
      <c r="C45" s="234"/>
      <c r="D45" s="226"/>
      <c r="E45" s="226"/>
      <c r="F45" s="232" t="s">
        <v>520</v>
      </c>
      <c r="G45" s="245">
        <v>0.05</v>
      </c>
      <c r="H45" s="234"/>
    </row>
    <row r="46" spans="1:10" x14ac:dyDescent="0.2">
      <c r="A46" s="228" t="s">
        <v>521</v>
      </c>
      <c r="B46" s="229">
        <f>SUM(B4:B45)</f>
        <v>1.0289600000000005</v>
      </c>
      <c r="C46" s="231">
        <f>SUM(C2:C44)</f>
        <v>2.0289600000000005</v>
      </c>
      <c r="D46" s="226"/>
      <c r="E46" s="226"/>
      <c r="F46" s="228" t="s">
        <v>521</v>
      </c>
      <c r="G46" s="229">
        <f>SUM(G4:G45)</f>
        <v>1.0024600000000004</v>
      </c>
      <c r="H46" s="231">
        <f>SUM(H2:H45)</f>
        <v>2.0024600000000001</v>
      </c>
    </row>
    <row r="47" spans="1:10" x14ac:dyDescent="0.2">
      <c r="A47" s="251" t="s">
        <v>522</v>
      </c>
      <c r="B47" s="226"/>
      <c r="C47" s="226"/>
      <c r="D47" s="226"/>
      <c r="E47" s="244"/>
      <c r="F47" s="226"/>
      <c r="G47" s="226"/>
      <c r="H47" s="226"/>
      <c r="I47" s="226"/>
    </row>
    <row r="48" spans="1:10" x14ac:dyDescent="0.2">
      <c r="A48" s="226"/>
      <c r="B48" s="226"/>
      <c r="C48" s="226"/>
      <c r="D48" s="226"/>
      <c r="E48" s="226"/>
      <c r="F48" s="226"/>
      <c r="G48" s="226"/>
      <c r="H48" s="226"/>
      <c r="I48" s="226"/>
    </row>
    <row r="49" spans="1:9" x14ac:dyDescent="0.2">
      <c r="E49" s="226"/>
      <c r="F49" s="226"/>
      <c r="G49" s="226"/>
      <c r="H49" s="226"/>
      <c r="I49" s="226"/>
    </row>
    <row r="50" spans="1:9" x14ac:dyDescent="0.2">
      <c r="A50" s="252"/>
      <c r="E50" s="226"/>
      <c r="F50" s="226"/>
      <c r="G50" s="226"/>
      <c r="H50" s="226"/>
      <c r="I50" s="226"/>
    </row>
    <row r="51" spans="1:9" x14ac:dyDescent="0.2">
      <c r="E51" s="226"/>
      <c r="F51" s="226"/>
      <c r="G51" s="226"/>
      <c r="H51" s="226"/>
      <c r="I51" s="226"/>
    </row>
    <row r="52" spans="1:9" x14ac:dyDescent="0.2">
      <c r="E52" s="226"/>
      <c r="F52" s="226"/>
      <c r="G52" s="226"/>
      <c r="H52" s="226"/>
      <c r="I52" s="226"/>
    </row>
    <row r="53" spans="1:9" x14ac:dyDescent="0.2">
      <c r="E53" s="226"/>
      <c r="F53" s="226"/>
      <c r="G53" s="226"/>
      <c r="H53" s="226"/>
    </row>
    <row r="54" spans="1:9" x14ac:dyDescent="0.2">
      <c r="F54" s="226"/>
      <c r="G54" s="226"/>
      <c r="H54" s="226"/>
    </row>
    <row r="55" spans="1:9" x14ac:dyDescent="0.2">
      <c r="F55" s="226"/>
      <c r="G55" s="226"/>
      <c r="H55" s="226"/>
    </row>
    <row r="56" spans="1:9" x14ac:dyDescent="0.2">
      <c r="F56" s="226"/>
      <c r="G56" s="226"/>
      <c r="H56" s="226"/>
    </row>
  </sheetData>
  <mergeCells count="3">
    <mergeCell ref="A1:C1"/>
    <mergeCell ref="F1:H1"/>
    <mergeCell ref="I35:I37"/>
  </mergeCells>
  <pageMargins left="0.7" right="0.7" top="0.75" bottom="0.75" header="0.3" footer="0.3"/>
  <pageSetup scale="43" orientation="portrait" r:id="rId1"/>
  <colBreaks count="1" manualBreakCount="1">
    <brk id="8" max="1048575"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CFBD-AA12-B44D-96B2-638D76A9FB55}">
  <sheetPr>
    <tabColor rgb="FFB6004B"/>
    <pageSetUpPr autoPageBreaks="0" fitToPage="1"/>
  </sheetPr>
  <dimension ref="B1:T92"/>
  <sheetViews>
    <sheetView showGridLines="0" topLeftCell="G3" zoomScale="169" zoomScaleNormal="100" workbookViewId="0">
      <pane ySplit="5" topLeftCell="A73" activePane="bottomLeft" state="frozen"/>
      <selection activeCell="I42" sqref="I42"/>
      <selection pane="bottomLeft" activeCell="I42" sqref="I42"/>
    </sheetView>
  </sheetViews>
  <sheetFormatPr baseColWidth="10" defaultColWidth="11.5" defaultRowHeight="15" x14ac:dyDescent="0.2"/>
  <cols>
    <col min="1" max="1" width="1.6640625" style="255" customWidth="1"/>
    <col min="2" max="2" width="12.5" style="255" customWidth="1"/>
    <col min="3" max="3" width="13.5" style="255" customWidth="1"/>
    <col min="4" max="4" width="20" style="255" customWidth="1"/>
    <col min="5" max="6" width="17.5" style="255" customWidth="1"/>
    <col min="7" max="7" width="21.5" style="255" customWidth="1"/>
    <col min="8" max="8" width="1.6640625" style="256" customWidth="1"/>
    <col min="9" max="9" width="1.6640625" style="255" customWidth="1"/>
    <col min="10" max="10" width="6.5" style="257" bestFit="1" customWidth="1"/>
    <col min="11" max="11" width="20.83203125" style="257" bestFit="1" customWidth="1"/>
    <col min="12" max="12" width="2.5" bestFit="1" customWidth="1"/>
    <col min="13" max="13" width="7.33203125" style="258" bestFit="1" customWidth="1"/>
    <col min="14" max="14" width="2.6640625" style="258" bestFit="1" customWidth="1"/>
    <col min="15" max="15" width="7" style="258" bestFit="1" customWidth="1"/>
    <col min="16" max="16" width="2.5" style="258" bestFit="1" customWidth="1"/>
    <col min="17" max="18" width="7" style="252" bestFit="1" customWidth="1"/>
    <col min="19" max="19" width="11.5" style="258"/>
    <col min="20" max="20" width="3" style="255" customWidth="1"/>
    <col min="21" max="16384" width="11.5" style="255"/>
  </cols>
  <sheetData>
    <row r="1" spans="2:17" ht="10" customHeight="1" thickBot="1" x14ac:dyDescent="0.25"/>
    <row r="2" spans="2:17" ht="77.25" customHeight="1" x14ac:dyDescent="0.2">
      <c r="B2" s="559" t="s">
        <v>523</v>
      </c>
      <c r="C2" s="560"/>
      <c r="D2" s="560"/>
      <c r="E2" s="560"/>
      <c r="F2" s="560"/>
      <c r="G2" s="561"/>
    </row>
    <row r="3" spans="2:17" x14ac:dyDescent="0.2">
      <c r="B3" s="562"/>
      <c r="C3" s="563"/>
      <c r="D3" s="563"/>
      <c r="E3" s="563"/>
      <c r="F3" s="563"/>
      <c r="G3" s="564"/>
    </row>
    <row r="4" spans="2:17" ht="20.25" customHeight="1" x14ac:dyDescent="0.2">
      <c r="B4" s="565" t="s">
        <v>524</v>
      </c>
      <c r="C4" s="566"/>
      <c r="D4" s="566"/>
      <c r="E4" s="566"/>
      <c r="F4" s="566"/>
      <c r="G4" s="567"/>
      <c r="J4" s="259"/>
    </row>
    <row r="5" spans="2:17" ht="36" customHeight="1" x14ac:dyDescent="0.2">
      <c r="B5" s="568" t="s">
        <v>525</v>
      </c>
      <c r="C5" s="569"/>
      <c r="D5" s="569"/>
      <c r="E5" s="569"/>
      <c r="F5" s="569"/>
      <c r="G5" s="570"/>
      <c r="K5" s="552" t="s">
        <v>526</v>
      </c>
      <c r="L5" s="552" t="s">
        <v>527</v>
      </c>
      <c r="M5" s="552"/>
      <c r="N5" s="552"/>
      <c r="O5" s="552"/>
      <c r="P5" s="552"/>
      <c r="Q5" s="552"/>
    </row>
    <row r="6" spans="2:17" ht="15" customHeight="1" x14ac:dyDescent="0.2">
      <c r="B6" s="571" t="s">
        <v>528</v>
      </c>
      <c r="C6" s="573" t="s">
        <v>529</v>
      </c>
      <c r="D6" s="575" t="s">
        <v>530</v>
      </c>
      <c r="E6" s="577" t="s">
        <v>531</v>
      </c>
      <c r="F6" s="573"/>
      <c r="G6" s="578"/>
      <c r="K6" s="552"/>
      <c r="L6" s="552" t="s">
        <v>532</v>
      </c>
      <c r="M6" s="552"/>
      <c r="N6" s="552"/>
      <c r="O6" s="552"/>
      <c r="P6" s="552"/>
      <c r="Q6" s="552"/>
    </row>
    <row r="7" spans="2:17" ht="15.75" customHeight="1" x14ac:dyDescent="0.2">
      <c r="B7" s="572"/>
      <c r="C7" s="574"/>
      <c r="D7" s="576"/>
      <c r="E7" s="261" t="s">
        <v>533</v>
      </c>
      <c r="F7" s="262" t="s">
        <v>534</v>
      </c>
      <c r="G7" s="263" t="s">
        <v>535</v>
      </c>
      <c r="J7" s="264" t="s">
        <v>324</v>
      </c>
      <c r="K7" s="260" t="s">
        <v>536</v>
      </c>
      <c r="L7" s="260" t="s">
        <v>537</v>
      </c>
      <c r="M7" s="265">
        <v>-4.8999999999999998E-3</v>
      </c>
      <c r="N7" s="260" t="s">
        <v>538</v>
      </c>
      <c r="O7" s="266">
        <v>1.0049999999999999</v>
      </c>
      <c r="P7" s="260" t="s">
        <v>539</v>
      </c>
      <c r="Q7" s="267">
        <v>97.403999999999996</v>
      </c>
    </row>
    <row r="8" spans="2:17" x14ac:dyDescent="0.2">
      <c r="B8" s="556">
        <v>2021</v>
      </c>
      <c r="C8" s="268" t="s">
        <v>540</v>
      </c>
      <c r="D8" s="269">
        <v>100.89</v>
      </c>
      <c r="E8" s="269">
        <v>0.89</v>
      </c>
      <c r="F8" s="269">
        <v>0.89</v>
      </c>
      <c r="G8" s="270" t="s">
        <v>541</v>
      </c>
      <c r="J8" s="271">
        <v>1</v>
      </c>
      <c r="K8" s="272">
        <f>D8</f>
        <v>100.89</v>
      </c>
      <c r="L8" s="549"/>
      <c r="M8" s="550"/>
      <c r="N8" s="550"/>
      <c r="O8" s="550"/>
      <c r="P8" s="550"/>
      <c r="Q8" s="551"/>
    </row>
    <row r="9" spans="2:17" x14ac:dyDescent="0.2">
      <c r="B9" s="557"/>
      <c r="C9" s="273" t="s">
        <v>542</v>
      </c>
      <c r="D9" s="274">
        <v>101.35</v>
      </c>
      <c r="E9" s="274">
        <v>0.46</v>
      </c>
      <c r="F9" s="274">
        <v>1.35</v>
      </c>
      <c r="G9" s="275" t="s">
        <v>541</v>
      </c>
      <c r="J9" s="271">
        <v>2</v>
      </c>
      <c r="K9" s="272">
        <f t="shared" ref="K9:K72" si="0">D9</f>
        <v>101.35</v>
      </c>
      <c r="L9" s="549"/>
      <c r="M9" s="550"/>
      <c r="N9" s="550"/>
      <c r="O9" s="550"/>
      <c r="P9" s="550"/>
      <c r="Q9" s="551"/>
    </row>
    <row r="10" spans="2:17" x14ac:dyDescent="0.2">
      <c r="B10" s="557"/>
      <c r="C10" s="268" t="s">
        <v>543</v>
      </c>
      <c r="D10" s="269">
        <v>101.79600000000001</v>
      </c>
      <c r="E10" s="269">
        <v>0.439</v>
      </c>
      <c r="F10" s="269">
        <v>1.796</v>
      </c>
      <c r="G10" s="276" t="s">
        <v>541</v>
      </c>
      <c r="J10" s="271">
        <v>3</v>
      </c>
      <c r="K10" s="272">
        <f t="shared" si="0"/>
        <v>101.79600000000001</v>
      </c>
      <c r="L10" s="549"/>
      <c r="M10" s="550"/>
      <c r="N10" s="550"/>
      <c r="O10" s="550"/>
      <c r="P10" s="550"/>
      <c r="Q10" s="551"/>
    </row>
    <row r="11" spans="2:17" x14ac:dyDescent="0.2">
      <c r="B11" s="557"/>
      <c r="C11" s="273" t="s">
        <v>544</v>
      </c>
      <c r="D11" s="274">
        <v>102.339</v>
      </c>
      <c r="E11" s="274">
        <v>0.53300000000000003</v>
      </c>
      <c r="F11" s="274">
        <v>2.339</v>
      </c>
      <c r="G11" s="275" t="s">
        <v>541</v>
      </c>
      <c r="J11" s="271">
        <v>4</v>
      </c>
      <c r="K11" s="272">
        <f t="shared" si="0"/>
        <v>102.339</v>
      </c>
      <c r="L11" s="549"/>
      <c r="M11" s="550"/>
      <c r="N11" s="550"/>
      <c r="O11" s="550"/>
      <c r="P11" s="550"/>
      <c r="Q11" s="551"/>
    </row>
    <row r="12" spans="2:17" x14ac:dyDescent="0.2">
      <c r="B12" s="557"/>
      <c r="C12" s="277" t="s">
        <v>545</v>
      </c>
      <c r="D12" s="269">
        <v>102.93899999999999</v>
      </c>
      <c r="E12" s="269">
        <v>0.58699999999999997</v>
      </c>
      <c r="F12" s="269">
        <v>2.9390000000000001</v>
      </c>
      <c r="G12" s="276" t="s">
        <v>541</v>
      </c>
      <c r="J12" s="271">
        <v>5</v>
      </c>
      <c r="K12" s="272">
        <f t="shared" si="0"/>
        <v>102.93899999999999</v>
      </c>
      <c r="L12" s="549"/>
      <c r="M12" s="550"/>
      <c r="N12" s="550"/>
      <c r="O12" s="550"/>
      <c r="P12" s="550"/>
      <c r="Q12" s="551"/>
    </row>
    <row r="13" spans="2:17" x14ac:dyDescent="0.2">
      <c r="B13" s="557"/>
      <c r="C13" s="273" t="s">
        <v>546</v>
      </c>
      <c r="D13" s="274">
        <v>103.458</v>
      </c>
      <c r="E13" s="274">
        <v>0.504</v>
      </c>
      <c r="F13" s="274">
        <v>3.4580000000000002</v>
      </c>
      <c r="G13" s="275" t="s">
        <v>541</v>
      </c>
      <c r="J13" s="271">
        <v>6</v>
      </c>
      <c r="K13" s="272">
        <f t="shared" si="0"/>
        <v>103.458</v>
      </c>
      <c r="L13" s="549"/>
      <c r="M13" s="550"/>
      <c r="N13" s="550"/>
      <c r="O13" s="550"/>
      <c r="P13" s="550"/>
      <c r="Q13" s="551"/>
    </row>
    <row r="14" spans="2:17" x14ac:dyDescent="0.2">
      <c r="B14" s="557"/>
      <c r="C14" s="277" t="s">
        <v>547</v>
      </c>
      <c r="D14" s="269">
        <v>104.566</v>
      </c>
      <c r="E14" s="269">
        <v>1.071</v>
      </c>
      <c r="F14" s="269">
        <v>4.5659999999999998</v>
      </c>
      <c r="G14" s="276" t="s">
        <v>541</v>
      </c>
      <c r="J14" s="271">
        <v>7</v>
      </c>
      <c r="K14" s="272">
        <f t="shared" si="0"/>
        <v>104.566</v>
      </c>
      <c r="L14" s="549"/>
      <c r="M14" s="550"/>
      <c r="N14" s="550"/>
      <c r="O14" s="550"/>
      <c r="P14" s="550"/>
      <c r="Q14" s="551"/>
    </row>
    <row r="15" spans="2:17" x14ac:dyDescent="0.2">
      <c r="B15" s="557"/>
      <c r="C15" s="273" t="s">
        <v>548</v>
      </c>
      <c r="D15" s="274">
        <v>104.819</v>
      </c>
      <c r="E15" s="274">
        <v>0.24199999999999999</v>
      </c>
      <c r="F15" s="274">
        <v>4.819</v>
      </c>
      <c r="G15" s="275" t="s">
        <v>541</v>
      </c>
      <c r="J15" s="271">
        <v>8</v>
      </c>
      <c r="K15" s="272">
        <f t="shared" si="0"/>
        <v>104.819</v>
      </c>
      <c r="L15" s="549"/>
      <c r="M15" s="550"/>
      <c r="N15" s="550"/>
      <c r="O15" s="550"/>
      <c r="P15" s="550"/>
      <c r="Q15" s="551"/>
    </row>
    <row r="16" spans="2:17" x14ac:dyDescent="0.2">
      <c r="B16" s="557"/>
      <c r="C16" s="277" t="s">
        <v>549</v>
      </c>
      <c r="D16" s="269">
        <v>104.806</v>
      </c>
      <c r="E16" s="269">
        <v>-1.2E-2</v>
      </c>
      <c r="F16" s="269">
        <v>4.806</v>
      </c>
      <c r="G16" s="276" t="s">
        <v>541</v>
      </c>
      <c r="J16" s="271">
        <v>9</v>
      </c>
      <c r="K16" s="272">
        <f t="shared" si="0"/>
        <v>104.806</v>
      </c>
      <c r="L16" s="549"/>
      <c r="M16" s="550"/>
      <c r="N16" s="550"/>
      <c r="O16" s="550"/>
      <c r="P16" s="550"/>
      <c r="Q16" s="551"/>
    </row>
    <row r="17" spans="2:19" x14ac:dyDescent="0.2">
      <c r="B17" s="557"/>
      <c r="C17" s="273" t="s">
        <v>550</v>
      </c>
      <c r="D17" s="274">
        <v>104.937</v>
      </c>
      <c r="E17" s="274">
        <v>0.125</v>
      </c>
      <c r="F17" s="274">
        <v>4.9370000000000003</v>
      </c>
      <c r="G17" s="275" t="s">
        <v>541</v>
      </c>
      <c r="J17" s="271">
        <v>10</v>
      </c>
      <c r="K17" s="272">
        <f t="shared" si="0"/>
        <v>104.937</v>
      </c>
      <c r="L17" s="549"/>
      <c r="M17" s="550"/>
      <c r="N17" s="550"/>
      <c r="O17" s="550"/>
      <c r="P17" s="550"/>
      <c r="Q17" s="551"/>
    </row>
    <row r="18" spans="2:19" x14ac:dyDescent="0.2">
      <c r="B18" s="557"/>
      <c r="C18" s="277" t="s">
        <v>551</v>
      </c>
      <c r="D18" s="269">
        <v>105.14700000000001</v>
      </c>
      <c r="E18" s="269">
        <v>0.19900000000000001</v>
      </c>
      <c r="F18" s="269">
        <v>5.1470000000000002</v>
      </c>
      <c r="G18" s="276" t="s">
        <v>541</v>
      </c>
      <c r="J18" s="271">
        <v>11</v>
      </c>
      <c r="K18" s="272">
        <f t="shared" si="0"/>
        <v>105.14700000000001</v>
      </c>
      <c r="L18" s="549"/>
      <c r="M18" s="550"/>
      <c r="N18" s="550"/>
      <c r="O18" s="550"/>
      <c r="P18" s="550"/>
      <c r="Q18" s="551"/>
    </row>
    <row r="19" spans="2:19" x14ac:dyDescent="0.2">
      <c r="B19" s="558"/>
      <c r="C19" s="273" t="s">
        <v>552</v>
      </c>
      <c r="D19" s="274">
        <v>105.55800000000001</v>
      </c>
      <c r="E19" s="274">
        <v>0.39200000000000002</v>
      </c>
      <c r="F19" s="274">
        <v>5.5579999999999998</v>
      </c>
      <c r="G19" s="275" t="s">
        <v>541</v>
      </c>
      <c r="J19" s="271">
        <v>12</v>
      </c>
      <c r="K19" s="272">
        <f t="shared" si="0"/>
        <v>105.55800000000001</v>
      </c>
      <c r="L19" s="549"/>
      <c r="M19" s="550"/>
      <c r="N19" s="550"/>
      <c r="O19" s="550"/>
      <c r="P19" s="550"/>
      <c r="Q19" s="551"/>
    </row>
    <row r="20" spans="2:19" s="282" customFormat="1" x14ac:dyDescent="0.2">
      <c r="B20" s="553">
        <v>2022</v>
      </c>
      <c r="C20" s="278" t="s">
        <v>540</v>
      </c>
      <c r="D20" s="279">
        <v>107.483</v>
      </c>
      <c r="E20" s="279">
        <v>1.823</v>
      </c>
      <c r="F20" s="279">
        <v>1.823</v>
      </c>
      <c r="G20" s="280">
        <v>6.5369999999999999</v>
      </c>
      <c r="H20" s="281"/>
      <c r="J20" s="271">
        <v>13</v>
      </c>
      <c r="K20" s="272">
        <f t="shared" si="0"/>
        <v>107.483</v>
      </c>
      <c r="L20" s="549"/>
      <c r="M20" s="550"/>
      <c r="N20" s="550"/>
      <c r="O20" s="550"/>
      <c r="P20" s="550"/>
      <c r="Q20" s="551"/>
      <c r="S20" s="283"/>
    </row>
    <row r="21" spans="2:19" s="282" customFormat="1" x14ac:dyDescent="0.2">
      <c r="B21" s="554"/>
      <c r="C21" s="273" t="s">
        <v>542</v>
      </c>
      <c r="D21" s="274">
        <v>108.94799999999999</v>
      </c>
      <c r="E21" s="274">
        <v>1.363</v>
      </c>
      <c r="F21" s="274">
        <v>3.2109999999999999</v>
      </c>
      <c r="G21" s="275">
        <v>7.4960000000000004</v>
      </c>
      <c r="H21" s="281"/>
      <c r="J21" s="271">
        <v>14</v>
      </c>
      <c r="K21" s="272">
        <f t="shared" si="0"/>
        <v>108.94799999999999</v>
      </c>
      <c r="L21" s="549"/>
      <c r="M21" s="550"/>
      <c r="N21" s="550"/>
      <c r="O21" s="550"/>
      <c r="P21" s="550"/>
      <c r="Q21" s="551"/>
      <c r="S21" s="283"/>
    </row>
    <row r="22" spans="2:19" s="282" customFormat="1" x14ac:dyDescent="0.2">
      <c r="B22" s="554"/>
      <c r="C22" s="284" t="s">
        <v>543</v>
      </c>
      <c r="D22" s="285">
        <v>110.113</v>
      </c>
      <c r="E22" s="285">
        <v>1.075</v>
      </c>
      <c r="F22" s="285">
        <v>4.3150000000000004</v>
      </c>
      <c r="G22" s="286">
        <v>8.1709999999999994</v>
      </c>
      <c r="H22" s="281"/>
      <c r="J22" s="271">
        <v>15</v>
      </c>
      <c r="K22" s="272">
        <f t="shared" si="0"/>
        <v>110.113</v>
      </c>
      <c r="L22" s="549"/>
      <c r="M22" s="550"/>
      <c r="N22" s="550"/>
      <c r="O22" s="550"/>
      <c r="P22" s="550"/>
      <c r="Q22" s="551"/>
      <c r="S22" s="283"/>
    </row>
    <row r="23" spans="2:19" s="282" customFormat="1" x14ac:dyDescent="0.2">
      <c r="B23" s="554"/>
      <c r="C23" s="273" t="s">
        <v>544</v>
      </c>
      <c r="D23" s="274">
        <v>111.366</v>
      </c>
      <c r="E23" s="274">
        <v>1.1379999999999999</v>
      </c>
      <c r="F23" s="274">
        <v>5.5010000000000003</v>
      </c>
      <c r="G23" s="275">
        <v>8.8209999999999997</v>
      </c>
      <c r="H23" s="281"/>
      <c r="J23" s="271">
        <v>16</v>
      </c>
      <c r="K23" s="272">
        <f t="shared" si="0"/>
        <v>111.366</v>
      </c>
      <c r="L23" s="549"/>
      <c r="M23" s="550"/>
      <c r="N23" s="550"/>
      <c r="O23" s="550"/>
      <c r="P23" s="550"/>
      <c r="Q23" s="551"/>
    </row>
    <row r="24" spans="2:19" s="282" customFormat="1" x14ac:dyDescent="0.2">
      <c r="B24" s="554"/>
      <c r="C24" s="284" t="s">
        <v>545</v>
      </c>
      <c r="D24" s="285">
        <v>112.369</v>
      </c>
      <c r="E24" s="285">
        <v>0.90100000000000002</v>
      </c>
      <c r="F24" s="285">
        <v>6.452</v>
      </c>
      <c r="G24" s="286">
        <v>9.16</v>
      </c>
      <c r="H24" s="281"/>
      <c r="J24" s="271">
        <v>17</v>
      </c>
      <c r="K24" s="272">
        <f t="shared" si="0"/>
        <v>112.369</v>
      </c>
      <c r="L24" s="549"/>
      <c r="M24" s="550"/>
      <c r="N24" s="550"/>
      <c r="O24" s="550"/>
      <c r="P24" s="550"/>
      <c r="Q24" s="551"/>
      <c r="S24" s="283"/>
    </row>
    <row r="25" spans="2:19" s="282" customFormat="1" x14ac:dyDescent="0.2">
      <c r="B25" s="554"/>
      <c r="C25" s="273" t="s">
        <v>546</v>
      </c>
      <c r="D25" s="274">
        <v>112.625</v>
      </c>
      <c r="E25" s="274">
        <v>0.22800000000000001</v>
      </c>
      <c r="F25" s="274">
        <v>6.694</v>
      </c>
      <c r="G25" s="275">
        <v>8.8610000000000007</v>
      </c>
      <c r="H25" s="281"/>
      <c r="J25" s="271">
        <v>18</v>
      </c>
      <c r="K25" s="272">
        <f t="shared" si="0"/>
        <v>112.625</v>
      </c>
      <c r="L25" s="549"/>
      <c r="M25" s="550"/>
      <c r="N25" s="550"/>
      <c r="O25" s="550"/>
      <c r="P25" s="550"/>
      <c r="Q25" s="551"/>
      <c r="S25" s="283"/>
    </row>
    <row r="26" spans="2:19" s="282" customFormat="1" x14ac:dyDescent="0.2">
      <c r="B26" s="554"/>
      <c r="C26" s="284" t="s">
        <v>547</v>
      </c>
      <c r="D26" s="285">
        <v>113.883</v>
      </c>
      <c r="E26" s="285">
        <v>1.117</v>
      </c>
      <c r="F26" s="285">
        <v>7.8860000000000001</v>
      </c>
      <c r="G26" s="286">
        <v>8.91</v>
      </c>
      <c r="H26" s="281"/>
      <c r="J26" s="271">
        <v>19</v>
      </c>
      <c r="K26" s="272">
        <f t="shared" si="0"/>
        <v>113.883</v>
      </c>
      <c r="L26" s="549"/>
      <c r="M26" s="550"/>
      <c r="N26" s="550"/>
      <c r="O26" s="550"/>
      <c r="P26" s="550"/>
      <c r="Q26" s="551"/>
      <c r="S26" s="283"/>
    </row>
    <row r="27" spans="2:19" s="282" customFormat="1" x14ac:dyDescent="0.2">
      <c r="B27" s="554"/>
      <c r="C27" s="273" t="s">
        <v>548</v>
      </c>
      <c r="D27" s="274">
        <v>114.10899999999999</v>
      </c>
      <c r="E27" s="274">
        <v>0.19800000000000001</v>
      </c>
      <c r="F27" s="274">
        <v>8.1</v>
      </c>
      <c r="G27" s="275">
        <v>8.8629999999999995</v>
      </c>
      <c r="H27" s="281"/>
      <c r="J27" s="271">
        <v>20</v>
      </c>
      <c r="K27" s="272">
        <f t="shared" si="0"/>
        <v>114.10899999999999</v>
      </c>
      <c r="L27" s="549"/>
      <c r="M27" s="550"/>
      <c r="N27" s="550"/>
      <c r="O27" s="550"/>
      <c r="P27" s="550"/>
      <c r="Q27" s="551"/>
      <c r="S27" s="283"/>
    </row>
    <row r="28" spans="2:19" s="282" customFormat="1" x14ac:dyDescent="0.2">
      <c r="B28" s="554"/>
      <c r="C28" s="284" t="s">
        <v>549</v>
      </c>
      <c r="D28" s="285">
        <v>114.258</v>
      </c>
      <c r="E28" s="285">
        <v>0.13100000000000001</v>
      </c>
      <c r="F28" s="285">
        <v>8.2409999999999997</v>
      </c>
      <c r="G28" s="286">
        <v>9.0180000000000007</v>
      </c>
      <c r="H28" s="281"/>
      <c r="J28" s="271">
        <v>21</v>
      </c>
      <c r="K28" s="272">
        <f t="shared" si="0"/>
        <v>114.258</v>
      </c>
      <c r="L28" s="549"/>
      <c r="M28" s="550"/>
      <c r="N28" s="550"/>
      <c r="O28" s="550"/>
      <c r="P28" s="550"/>
      <c r="Q28" s="551"/>
      <c r="S28" s="283"/>
    </row>
    <row r="29" spans="2:19" s="282" customFormat="1" x14ac:dyDescent="0.2">
      <c r="B29" s="554"/>
      <c r="C29" s="273" t="s">
        <v>550</v>
      </c>
      <c r="D29" s="274">
        <v>115.491</v>
      </c>
      <c r="E29" s="274">
        <v>1.08</v>
      </c>
      <c r="F29" s="274">
        <v>9.41</v>
      </c>
      <c r="G29" s="275">
        <v>10.057</v>
      </c>
      <c r="H29" s="281"/>
      <c r="J29" s="271">
        <v>22</v>
      </c>
      <c r="K29" s="272">
        <f t="shared" si="0"/>
        <v>115.491</v>
      </c>
      <c r="L29" s="549"/>
      <c r="M29" s="550"/>
      <c r="N29" s="550"/>
      <c r="O29" s="550"/>
      <c r="P29" s="550"/>
      <c r="Q29" s="551"/>
      <c r="S29" s="283"/>
    </row>
    <row r="30" spans="2:19" s="282" customFormat="1" x14ac:dyDescent="0.2">
      <c r="B30" s="554"/>
      <c r="C30" s="284" t="s">
        <v>551</v>
      </c>
      <c r="D30" s="285">
        <v>115.914</v>
      </c>
      <c r="E30" s="285">
        <v>0.36599999999999999</v>
      </c>
      <c r="F30" s="285">
        <v>9.81</v>
      </c>
      <c r="G30" s="286">
        <v>10.24</v>
      </c>
      <c r="H30" s="281"/>
      <c r="J30" s="271">
        <v>23</v>
      </c>
      <c r="K30" s="272">
        <f t="shared" si="0"/>
        <v>115.914</v>
      </c>
      <c r="L30" s="549"/>
      <c r="M30" s="550"/>
      <c r="N30" s="550"/>
      <c r="O30" s="550"/>
      <c r="P30" s="550"/>
      <c r="Q30" s="551"/>
      <c r="S30" s="283"/>
    </row>
    <row r="31" spans="2:19" s="288" customFormat="1" x14ac:dyDescent="0.2">
      <c r="B31" s="555"/>
      <c r="C31" s="273" t="s">
        <v>552</v>
      </c>
      <c r="D31" s="274">
        <v>115.82599999999999</v>
      </c>
      <c r="E31" s="274">
        <v>-7.4999999999999997E-2</v>
      </c>
      <c r="F31" s="274">
        <v>9.7270000000000003</v>
      </c>
      <c r="G31" s="275">
        <v>9.7270000000000003</v>
      </c>
      <c r="H31" s="287"/>
      <c r="J31" s="271">
        <v>24</v>
      </c>
      <c r="K31" s="272">
        <f t="shared" si="0"/>
        <v>115.82599999999999</v>
      </c>
      <c r="L31" s="549"/>
      <c r="M31" s="550"/>
      <c r="N31" s="550"/>
      <c r="O31" s="550"/>
      <c r="P31" s="550"/>
      <c r="Q31" s="551"/>
      <c r="S31" s="289"/>
    </row>
    <row r="32" spans="2:19" s="282" customFormat="1" x14ac:dyDescent="0.2">
      <c r="B32" s="553">
        <v>2023</v>
      </c>
      <c r="C32" s="290" t="s">
        <v>540</v>
      </c>
      <c r="D32" s="279">
        <v>121.59099999999999</v>
      </c>
      <c r="E32" s="279">
        <v>4.9770000000000003</v>
      </c>
      <c r="F32" s="279">
        <v>4.9770000000000003</v>
      </c>
      <c r="G32" s="280">
        <v>13.125999999999999</v>
      </c>
      <c r="H32" s="281"/>
      <c r="J32" s="271">
        <v>25</v>
      </c>
      <c r="K32" s="272">
        <f t="shared" si="0"/>
        <v>121.59099999999999</v>
      </c>
      <c r="L32" s="549"/>
      <c r="M32" s="550"/>
      <c r="N32" s="550"/>
      <c r="O32" s="550"/>
      <c r="P32" s="550"/>
      <c r="Q32" s="551"/>
      <c r="S32" s="283"/>
    </row>
    <row r="33" spans="2:19" s="282" customFormat="1" x14ac:dyDescent="0.2">
      <c r="B33" s="554"/>
      <c r="C33" s="291" t="s">
        <v>542</v>
      </c>
      <c r="D33" s="274">
        <v>124.48</v>
      </c>
      <c r="E33" s="274">
        <v>2.38</v>
      </c>
      <c r="F33" s="274">
        <v>7.47</v>
      </c>
      <c r="G33" s="275">
        <v>14.26</v>
      </c>
      <c r="H33" s="281"/>
      <c r="J33" s="271">
        <v>26</v>
      </c>
      <c r="K33" s="272">
        <f t="shared" si="0"/>
        <v>124.48</v>
      </c>
      <c r="L33" s="549"/>
      <c r="M33" s="550"/>
      <c r="N33" s="550"/>
      <c r="O33" s="550"/>
      <c r="P33" s="550"/>
      <c r="Q33" s="551"/>
      <c r="S33" s="283"/>
    </row>
    <row r="34" spans="2:19" s="282" customFormat="1" x14ac:dyDescent="0.2">
      <c r="B34" s="554"/>
      <c r="C34" s="292" t="s">
        <v>543</v>
      </c>
      <c r="D34" s="269">
        <v>125.08</v>
      </c>
      <c r="E34" s="269">
        <v>0.48</v>
      </c>
      <c r="F34" s="269">
        <v>7.99</v>
      </c>
      <c r="G34" s="276">
        <v>13.59</v>
      </c>
      <c r="H34" s="281"/>
      <c r="J34" s="271">
        <v>27</v>
      </c>
      <c r="K34" s="272">
        <f t="shared" si="0"/>
        <v>125.08</v>
      </c>
      <c r="L34" s="549"/>
      <c r="M34" s="550"/>
      <c r="N34" s="550"/>
      <c r="O34" s="550"/>
      <c r="P34" s="550"/>
      <c r="Q34" s="551"/>
      <c r="S34" s="283"/>
    </row>
    <row r="35" spans="2:19" s="282" customFormat="1" x14ac:dyDescent="0.2">
      <c r="B35" s="554"/>
      <c r="C35" s="291" t="s">
        <v>544</v>
      </c>
      <c r="D35" s="274">
        <v>125.67</v>
      </c>
      <c r="E35" s="274">
        <v>0.48</v>
      </c>
      <c r="F35" s="274">
        <v>8.5</v>
      </c>
      <c r="G35" s="275">
        <v>12.85</v>
      </c>
      <c r="H35" s="281"/>
      <c r="J35" s="271">
        <v>28</v>
      </c>
      <c r="K35" s="272">
        <f t="shared" si="0"/>
        <v>125.67</v>
      </c>
      <c r="L35" s="549"/>
      <c r="M35" s="550"/>
      <c r="N35" s="550"/>
      <c r="O35" s="550"/>
      <c r="P35" s="550"/>
      <c r="Q35" s="551"/>
      <c r="S35" s="283"/>
    </row>
    <row r="36" spans="2:19" s="282" customFormat="1" x14ac:dyDescent="0.2">
      <c r="B36" s="554"/>
      <c r="C36" s="293" t="s">
        <v>545</v>
      </c>
      <c r="D36" s="285">
        <v>125.95</v>
      </c>
      <c r="E36" s="285">
        <v>0.22</v>
      </c>
      <c r="F36" s="285">
        <v>8.74</v>
      </c>
      <c r="G36" s="286">
        <v>12.09</v>
      </c>
      <c r="H36" s="281"/>
      <c r="J36" s="271">
        <v>29</v>
      </c>
      <c r="K36" s="272">
        <f t="shared" si="0"/>
        <v>125.95</v>
      </c>
      <c r="L36" s="549"/>
      <c r="M36" s="550"/>
      <c r="N36" s="550"/>
      <c r="O36" s="550"/>
      <c r="P36" s="550"/>
      <c r="Q36" s="551"/>
      <c r="S36" s="283"/>
    </row>
    <row r="37" spans="2:19" s="282" customFormat="1" x14ac:dyDescent="0.2">
      <c r="B37" s="554"/>
      <c r="C37" s="291" t="s">
        <v>546</v>
      </c>
      <c r="D37" s="274">
        <v>126.12</v>
      </c>
      <c r="E37" s="274">
        <v>0.14000000000000001</v>
      </c>
      <c r="F37" s="274">
        <v>8.89</v>
      </c>
      <c r="G37" s="275">
        <v>11.99</v>
      </c>
      <c r="H37" s="281"/>
      <c r="J37" s="271">
        <v>30</v>
      </c>
      <c r="K37" s="272">
        <f t="shared" si="0"/>
        <v>126.12</v>
      </c>
      <c r="L37" s="549"/>
      <c r="M37" s="550"/>
      <c r="N37" s="550"/>
      <c r="O37" s="550"/>
      <c r="P37" s="550"/>
      <c r="Q37" s="551"/>
      <c r="S37" s="283"/>
    </row>
    <row r="38" spans="2:19" s="282" customFormat="1" ht="12" customHeight="1" x14ac:dyDescent="0.2">
      <c r="B38" s="554"/>
      <c r="C38" s="293" t="s">
        <v>547</v>
      </c>
      <c r="D38" s="285">
        <v>126.33</v>
      </c>
      <c r="E38" s="285">
        <v>0.17</v>
      </c>
      <c r="F38" s="285">
        <v>9.07</v>
      </c>
      <c r="G38" s="286">
        <v>10.93</v>
      </c>
      <c r="H38" s="281"/>
      <c r="J38" s="271">
        <v>31</v>
      </c>
      <c r="K38" s="272">
        <f t="shared" si="0"/>
        <v>126.33</v>
      </c>
      <c r="L38" s="549"/>
      <c r="M38" s="550"/>
      <c r="N38" s="550"/>
      <c r="O38" s="550"/>
      <c r="P38" s="550"/>
      <c r="Q38" s="551"/>
      <c r="S38" s="283"/>
    </row>
    <row r="39" spans="2:19" s="282" customFormat="1" x14ac:dyDescent="0.2">
      <c r="B39" s="554"/>
      <c r="C39" s="291" t="s">
        <v>548</v>
      </c>
      <c r="D39" s="274">
        <v>126.22</v>
      </c>
      <c r="E39" s="274">
        <v>-0.09</v>
      </c>
      <c r="F39" s="274">
        <v>8.9700000000000006</v>
      </c>
      <c r="G39" s="275">
        <v>10.61</v>
      </c>
      <c r="H39" s="281" t="s">
        <v>553</v>
      </c>
      <c r="J39" s="271">
        <v>32</v>
      </c>
      <c r="K39" s="272">
        <f t="shared" si="0"/>
        <v>126.22</v>
      </c>
      <c r="L39" s="549"/>
      <c r="M39" s="550"/>
      <c r="N39" s="550"/>
      <c r="O39" s="550"/>
      <c r="P39" s="550"/>
      <c r="Q39" s="551"/>
      <c r="S39" s="283"/>
    </row>
    <row r="40" spans="2:19" s="282" customFormat="1" x14ac:dyDescent="0.2">
      <c r="B40" s="554"/>
      <c r="C40" s="293" t="s">
        <v>549</v>
      </c>
      <c r="D40" s="285">
        <v>126.3</v>
      </c>
      <c r="E40" s="285">
        <v>7.0000000000000007E-2</v>
      </c>
      <c r="F40" s="285">
        <v>9.0500000000000007</v>
      </c>
      <c r="G40" s="286">
        <v>10.54</v>
      </c>
      <c r="H40" s="281"/>
      <c r="J40" s="271">
        <v>33</v>
      </c>
      <c r="K40" s="272">
        <f t="shared" si="0"/>
        <v>126.3</v>
      </c>
      <c r="L40" s="549"/>
      <c r="M40" s="550"/>
      <c r="N40" s="550"/>
      <c r="O40" s="550"/>
      <c r="P40" s="550"/>
      <c r="Q40" s="551"/>
      <c r="S40" s="283"/>
    </row>
    <row r="41" spans="2:19" s="282" customFormat="1" x14ac:dyDescent="0.2">
      <c r="B41" s="554"/>
      <c r="C41" s="291" t="s">
        <v>550</v>
      </c>
      <c r="D41" s="274">
        <v>126.2</v>
      </c>
      <c r="E41" s="274">
        <v>-0.08</v>
      </c>
      <c r="F41" s="274">
        <v>8.9499999999999993</v>
      </c>
      <c r="G41" s="275">
        <v>9.27</v>
      </c>
      <c r="H41" s="281"/>
      <c r="J41" s="271">
        <v>34</v>
      </c>
      <c r="K41" s="272">
        <f t="shared" si="0"/>
        <v>126.2</v>
      </c>
      <c r="L41" s="549"/>
      <c r="M41" s="550"/>
      <c r="N41" s="550"/>
      <c r="O41" s="550"/>
      <c r="P41" s="550"/>
      <c r="Q41" s="551"/>
      <c r="S41" s="283"/>
    </row>
    <row r="42" spans="2:19" s="282" customFormat="1" ht="12" customHeight="1" x14ac:dyDescent="0.2">
      <c r="B42" s="554"/>
      <c r="C42" s="293" t="s">
        <v>551</v>
      </c>
      <c r="D42" s="294">
        <v>126.36</v>
      </c>
      <c r="E42" s="294">
        <v>0.13</v>
      </c>
      <c r="F42" s="285">
        <v>9.1</v>
      </c>
      <c r="G42" s="295">
        <v>9.01</v>
      </c>
      <c r="H42" s="281"/>
      <c r="J42" s="271">
        <v>35</v>
      </c>
      <c r="K42" s="272">
        <f t="shared" si="0"/>
        <v>126.36</v>
      </c>
      <c r="L42" s="549"/>
      <c r="M42" s="550"/>
      <c r="N42" s="550"/>
      <c r="O42" s="550"/>
      <c r="P42" s="550"/>
      <c r="Q42" s="551"/>
      <c r="S42" s="296"/>
    </row>
    <row r="43" spans="2:19" s="282" customFormat="1" x14ac:dyDescent="0.2">
      <c r="B43" s="555"/>
      <c r="C43" s="291" t="s">
        <v>552</v>
      </c>
      <c r="D43" s="274">
        <v>126.48</v>
      </c>
      <c r="E43" s="274">
        <v>0.09</v>
      </c>
      <c r="F43" s="274">
        <v>9.1999999999999993</v>
      </c>
      <c r="G43" s="275">
        <v>9.1999999999999993</v>
      </c>
      <c r="H43" s="281"/>
      <c r="J43" s="271">
        <v>36</v>
      </c>
      <c r="K43" s="272">
        <f t="shared" si="0"/>
        <v>126.48</v>
      </c>
      <c r="L43" s="549"/>
      <c r="M43" s="550"/>
      <c r="N43" s="550"/>
      <c r="O43" s="550"/>
      <c r="P43" s="550"/>
      <c r="Q43" s="551"/>
      <c r="S43" s="283"/>
    </row>
    <row r="44" spans="2:19" s="282" customFormat="1" x14ac:dyDescent="0.2">
      <c r="B44" s="544">
        <v>2024</v>
      </c>
      <c r="C44" s="290" t="s">
        <v>540</v>
      </c>
      <c r="D44" s="297">
        <v>129.59</v>
      </c>
      <c r="E44" s="297">
        <v>2.46</v>
      </c>
      <c r="F44" s="279">
        <v>2.46</v>
      </c>
      <c r="G44" s="298">
        <v>6.58</v>
      </c>
      <c r="H44" s="281"/>
      <c r="J44" s="271">
        <v>37</v>
      </c>
      <c r="K44" s="272">
        <f t="shared" si="0"/>
        <v>129.59</v>
      </c>
      <c r="L44" s="549"/>
      <c r="M44" s="550"/>
      <c r="N44" s="550"/>
      <c r="O44" s="550"/>
      <c r="P44" s="550"/>
      <c r="Q44" s="551"/>
      <c r="S44" s="283"/>
    </row>
    <row r="45" spans="2:19" s="282" customFormat="1" x14ac:dyDescent="0.2">
      <c r="B45" s="544"/>
      <c r="C45" s="291" t="s">
        <v>542</v>
      </c>
      <c r="D45" s="274">
        <v>131.13999999999999</v>
      </c>
      <c r="E45" s="274">
        <v>1.2</v>
      </c>
      <c r="F45" s="274">
        <v>3.69</v>
      </c>
      <c r="G45" s="275">
        <v>5.35</v>
      </c>
      <c r="H45" s="281"/>
      <c r="J45" s="271">
        <v>38</v>
      </c>
      <c r="K45" s="272">
        <f t="shared" si="0"/>
        <v>131.13999999999999</v>
      </c>
      <c r="L45" s="549"/>
      <c r="M45" s="550"/>
      <c r="N45" s="550"/>
      <c r="O45" s="550"/>
      <c r="P45" s="550"/>
      <c r="Q45" s="551"/>
      <c r="S45" s="283"/>
    </row>
    <row r="46" spans="2:19" s="282" customFormat="1" x14ac:dyDescent="0.2">
      <c r="B46" s="544"/>
      <c r="C46" s="293" t="s">
        <v>543</v>
      </c>
      <c r="D46" s="294">
        <v>131.07</v>
      </c>
      <c r="E46" s="294">
        <v>-0.06</v>
      </c>
      <c r="F46" s="285">
        <v>3.63</v>
      </c>
      <c r="G46" s="295">
        <v>4.79</v>
      </c>
      <c r="H46" s="281"/>
      <c r="J46" s="271">
        <v>39</v>
      </c>
      <c r="K46" s="272">
        <f t="shared" si="0"/>
        <v>131.07</v>
      </c>
      <c r="L46" s="549"/>
      <c r="M46" s="550"/>
      <c r="N46" s="550"/>
      <c r="O46" s="550"/>
      <c r="P46" s="550"/>
      <c r="Q46" s="551"/>
      <c r="S46" s="283"/>
    </row>
    <row r="47" spans="2:19" s="282" customFormat="1" x14ac:dyDescent="0.2">
      <c r="B47" s="544"/>
      <c r="C47" s="291" t="s">
        <v>544</v>
      </c>
      <c r="D47" s="274">
        <v>131.38</v>
      </c>
      <c r="E47" s="274">
        <v>0.24</v>
      </c>
      <c r="F47" s="274">
        <v>3.88</v>
      </c>
      <c r="G47" s="275">
        <v>4.54</v>
      </c>
      <c r="H47" s="281"/>
      <c r="J47" s="271">
        <v>40</v>
      </c>
      <c r="K47" s="272">
        <f t="shared" si="0"/>
        <v>131.38</v>
      </c>
      <c r="L47" s="549"/>
      <c r="M47" s="550"/>
      <c r="N47" s="550"/>
      <c r="O47" s="550"/>
      <c r="P47" s="550"/>
      <c r="Q47" s="551"/>
      <c r="S47" s="283"/>
    </row>
    <row r="48" spans="2:19" s="282" customFormat="1" x14ac:dyDescent="0.2">
      <c r="B48" s="544"/>
      <c r="C48" s="293" t="s">
        <v>545</v>
      </c>
      <c r="D48" s="285">
        <v>131.81</v>
      </c>
      <c r="E48" s="285">
        <v>0.32</v>
      </c>
      <c r="F48" s="285">
        <v>4.21</v>
      </c>
      <c r="G48" s="286">
        <v>4.6500000000000004</v>
      </c>
      <c r="H48" s="281"/>
      <c r="J48" s="271">
        <v>41</v>
      </c>
      <c r="K48" s="272">
        <f t="shared" si="0"/>
        <v>131.81</v>
      </c>
      <c r="L48" s="549"/>
      <c r="M48" s="550"/>
      <c r="N48" s="550"/>
      <c r="O48" s="550"/>
      <c r="P48" s="550"/>
      <c r="Q48" s="551"/>
      <c r="S48" s="283"/>
    </row>
    <row r="49" spans="2:19" s="282" customFormat="1" x14ac:dyDescent="0.2">
      <c r="B49" s="544"/>
      <c r="C49" s="291" t="s">
        <v>546</v>
      </c>
      <c r="D49" s="274">
        <v>131.35</v>
      </c>
      <c r="E49" s="274">
        <v>-0.35</v>
      </c>
      <c r="F49" s="274">
        <v>3.85</v>
      </c>
      <c r="G49" s="275">
        <v>4.1399999999999997</v>
      </c>
      <c r="H49" s="281"/>
      <c r="J49" s="271">
        <v>42</v>
      </c>
      <c r="K49" s="272">
        <f t="shared" si="0"/>
        <v>131.35</v>
      </c>
      <c r="L49" s="549"/>
      <c r="M49" s="550"/>
      <c r="N49" s="550"/>
      <c r="O49" s="550"/>
      <c r="P49" s="550"/>
      <c r="Q49" s="551"/>
      <c r="S49" s="283"/>
    </row>
    <row r="50" spans="2:19" s="282" customFormat="1" x14ac:dyDescent="0.2">
      <c r="B50" s="544"/>
      <c r="C50" s="293" t="s">
        <v>547</v>
      </c>
      <c r="D50" s="285">
        <v>131.05000000000001</v>
      </c>
      <c r="E50" s="285">
        <v>-0.23</v>
      </c>
      <c r="F50" s="285">
        <v>3.61</v>
      </c>
      <c r="G50" s="286">
        <v>3.73</v>
      </c>
      <c r="H50" s="281"/>
      <c r="J50" s="271">
        <v>43</v>
      </c>
      <c r="K50" s="272">
        <f t="shared" si="0"/>
        <v>131.05000000000001</v>
      </c>
      <c r="L50" s="549"/>
      <c r="M50" s="550"/>
      <c r="N50" s="550"/>
      <c r="O50" s="550"/>
      <c r="P50" s="550"/>
      <c r="Q50" s="551"/>
      <c r="S50" s="283"/>
    </row>
    <row r="51" spans="2:19" s="282" customFormat="1" x14ac:dyDescent="0.2">
      <c r="B51" s="544"/>
      <c r="C51" s="291" t="s">
        <v>548</v>
      </c>
      <c r="D51" s="274">
        <v>131.11000000000001</v>
      </c>
      <c r="E51" s="274">
        <v>0.05</v>
      </c>
      <c r="F51" s="274">
        <v>3.66</v>
      </c>
      <c r="G51" s="275">
        <v>3.88</v>
      </c>
      <c r="H51" s="281"/>
      <c r="J51" s="271">
        <v>44</v>
      </c>
      <c r="K51" s="272">
        <f t="shared" si="0"/>
        <v>131.11000000000001</v>
      </c>
      <c r="L51" s="549"/>
      <c r="M51" s="550"/>
      <c r="N51" s="550"/>
      <c r="O51" s="550"/>
      <c r="P51" s="550"/>
      <c r="Q51" s="551"/>
      <c r="S51" s="283"/>
    </row>
    <row r="52" spans="2:19" s="282" customFormat="1" x14ac:dyDescent="0.2">
      <c r="B52" s="544"/>
      <c r="C52" s="293" t="s">
        <v>549</v>
      </c>
      <c r="D52" s="285">
        <v>131.07</v>
      </c>
      <c r="E52" s="285">
        <v>-0.03</v>
      </c>
      <c r="F52" s="285">
        <v>3.63</v>
      </c>
      <c r="G52" s="286">
        <v>3.77</v>
      </c>
      <c r="H52" s="281"/>
      <c r="J52" s="271">
        <v>45</v>
      </c>
      <c r="K52" s="272">
        <f t="shared" si="0"/>
        <v>131.07</v>
      </c>
      <c r="L52" s="549"/>
      <c r="M52" s="550"/>
      <c r="N52" s="550"/>
      <c r="O52" s="550"/>
      <c r="P52" s="550"/>
      <c r="Q52" s="551"/>
      <c r="S52" s="283"/>
    </row>
    <row r="53" spans="2:19" s="282" customFormat="1" x14ac:dyDescent="0.2">
      <c r="B53" s="544"/>
      <c r="C53" s="291" t="s">
        <v>550</v>
      </c>
      <c r="D53" s="274">
        <v>131.28</v>
      </c>
      <c r="E53" s="274">
        <v>0.16</v>
      </c>
      <c r="F53" s="274">
        <v>3.8</v>
      </c>
      <c r="G53" s="275">
        <v>4.03</v>
      </c>
      <c r="H53" s="281"/>
      <c r="J53" s="271">
        <v>46</v>
      </c>
      <c r="K53" s="272">
        <f t="shared" si="0"/>
        <v>131.28</v>
      </c>
      <c r="L53" s="549"/>
      <c r="M53" s="550"/>
      <c r="N53" s="550"/>
      <c r="O53" s="550"/>
      <c r="P53" s="550"/>
      <c r="Q53" s="551"/>
      <c r="S53" s="283"/>
    </row>
    <row r="54" spans="2:19" s="282" customFormat="1" x14ac:dyDescent="0.2">
      <c r="B54" s="544"/>
      <c r="C54" s="293" t="s">
        <v>551</v>
      </c>
      <c r="D54" s="285">
        <v>131.22999999999999</v>
      </c>
      <c r="E54" s="285">
        <v>-0.04</v>
      </c>
      <c r="F54" s="285">
        <v>3.76</v>
      </c>
      <c r="G54" s="286">
        <v>3.85</v>
      </c>
      <c r="H54" s="281"/>
      <c r="J54" s="271">
        <v>47</v>
      </c>
      <c r="K54" s="272">
        <f t="shared" si="0"/>
        <v>131.22999999999999</v>
      </c>
      <c r="L54" s="549"/>
      <c r="M54" s="550"/>
      <c r="N54" s="550"/>
      <c r="O54" s="550"/>
      <c r="P54" s="550"/>
      <c r="Q54" s="551"/>
      <c r="S54" s="283"/>
    </row>
    <row r="55" spans="2:19" s="282" customFormat="1" x14ac:dyDescent="0.2">
      <c r="B55" s="544"/>
      <c r="C55" s="299" t="s">
        <v>552</v>
      </c>
      <c r="D55" s="300">
        <v>131.25</v>
      </c>
      <c r="E55" s="300">
        <v>0.02</v>
      </c>
      <c r="F55" s="300">
        <v>3.78</v>
      </c>
      <c r="G55" s="301">
        <v>3.78</v>
      </c>
      <c r="H55" s="281"/>
      <c r="J55" s="271">
        <v>48</v>
      </c>
      <c r="K55" s="272">
        <f t="shared" si="0"/>
        <v>131.25</v>
      </c>
      <c r="L55" s="549"/>
      <c r="M55" s="550"/>
      <c r="N55" s="550"/>
      <c r="O55" s="550"/>
      <c r="P55" s="550"/>
      <c r="Q55" s="551"/>
      <c r="S55" s="283"/>
    </row>
    <row r="56" spans="2:19" s="282" customFormat="1" x14ac:dyDescent="0.2">
      <c r="B56" s="544">
        <v>2025</v>
      </c>
      <c r="C56" s="290" t="s">
        <v>540</v>
      </c>
      <c r="D56" s="297">
        <v>133.72999999999999</v>
      </c>
      <c r="E56" s="297">
        <v>1.89</v>
      </c>
      <c r="F56" s="279">
        <v>1.89</v>
      </c>
      <c r="G56" s="298">
        <v>3.2</v>
      </c>
      <c r="H56" s="281"/>
      <c r="J56" s="271">
        <v>49</v>
      </c>
      <c r="K56" s="272">
        <f t="shared" si="0"/>
        <v>133.72999999999999</v>
      </c>
      <c r="L56" s="549"/>
      <c r="M56" s="550"/>
      <c r="N56" s="550"/>
      <c r="O56" s="550"/>
      <c r="P56" s="550"/>
      <c r="Q56" s="551"/>
      <c r="S56" s="283"/>
    </row>
    <row r="57" spans="2:19" s="282" customFormat="1" x14ac:dyDescent="0.2">
      <c r="B57" s="544"/>
      <c r="C57" s="291" t="s">
        <v>542</v>
      </c>
      <c r="D57" s="274">
        <v>135.21</v>
      </c>
      <c r="E57" s="274">
        <v>1.1000000000000001</v>
      </c>
      <c r="F57" s="274">
        <v>3.01</v>
      </c>
      <c r="G57" s="275">
        <v>3.1</v>
      </c>
      <c r="H57" s="281"/>
      <c r="J57" s="271">
        <v>50</v>
      </c>
      <c r="K57" s="271">
        <f t="shared" si="0"/>
        <v>135.21</v>
      </c>
      <c r="L57" s="549"/>
      <c r="M57" s="550"/>
      <c r="N57" s="550"/>
      <c r="O57" s="550"/>
      <c r="P57" s="550"/>
      <c r="Q57" s="551"/>
      <c r="S57" s="283"/>
    </row>
    <row r="58" spans="2:19" x14ac:dyDescent="0.2">
      <c r="B58" s="544"/>
      <c r="C58" s="293" t="s">
        <v>543</v>
      </c>
      <c r="D58" s="294">
        <v>136.22999999999999</v>
      </c>
      <c r="E58" s="294">
        <v>0.76</v>
      </c>
      <c r="F58" s="285">
        <v>3.79</v>
      </c>
      <c r="G58" s="295">
        <v>3.94</v>
      </c>
      <c r="J58" s="271">
        <v>51</v>
      </c>
      <c r="K58" s="271">
        <f t="shared" si="0"/>
        <v>136.22999999999999</v>
      </c>
      <c r="L58" s="549"/>
      <c r="M58" s="550"/>
      <c r="N58" s="550"/>
      <c r="O58" s="550"/>
      <c r="P58" s="550"/>
      <c r="Q58" s="551"/>
    </row>
    <row r="59" spans="2:19" x14ac:dyDescent="0.2">
      <c r="B59" s="544"/>
      <c r="C59" s="291" t="s">
        <v>544</v>
      </c>
      <c r="D59" s="274">
        <v>136.49</v>
      </c>
      <c r="E59" s="274">
        <v>0.19</v>
      </c>
      <c r="F59" s="274">
        <v>3.99</v>
      </c>
      <c r="G59" s="275">
        <v>3.89</v>
      </c>
      <c r="J59" s="271">
        <v>52</v>
      </c>
      <c r="K59" s="271">
        <f t="shared" si="0"/>
        <v>136.49</v>
      </c>
      <c r="L59" s="549"/>
      <c r="M59" s="550"/>
      <c r="N59" s="550"/>
      <c r="O59" s="550"/>
      <c r="P59" s="550"/>
      <c r="Q59" s="551"/>
    </row>
    <row r="60" spans="2:19" x14ac:dyDescent="0.2">
      <c r="B60" s="544"/>
      <c r="C60" s="293" t="s">
        <v>545</v>
      </c>
      <c r="D60" s="285">
        <v>136.12</v>
      </c>
      <c r="E60" s="285">
        <v>-0.27</v>
      </c>
      <c r="F60" s="285">
        <v>3.71</v>
      </c>
      <c r="G60" s="286">
        <v>3.28</v>
      </c>
      <c r="J60" s="271">
        <v>53</v>
      </c>
      <c r="K60" s="271">
        <f t="shared" si="0"/>
        <v>136.12</v>
      </c>
      <c r="L60" s="549"/>
      <c r="M60" s="550"/>
      <c r="N60" s="550"/>
      <c r="O60" s="550"/>
      <c r="P60" s="550"/>
      <c r="Q60" s="551"/>
    </row>
    <row r="61" spans="2:19" x14ac:dyDescent="0.2">
      <c r="B61" s="544"/>
      <c r="C61" s="291" t="s">
        <v>546</v>
      </c>
      <c r="D61" s="274">
        <v>136.22</v>
      </c>
      <c r="E61" s="274">
        <v>7.0000000000000007E-2</v>
      </c>
      <c r="F61" s="274">
        <v>3.78</v>
      </c>
      <c r="G61" s="275">
        <v>3.71</v>
      </c>
      <c r="J61" s="271">
        <v>54</v>
      </c>
      <c r="K61" s="302">
        <f t="shared" si="0"/>
        <v>136.22</v>
      </c>
      <c r="L61" s="549"/>
      <c r="M61" s="550"/>
      <c r="N61" s="550"/>
      <c r="O61" s="550"/>
      <c r="P61" s="550"/>
      <c r="Q61" s="551"/>
    </row>
    <row r="62" spans="2:19" x14ac:dyDescent="0.2">
      <c r="B62" s="544"/>
      <c r="C62" s="293" t="s">
        <v>547</v>
      </c>
      <c r="D62" s="285">
        <v>137</v>
      </c>
      <c r="E62" s="285">
        <v>0.56999999999999995</v>
      </c>
      <c r="F62" s="285">
        <v>4.37</v>
      </c>
      <c r="G62" s="286">
        <v>4.54</v>
      </c>
      <c r="J62" s="271">
        <v>55</v>
      </c>
      <c r="K62" s="302">
        <f t="shared" si="0"/>
        <v>137</v>
      </c>
      <c r="L62" s="549"/>
      <c r="M62" s="550"/>
      <c r="N62" s="550"/>
      <c r="O62" s="550"/>
      <c r="P62" s="550"/>
      <c r="Q62" s="551"/>
    </row>
    <row r="63" spans="2:19" x14ac:dyDescent="0.2">
      <c r="B63" s="544"/>
      <c r="C63" s="291" t="s">
        <v>548</v>
      </c>
      <c r="D63" s="274">
        <v>137.12</v>
      </c>
      <c r="E63" s="274">
        <v>0.09</v>
      </c>
      <c r="F63" s="274">
        <v>4.47</v>
      </c>
      <c r="G63" s="275">
        <v>4.59</v>
      </c>
      <c r="J63" s="271">
        <v>56</v>
      </c>
      <c r="K63" s="271">
        <f t="shared" si="0"/>
        <v>137.12</v>
      </c>
      <c r="L63" s="549"/>
      <c r="M63" s="550"/>
      <c r="N63" s="550"/>
      <c r="O63" s="550"/>
      <c r="P63" s="550"/>
      <c r="Q63" s="551"/>
    </row>
    <row r="64" spans="2:19" x14ac:dyDescent="0.2">
      <c r="B64" s="544"/>
      <c r="C64" s="293" t="s">
        <v>549</v>
      </c>
      <c r="D64" s="285">
        <v>136.86000000000001</v>
      </c>
      <c r="E64" s="285">
        <v>-0.19</v>
      </c>
      <c r="F64" s="285">
        <v>4.2699999999999996</v>
      </c>
      <c r="G64" s="286">
        <v>4.42</v>
      </c>
      <c r="J64" s="271">
        <v>57</v>
      </c>
      <c r="K64" s="271">
        <f t="shared" si="0"/>
        <v>136.86000000000001</v>
      </c>
      <c r="L64" s="549"/>
      <c r="M64" s="550"/>
      <c r="N64" s="550"/>
      <c r="O64" s="550"/>
      <c r="P64" s="550"/>
      <c r="Q64" s="551"/>
    </row>
    <row r="65" spans="2:17" x14ac:dyDescent="0.2">
      <c r="B65" s="544"/>
      <c r="C65" s="291" t="s">
        <v>550</v>
      </c>
      <c r="D65" s="274">
        <v>136.54</v>
      </c>
      <c r="E65" s="274">
        <v>-0.23</v>
      </c>
      <c r="F65" s="274">
        <v>4.03</v>
      </c>
      <c r="G65" s="275">
        <v>4.01</v>
      </c>
      <c r="J65" s="271">
        <v>58</v>
      </c>
      <c r="K65" s="271">
        <f t="shared" si="0"/>
        <v>136.54</v>
      </c>
      <c r="L65" s="549"/>
      <c r="M65" s="550"/>
      <c r="N65" s="550"/>
      <c r="O65" s="550"/>
      <c r="P65" s="550"/>
      <c r="Q65" s="551"/>
    </row>
    <row r="66" spans="2:17" x14ac:dyDescent="0.2">
      <c r="B66" s="544"/>
      <c r="C66" s="293" t="s">
        <v>551</v>
      </c>
      <c r="D66" s="285">
        <v>136.72</v>
      </c>
      <c r="E66" s="285">
        <v>0.13</v>
      </c>
      <c r="F66" s="285">
        <v>4.16</v>
      </c>
      <c r="G66" s="286">
        <v>4.18</v>
      </c>
      <c r="J66" s="271">
        <v>59</v>
      </c>
      <c r="K66" s="271">
        <f t="shared" si="0"/>
        <v>136.72</v>
      </c>
      <c r="L66" s="549"/>
      <c r="M66" s="550"/>
      <c r="N66" s="550"/>
      <c r="O66" s="550"/>
      <c r="P66" s="550"/>
      <c r="Q66" s="551"/>
    </row>
    <row r="67" spans="2:17" x14ac:dyDescent="0.2">
      <c r="B67" s="544"/>
      <c r="C67" s="299" t="s">
        <v>552</v>
      </c>
      <c r="D67" s="300">
        <v>136.91</v>
      </c>
      <c r="E67" s="300">
        <v>0.14000000000000001</v>
      </c>
      <c r="F67" s="300">
        <v>4.3099999999999996</v>
      </c>
      <c r="G67" s="301">
        <v>4.3099999999999996</v>
      </c>
      <c r="J67" s="271">
        <v>60</v>
      </c>
      <c r="K67" s="271">
        <f t="shared" si="0"/>
        <v>136.91</v>
      </c>
      <c r="L67" s="549"/>
      <c r="M67" s="550"/>
      <c r="N67" s="550"/>
      <c r="O67" s="550"/>
      <c r="P67" s="550"/>
      <c r="Q67" s="551"/>
    </row>
    <row r="68" spans="2:17" x14ac:dyDescent="0.2">
      <c r="B68" s="544">
        <v>2026</v>
      </c>
      <c r="C68" s="290" t="s">
        <v>540</v>
      </c>
      <c r="D68" s="285">
        <v>140.19</v>
      </c>
      <c r="E68" s="279">
        <v>2.4</v>
      </c>
      <c r="F68" s="279">
        <v>2.4</v>
      </c>
      <c r="G68" s="280">
        <v>4.83</v>
      </c>
      <c r="J68" s="271">
        <v>61</v>
      </c>
      <c r="K68" s="271">
        <f t="shared" si="0"/>
        <v>140.19</v>
      </c>
      <c r="L68" s="549"/>
      <c r="M68" s="550"/>
      <c r="N68" s="550"/>
      <c r="O68" s="550"/>
      <c r="P68" s="550"/>
      <c r="Q68" s="551"/>
    </row>
    <row r="69" spans="2:17" x14ac:dyDescent="0.2">
      <c r="B69" s="544"/>
      <c r="C69" s="291" t="s">
        <v>542</v>
      </c>
      <c r="D69" s="274">
        <v>141.94</v>
      </c>
      <c r="E69" s="274">
        <v>1.24</v>
      </c>
      <c r="F69" s="274">
        <v>3.67</v>
      </c>
      <c r="G69" s="275">
        <v>4.9800000000000004</v>
      </c>
      <c r="J69" s="271">
        <v>62</v>
      </c>
      <c r="K69" s="271">
        <f t="shared" si="0"/>
        <v>141.94</v>
      </c>
      <c r="L69" s="549"/>
      <c r="M69" s="550"/>
      <c r="N69" s="550"/>
      <c r="O69" s="550"/>
      <c r="P69" s="550"/>
      <c r="Q69" s="551"/>
    </row>
    <row r="70" spans="2:17" x14ac:dyDescent="0.2">
      <c r="B70" s="544"/>
      <c r="C70" s="293" t="s">
        <v>543</v>
      </c>
      <c r="D70" s="285">
        <v>143.38999999999999</v>
      </c>
      <c r="E70" s="285">
        <v>1.02</v>
      </c>
      <c r="F70" s="285">
        <v>4.7300000000000004</v>
      </c>
      <c r="G70" s="286">
        <v>5.25</v>
      </c>
      <c r="J70" s="271">
        <v>63</v>
      </c>
      <c r="K70" s="271">
        <f t="shared" si="0"/>
        <v>143.38999999999999</v>
      </c>
      <c r="L70" s="549"/>
      <c r="M70" s="550"/>
      <c r="N70" s="550"/>
      <c r="O70" s="550"/>
      <c r="P70" s="550"/>
      <c r="Q70" s="551"/>
    </row>
    <row r="71" spans="2:17" x14ac:dyDescent="0.2">
      <c r="B71" s="544"/>
      <c r="C71" s="291" t="s">
        <v>544</v>
      </c>
      <c r="D71" s="274">
        <v>144.58000000000001</v>
      </c>
      <c r="E71" s="274">
        <v>0.83</v>
      </c>
      <c r="F71" s="274">
        <v>5.6</v>
      </c>
      <c r="G71" s="275">
        <v>5.92</v>
      </c>
      <c r="J71" s="271">
        <v>64</v>
      </c>
      <c r="K71" s="271">
        <f t="shared" si="0"/>
        <v>144.58000000000001</v>
      </c>
      <c r="L71" s="549"/>
      <c r="M71" s="550"/>
      <c r="N71" s="550"/>
      <c r="O71" s="550"/>
      <c r="P71" s="550"/>
      <c r="Q71" s="551"/>
    </row>
    <row r="72" spans="2:17" x14ac:dyDescent="0.2">
      <c r="B72" s="544"/>
      <c r="C72" s="293" t="s">
        <v>545</v>
      </c>
      <c r="D72" s="285">
        <v>144.63</v>
      </c>
      <c r="E72" s="285">
        <v>0.03</v>
      </c>
      <c r="F72" s="285">
        <v>5.64</v>
      </c>
      <c r="G72" s="286">
        <v>6.24</v>
      </c>
      <c r="J72" s="271">
        <v>65</v>
      </c>
      <c r="K72" s="271">
        <f t="shared" si="0"/>
        <v>144.63</v>
      </c>
      <c r="L72" s="549"/>
      <c r="M72" s="550"/>
      <c r="N72" s="550"/>
      <c r="O72" s="550"/>
      <c r="P72" s="550"/>
      <c r="Q72" s="551"/>
    </row>
    <row r="73" spans="2:17" ht="19" x14ac:dyDescent="0.2">
      <c r="B73" s="544"/>
      <c r="C73" s="303" t="s">
        <v>546</v>
      </c>
      <c r="D73" s="304">
        <v>145.22</v>
      </c>
      <c r="E73" s="304">
        <v>0.41</v>
      </c>
      <c r="F73" s="304">
        <v>6.07</v>
      </c>
      <c r="G73" s="305">
        <v>6.61</v>
      </c>
      <c r="J73" s="271">
        <v>66</v>
      </c>
      <c r="K73" s="271">
        <f t="shared" ref="K73" si="1">D73</f>
        <v>145.22</v>
      </c>
      <c r="L73" s="552" t="s">
        <v>554</v>
      </c>
      <c r="M73" s="552"/>
      <c r="N73" s="552"/>
      <c r="O73" s="552"/>
      <c r="P73" s="552"/>
      <c r="Q73" s="552"/>
    </row>
    <row r="74" spans="2:17" x14ac:dyDescent="0.2">
      <c r="B74" s="544"/>
      <c r="C74" s="306" t="s">
        <v>547</v>
      </c>
      <c r="D74" s="307">
        <f>L74</f>
        <v>142.74289999999999</v>
      </c>
      <c r="E74" s="307">
        <f t="shared" ref="E74:E91" si="2">((D74-D73)/D73)*100</f>
        <v>-1.7057567828122899</v>
      </c>
      <c r="F74" s="307">
        <f t="shared" ref="F74:F91" si="3">F73+E74</f>
        <v>4.3642432171877106</v>
      </c>
      <c r="G74" s="308">
        <f t="shared" ref="G74:G91" si="4">((D74-D62)/D62)*100</f>
        <v>4.1918978102189719</v>
      </c>
      <c r="J74" s="271">
        <v>67</v>
      </c>
      <c r="K74" s="309"/>
      <c r="L74" s="546">
        <f t="shared" ref="L74:L91" si="5">($M$7*J74^2)+($O$7*J74)+$Q$7</f>
        <v>142.74289999999999</v>
      </c>
      <c r="M74" s="547"/>
      <c r="N74" s="547"/>
      <c r="O74" s="547"/>
      <c r="P74" s="547"/>
      <c r="Q74" s="548"/>
    </row>
    <row r="75" spans="2:17" x14ac:dyDescent="0.2">
      <c r="B75" s="544"/>
      <c r="C75" s="291" t="s">
        <v>548</v>
      </c>
      <c r="D75" s="274">
        <f>L75</f>
        <v>143.08639999999997</v>
      </c>
      <c r="E75" s="274">
        <f t="shared" si="2"/>
        <v>0.24064244176066024</v>
      </c>
      <c r="F75" s="274">
        <f t="shared" si="3"/>
        <v>4.6048856589483709</v>
      </c>
      <c r="G75" s="275">
        <f t="shared" si="4"/>
        <v>4.3512252042006736</v>
      </c>
      <c r="J75" s="271">
        <v>68</v>
      </c>
      <c r="K75" s="309"/>
      <c r="L75" s="546">
        <f t="shared" si="5"/>
        <v>143.08639999999997</v>
      </c>
      <c r="M75" s="547"/>
      <c r="N75" s="547"/>
      <c r="O75" s="547"/>
      <c r="P75" s="547"/>
      <c r="Q75" s="548"/>
    </row>
    <row r="76" spans="2:17" x14ac:dyDescent="0.2">
      <c r="B76" s="544"/>
      <c r="C76" s="293" t="s">
        <v>549</v>
      </c>
      <c r="D76" s="285">
        <f t="shared" ref="D76:D91" si="6">L76</f>
        <v>143.42009999999999</v>
      </c>
      <c r="E76" s="285">
        <f t="shared" si="2"/>
        <v>0.23321573538786475</v>
      </c>
      <c r="F76" s="285">
        <f t="shared" si="3"/>
        <v>4.8381013943362356</v>
      </c>
      <c r="G76" s="286">
        <f t="shared" si="4"/>
        <v>4.7932924156071728</v>
      </c>
      <c r="J76" s="271">
        <v>69</v>
      </c>
      <c r="K76" s="309"/>
      <c r="L76" s="546">
        <f t="shared" si="5"/>
        <v>143.42009999999999</v>
      </c>
      <c r="M76" s="547"/>
      <c r="N76" s="547"/>
      <c r="O76" s="547"/>
      <c r="P76" s="547"/>
      <c r="Q76" s="548"/>
    </row>
    <row r="77" spans="2:17" x14ac:dyDescent="0.2">
      <c r="B77" s="544"/>
      <c r="C77" s="291" t="s">
        <v>550</v>
      </c>
      <c r="D77" s="274">
        <f t="shared" si="6"/>
        <v>143.744</v>
      </c>
      <c r="E77" s="274">
        <f t="shared" si="2"/>
        <v>0.22584003218517418</v>
      </c>
      <c r="F77" s="274">
        <f t="shared" si="3"/>
        <v>5.06394142652141</v>
      </c>
      <c r="G77" s="275">
        <f t="shared" si="4"/>
        <v>5.2761095649626544</v>
      </c>
      <c r="J77" s="271">
        <v>70</v>
      </c>
      <c r="K77" s="309"/>
      <c r="L77" s="546">
        <f t="shared" si="5"/>
        <v>143.744</v>
      </c>
      <c r="M77" s="547"/>
      <c r="N77" s="547"/>
      <c r="O77" s="547"/>
      <c r="P77" s="547"/>
      <c r="Q77" s="548"/>
    </row>
    <row r="78" spans="2:17" x14ac:dyDescent="0.2">
      <c r="B78" s="544"/>
      <c r="C78" s="293" t="s">
        <v>551</v>
      </c>
      <c r="D78" s="285">
        <f t="shared" si="6"/>
        <v>144.05809999999997</v>
      </c>
      <c r="E78" s="285">
        <f t="shared" si="2"/>
        <v>0.21851346838822339</v>
      </c>
      <c r="F78" s="285">
        <f t="shared" si="3"/>
        <v>5.282454894909633</v>
      </c>
      <c r="G78" s="286">
        <f t="shared" si="4"/>
        <v>5.3672469280280639</v>
      </c>
      <c r="J78" s="271">
        <v>71</v>
      </c>
      <c r="K78" s="309"/>
      <c r="L78" s="546">
        <f t="shared" si="5"/>
        <v>144.05809999999997</v>
      </c>
      <c r="M78" s="547"/>
      <c r="N78" s="547"/>
      <c r="O78" s="547"/>
      <c r="P78" s="547"/>
      <c r="Q78" s="548"/>
    </row>
    <row r="79" spans="2:17" x14ac:dyDescent="0.2">
      <c r="B79" s="544"/>
      <c r="C79" s="299" t="s">
        <v>552</v>
      </c>
      <c r="D79" s="300">
        <f t="shared" si="6"/>
        <v>144.36239999999998</v>
      </c>
      <c r="E79" s="300">
        <f t="shared" si="2"/>
        <v>0.21123421730538725</v>
      </c>
      <c r="F79" s="300">
        <f t="shared" si="3"/>
        <v>5.4936891122150202</v>
      </c>
      <c r="G79" s="301">
        <f t="shared" si="4"/>
        <v>5.443283909137377</v>
      </c>
      <c r="J79" s="271">
        <v>72</v>
      </c>
      <c r="K79" s="309"/>
      <c r="L79" s="546">
        <f t="shared" si="5"/>
        <v>144.36239999999998</v>
      </c>
      <c r="M79" s="547"/>
      <c r="N79" s="547"/>
      <c r="O79" s="547"/>
      <c r="P79" s="547"/>
      <c r="Q79" s="548"/>
    </row>
    <row r="80" spans="2:17" x14ac:dyDescent="0.2">
      <c r="B80" s="544">
        <v>2027</v>
      </c>
      <c r="C80" s="290" t="s">
        <v>540</v>
      </c>
      <c r="D80" s="285">
        <f t="shared" si="6"/>
        <v>144.65690000000001</v>
      </c>
      <c r="E80" s="279">
        <f t="shared" si="2"/>
        <v>0.20400048766162643</v>
      </c>
      <c r="F80" s="279">
        <f>E80</f>
        <v>0.20400048766162643</v>
      </c>
      <c r="G80" s="280">
        <f t="shared" si="4"/>
        <v>3.1863185676581849</v>
      </c>
      <c r="J80" s="271">
        <v>73</v>
      </c>
      <c r="K80" s="309"/>
      <c r="L80" s="546">
        <f t="shared" si="5"/>
        <v>144.65690000000001</v>
      </c>
      <c r="M80" s="547"/>
      <c r="N80" s="547"/>
      <c r="O80" s="547"/>
      <c r="P80" s="547"/>
      <c r="Q80" s="548"/>
    </row>
    <row r="81" spans="2:20" x14ac:dyDescent="0.2">
      <c r="B81" s="544"/>
      <c r="C81" s="291" t="s">
        <v>542</v>
      </c>
      <c r="D81" s="274">
        <f t="shared" si="6"/>
        <v>144.94159999999999</v>
      </c>
      <c r="E81" s="274">
        <f t="shared" si="2"/>
        <v>0.19681052200066959</v>
      </c>
      <c r="F81" s="274">
        <f t="shared" si="3"/>
        <v>0.40081100966229599</v>
      </c>
      <c r="G81" s="275">
        <f t="shared" si="4"/>
        <v>2.1146963505706609</v>
      </c>
      <c r="J81" s="271">
        <v>74</v>
      </c>
      <c r="K81" s="309"/>
      <c r="L81" s="546">
        <f t="shared" si="5"/>
        <v>144.94159999999999</v>
      </c>
      <c r="M81" s="547"/>
      <c r="N81" s="547"/>
      <c r="O81" s="547"/>
      <c r="P81" s="547"/>
      <c r="Q81" s="548"/>
    </row>
    <row r="82" spans="2:20" x14ac:dyDescent="0.2">
      <c r="B82" s="544"/>
      <c r="C82" s="293" t="s">
        <v>543</v>
      </c>
      <c r="D82" s="285">
        <f t="shared" si="6"/>
        <v>145.2165</v>
      </c>
      <c r="E82" s="285">
        <f t="shared" si="2"/>
        <v>0.18966259514176909</v>
      </c>
      <c r="F82" s="285">
        <f t="shared" si="3"/>
        <v>0.59047360480406508</v>
      </c>
      <c r="G82" s="286">
        <f t="shared" si="4"/>
        <v>1.2737987307343679</v>
      </c>
      <c r="J82" s="271">
        <v>75</v>
      </c>
      <c r="K82" s="309"/>
      <c r="L82" s="546">
        <f t="shared" si="5"/>
        <v>145.2165</v>
      </c>
      <c r="M82" s="547"/>
      <c r="N82" s="547"/>
      <c r="O82" s="547"/>
      <c r="P82" s="547"/>
      <c r="Q82" s="548"/>
    </row>
    <row r="83" spans="2:20" x14ac:dyDescent="0.2">
      <c r="B83" s="544"/>
      <c r="C83" s="291" t="s">
        <v>544</v>
      </c>
      <c r="D83" s="274">
        <f t="shared" si="6"/>
        <v>145.48159999999999</v>
      </c>
      <c r="E83" s="274">
        <f t="shared" si="2"/>
        <v>0.18255501268794502</v>
      </c>
      <c r="F83" s="274">
        <f t="shared" si="3"/>
        <v>0.77302861749201013</v>
      </c>
      <c r="G83" s="275">
        <f t="shared" si="4"/>
        <v>0.62359939134041598</v>
      </c>
      <c r="J83" s="271">
        <v>76</v>
      </c>
      <c r="K83" s="309"/>
      <c r="L83" s="546">
        <f t="shared" si="5"/>
        <v>145.48159999999999</v>
      </c>
      <c r="M83" s="547"/>
      <c r="N83" s="547"/>
      <c r="O83" s="547"/>
      <c r="P83" s="547"/>
      <c r="Q83" s="548"/>
    </row>
    <row r="84" spans="2:20" x14ac:dyDescent="0.2">
      <c r="B84" s="544"/>
      <c r="C84" s="293" t="s">
        <v>545</v>
      </c>
      <c r="D84" s="285">
        <f t="shared" si="6"/>
        <v>145.73689999999999</v>
      </c>
      <c r="E84" s="285">
        <f t="shared" si="2"/>
        <v>0.17548610958362118</v>
      </c>
      <c r="F84" s="285">
        <f t="shared" si="3"/>
        <v>0.94851472707563134</v>
      </c>
      <c r="G84" s="286">
        <f t="shared" si="4"/>
        <v>0.76533222706215587</v>
      </c>
      <c r="J84" s="271">
        <v>77</v>
      </c>
      <c r="K84" s="309"/>
      <c r="L84" s="546">
        <f t="shared" si="5"/>
        <v>145.73689999999999</v>
      </c>
      <c r="M84" s="547"/>
      <c r="N84" s="547"/>
      <c r="O84" s="547"/>
      <c r="P84" s="547"/>
      <c r="Q84" s="548"/>
      <c r="R84" s="409" t="s">
        <v>606</v>
      </c>
      <c r="S84" s="410"/>
      <c r="T84" s="411"/>
    </row>
    <row r="85" spans="2:20" x14ac:dyDescent="0.2">
      <c r="B85" s="544"/>
      <c r="C85" s="291" t="s">
        <v>546</v>
      </c>
      <c r="D85" s="274">
        <f t="shared" si="6"/>
        <v>145.98239999999998</v>
      </c>
      <c r="E85" s="274">
        <f t="shared" si="2"/>
        <v>0.16845424871806161</v>
      </c>
      <c r="F85" s="274">
        <f t="shared" si="3"/>
        <v>1.1169689757936929</v>
      </c>
      <c r="G85" s="275">
        <f t="shared" si="4"/>
        <v>0.52499655694806857</v>
      </c>
      <c r="J85" s="271">
        <v>78</v>
      </c>
      <c r="K85" s="309"/>
      <c r="L85" s="546">
        <f t="shared" si="5"/>
        <v>145.98239999999998</v>
      </c>
      <c r="M85" s="547"/>
      <c r="N85" s="547"/>
      <c r="O85" s="547"/>
      <c r="P85" s="547"/>
      <c r="Q85" s="548"/>
      <c r="R85" s="409">
        <f>ROUND(D85/D20,2)</f>
        <v>1.36</v>
      </c>
      <c r="S85" s="410"/>
      <c r="T85" s="411"/>
    </row>
    <row r="86" spans="2:20" x14ac:dyDescent="0.2">
      <c r="B86" s="544"/>
      <c r="C86" s="293" t="s">
        <v>547</v>
      </c>
      <c r="D86" s="285">
        <f t="shared" si="6"/>
        <v>146.21809999999999</v>
      </c>
      <c r="E86" s="285">
        <f t="shared" si="2"/>
        <v>0.16145781957277622</v>
      </c>
      <c r="F86" s="285">
        <f t="shared" si="3"/>
        <v>1.2784267953664692</v>
      </c>
      <c r="G86" s="286">
        <f t="shared" si="4"/>
        <v>2.4345869391752593</v>
      </c>
      <c r="J86" s="271">
        <v>79</v>
      </c>
      <c r="K86" s="309"/>
      <c r="L86" s="546">
        <f t="shared" si="5"/>
        <v>146.21809999999999</v>
      </c>
      <c r="M86" s="547"/>
      <c r="N86" s="547"/>
      <c r="O86" s="547"/>
      <c r="P86" s="547"/>
      <c r="Q86" s="548"/>
    </row>
    <row r="87" spans="2:20" x14ac:dyDescent="0.2">
      <c r="B87" s="544"/>
      <c r="C87" s="291" t="s">
        <v>548</v>
      </c>
      <c r="D87" s="274">
        <f t="shared" si="6"/>
        <v>146.44399999999999</v>
      </c>
      <c r="E87" s="274">
        <f t="shared" si="2"/>
        <v>0.15449523690979147</v>
      </c>
      <c r="F87" s="274">
        <f t="shared" si="3"/>
        <v>1.4329220322762606</v>
      </c>
      <c r="G87" s="275">
        <f t="shared" si="4"/>
        <v>2.3465542497400311</v>
      </c>
      <c r="J87" s="271">
        <v>80</v>
      </c>
      <c r="K87" s="309"/>
      <c r="L87" s="546">
        <f t="shared" si="5"/>
        <v>146.44399999999999</v>
      </c>
      <c r="M87" s="547"/>
      <c r="N87" s="547"/>
      <c r="O87" s="547"/>
      <c r="P87" s="547"/>
      <c r="Q87" s="548"/>
    </row>
    <row r="88" spans="2:20" x14ac:dyDescent="0.2">
      <c r="B88" s="544"/>
      <c r="C88" s="293" t="s">
        <v>549</v>
      </c>
      <c r="D88" s="285">
        <f t="shared" si="6"/>
        <v>146.6601</v>
      </c>
      <c r="E88" s="285">
        <f t="shared" si="2"/>
        <v>0.14756493949906552</v>
      </c>
      <c r="F88" s="285">
        <f t="shared" si="3"/>
        <v>1.580486971775326</v>
      </c>
      <c r="G88" s="286">
        <f t="shared" si="4"/>
        <v>2.2590975741893984</v>
      </c>
      <c r="J88" s="271">
        <v>81</v>
      </c>
      <c r="K88" s="309"/>
      <c r="L88" s="546">
        <f t="shared" si="5"/>
        <v>146.6601</v>
      </c>
      <c r="M88" s="547"/>
      <c r="N88" s="547"/>
      <c r="O88" s="547"/>
      <c r="P88" s="547"/>
      <c r="Q88" s="548"/>
    </row>
    <row r="89" spans="2:20" x14ac:dyDescent="0.2">
      <c r="B89" s="544"/>
      <c r="C89" s="291" t="s">
        <v>550</v>
      </c>
      <c r="D89" s="274">
        <f t="shared" si="6"/>
        <v>146.8664</v>
      </c>
      <c r="E89" s="274">
        <f t="shared" si="2"/>
        <v>0.14066538888218325</v>
      </c>
      <c r="F89" s="274">
        <f t="shared" si="3"/>
        <v>1.7211523606575092</v>
      </c>
      <c r="G89" s="275">
        <f t="shared" si="4"/>
        <v>2.1721950133570789</v>
      </c>
      <c r="J89" s="271">
        <v>82</v>
      </c>
      <c r="K89" s="309"/>
      <c r="L89" s="546">
        <f t="shared" si="5"/>
        <v>146.8664</v>
      </c>
      <c r="M89" s="547"/>
      <c r="N89" s="547"/>
      <c r="O89" s="547"/>
      <c r="P89" s="547"/>
      <c r="Q89" s="548"/>
    </row>
    <row r="90" spans="2:20" x14ac:dyDescent="0.2">
      <c r="B90" s="544"/>
      <c r="C90" s="293" t="s">
        <v>551</v>
      </c>
      <c r="D90" s="285">
        <f t="shared" si="6"/>
        <v>147.06289999999998</v>
      </c>
      <c r="E90" s="285">
        <f t="shared" si="2"/>
        <v>0.13379506817079068</v>
      </c>
      <c r="F90" s="285">
        <f t="shared" si="3"/>
        <v>1.8549474288282999</v>
      </c>
      <c r="G90" s="286">
        <f t="shared" si="4"/>
        <v>2.085825094180763</v>
      </c>
      <c r="J90" s="271">
        <v>83</v>
      </c>
      <c r="K90" s="309"/>
      <c r="L90" s="546">
        <f t="shared" si="5"/>
        <v>147.06289999999998</v>
      </c>
      <c r="M90" s="547"/>
      <c r="N90" s="547"/>
      <c r="O90" s="547"/>
      <c r="P90" s="547"/>
      <c r="Q90" s="548"/>
    </row>
    <row r="91" spans="2:20" ht="16" thickBot="1" x14ac:dyDescent="0.25">
      <c r="B91" s="545"/>
      <c r="C91" s="310" t="s">
        <v>552</v>
      </c>
      <c r="D91" s="311">
        <f t="shared" si="6"/>
        <v>147.24959999999999</v>
      </c>
      <c r="E91" s="311">
        <f t="shared" si="2"/>
        <v>0.12695248087723135</v>
      </c>
      <c r="F91" s="311">
        <f t="shared" si="3"/>
        <v>1.9818999097055312</v>
      </c>
      <c r="G91" s="312">
        <f t="shared" si="4"/>
        <v>1.9999667503449705</v>
      </c>
      <c r="J91" s="271">
        <v>84</v>
      </c>
      <c r="K91" s="309"/>
      <c r="L91" s="546">
        <f t="shared" si="5"/>
        <v>147.24959999999999</v>
      </c>
      <c r="M91" s="547"/>
      <c r="N91" s="547"/>
      <c r="O91" s="547"/>
      <c r="P91" s="547"/>
      <c r="Q91" s="548"/>
    </row>
    <row r="92" spans="2:20" x14ac:dyDescent="0.2">
      <c r="K92" s="313"/>
    </row>
  </sheetData>
  <mergeCells count="101">
    <mergeCell ref="B2:G3"/>
    <mergeCell ref="B4:G4"/>
    <mergeCell ref="B5:G5"/>
    <mergeCell ref="K5:K6"/>
    <mergeCell ref="L5:Q5"/>
    <mergeCell ref="B6:B7"/>
    <mergeCell ref="C6:C7"/>
    <mergeCell ref="D6:D7"/>
    <mergeCell ref="E6:G6"/>
    <mergeCell ref="L6:Q6"/>
    <mergeCell ref="B20:B31"/>
    <mergeCell ref="L20:Q20"/>
    <mergeCell ref="L21:Q21"/>
    <mergeCell ref="L22:Q22"/>
    <mergeCell ref="L23:Q23"/>
    <mergeCell ref="L24:Q24"/>
    <mergeCell ref="L25:Q25"/>
    <mergeCell ref="B8:B19"/>
    <mergeCell ref="L8:Q8"/>
    <mergeCell ref="L9:Q9"/>
    <mergeCell ref="L10:Q10"/>
    <mergeCell ref="L11:Q11"/>
    <mergeCell ref="L12:Q12"/>
    <mergeCell ref="L13:Q13"/>
    <mergeCell ref="L14:Q14"/>
    <mergeCell ref="L15:Q15"/>
    <mergeCell ref="L16:Q16"/>
    <mergeCell ref="L26:Q26"/>
    <mergeCell ref="L27:Q27"/>
    <mergeCell ref="L28:Q28"/>
    <mergeCell ref="L29:Q29"/>
    <mergeCell ref="L30:Q30"/>
    <mergeCell ref="L31:Q31"/>
    <mergeCell ref="L17:Q17"/>
    <mergeCell ref="L18:Q18"/>
    <mergeCell ref="L19:Q19"/>
    <mergeCell ref="B44:B55"/>
    <mergeCell ref="L44:Q44"/>
    <mergeCell ref="L45:Q45"/>
    <mergeCell ref="L46:Q46"/>
    <mergeCell ref="L47:Q47"/>
    <mergeCell ref="L48:Q48"/>
    <mergeCell ref="L49:Q49"/>
    <mergeCell ref="B32:B43"/>
    <mergeCell ref="L32:Q32"/>
    <mergeCell ref="L33:Q33"/>
    <mergeCell ref="L34:Q34"/>
    <mergeCell ref="L35:Q35"/>
    <mergeCell ref="L36:Q36"/>
    <mergeCell ref="L37:Q37"/>
    <mergeCell ref="L38:Q38"/>
    <mergeCell ref="L39:Q39"/>
    <mergeCell ref="L40:Q40"/>
    <mergeCell ref="L50:Q50"/>
    <mergeCell ref="L51:Q51"/>
    <mergeCell ref="L52:Q52"/>
    <mergeCell ref="L53:Q53"/>
    <mergeCell ref="L54:Q54"/>
    <mergeCell ref="L55:Q55"/>
    <mergeCell ref="L41:Q41"/>
    <mergeCell ref="L42:Q42"/>
    <mergeCell ref="L43:Q43"/>
    <mergeCell ref="B68:B79"/>
    <mergeCell ref="L68:Q68"/>
    <mergeCell ref="L69:Q69"/>
    <mergeCell ref="L70:Q70"/>
    <mergeCell ref="L71:Q71"/>
    <mergeCell ref="L72:Q72"/>
    <mergeCell ref="L73:Q73"/>
    <mergeCell ref="B56:B67"/>
    <mergeCell ref="L56:Q56"/>
    <mergeCell ref="L57:Q57"/>
    <mergeCell ref="L58:Q58"/>
    <mergeCell ref="L59:Q59"/>
    <mergeCell ref="L60:Q60"/>
    <mergeCell ref="L61:Q61"/>
    <mergeCell ref="L62:Q62"/>
    <mergeCell ref="L63:Q63"/>
    <mergeCell ref="L64:Q64"/>
    <mergeCell ref="L74:Q74"/>
    <mergeCell ref="L75:Q75"/>
    <mergeCell ref="L76:Q76"/>
    <mergeCell ref="L77:Q77"/>
    <mergeCell ref="L78:Q78"/>
    <mergeCell ref="L79:Q79"/>
    <mergeCell ref="L65:Q65"/>
    <mergeCell ref="L66:Q66"/>
    <mergeCell ref="L67:Q67"/>
    <mergeCell ref="L89:Q89"/>
    <mergeCell ref="L90:Q90"/>
    <mergeCell ref="L91:Q91"/>
    <mergeCell ref="B80:B91"/>
    <mergeCell ref="L80:Q80"/>
    <mergeCell ref="L81:Q81"/>
    <mergeCell ref="L82:Q82"/>
    <mergeCell ref="L83:Q83"/>
    <mergeCell ref="L84:Q84"/>
    <mergeCell ref="L85:Q85"/>
    <mergeCell ref="L86:Q86"/>
    <mergeCell ref="L87:Q87"/>
    <mergeCell ref="L88:Q88"/>
  </mergeCells>
  <pageMargins left="0.7" right="0.7" top="0.75" bottom="0.75" header="0.3" footer="0.3"/>
  <pageSetup paperSize="9" scale="33" fitToHeight="0"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E56-03EF-124A-BFAA-9B8C232CCC8D}">
  <dimension ref="A3:L49"/>
  <sheetViews>
    <sheetView topLeftCell="A2" zoomScale="125" workbookViewId="0">
      <selection activeCell="F8" sqref="F8"/>
    </sheetView>
  </sheetViews>
  <sheetFormatPr baseColWidth="10" defaultRowHeight="15" x14ac:dyDescent="0.2"/>
  <cols>
    <col min="1" max="1" width="22" style="314" customWidth="1"/>
    <col min="2" max="2" width="27.6640625" style="314" customWidth="1"/>
    <col min="3" max="4" width="10.83203125" style="314"/>
    <col min="5" max="6" width="18.1640625" style="314" customWidth="1"/>
    <col min="7" max="9" width="10.83203125" style="314"/>
    <col min="10" max="10" width="77.6640625" style="314" customWidth="1"/>
    <col min="11" max="11" width="10.83203125" style="314"/>
    <col min="12" max="12" width="14" style="314" customWidth="1"/>
    <col min="13" max="16384" width="10.83203125" style="314"/>
  </cols>
  <sheetData>
    <row r="3" spans="1:12" x14ac:dyDescent="0.2">
      <c r="A3" s="579" t="s">
        <v>555</v>
      </c>
      <c r="B3" s="579"/>
      <c r="C3" s="579"/>
      <c r="D3" s="579"/>
      <c r="E3" s="579"/>
      <c r="F3" s="579"/>
      <c r="G3" s="579"/>
      <c r="H3" s="579"/>
      <c r="I3" s="579"/>
      <c r="J3" s="579"/>
      <c r="K3" s="579"/>
      <c r="L3" s="579"/>
    </row>
    <row r="4" spans="1:12" s="316" customFormat="1" ht="46" customHeight="1" x14ac:dyDescent="0.2">
      <c r="A4" s="580" t="s">
        <v>556</v>
      </c>
      <c r="B4" s="580" t="s">
        <v>557</v>
      </c>
      <c r="C4" s="580" t="s">
        <v>558</v>
      </c>
      <c r="D4" s="580"/>
      <c r="E4" s="581" t="s">
        <v>559</v>
      </c>
      <c r="F4" s="581"/>
    </row>
    <row r="5" spans="1:12" s="316" customFormat="1" ht="32" x14ac:dyDescent="0.2">
      <c r="A5" s="580"/>
      <c r="B5" s="580"/>
      <c r="C5" s="315" t="s">
        <v>560</v>
      </c>
      <c r="D5" s="315" t="s">
        <v>561</v>
      </c>
      <c r="E5" s="317" t="s">
        <v>562</v>
      </c>
      <c r="F5" s="317" t="s">
        <v>724</v>
      </c>
    </row>
    <row r="6" spans="1:12" s="316" customFormat="1" ht="36" customHeight="1" x14ac:dyDescent="0.2">
      <c r="A6" s="318" t="s">
        <v>563</v>
      </c>
      <c r="B6" s="318" t="s">
        <v>564</v>
      </c>
      <c r="C6" s="318" t="s">
        <v>565</v>
      </c>
      <c r="D6" s="318" t="s">
        <v>566</v>
      </c>
      <c r="E6" s="319">
        <v>9107</v>
      </c>
      <c r="F6" s="320">
        <v>17387000</v>
      </c>
    </row>
    <row r="7" spans="1:12" s="316" customFormat="1" ht="36" customHeight="1" x14ac:dyDescent="0.2">
      <c r="A7" s="318" t="s">
        <v>567</v>
      </c>
      <c r="B7" s="318" t="s">
        <v>564</v>
      </c>
      <c r="C7" s="318" t="s">
        <v>568</v>
      </c>
      <c r="D7" s="318" t="s">
        <v>569</v>
      </c>
      <c r="E7" s="319">
        <v>9108</v>
      </c>
      <c r="F7" s="320">
        <v>13251000</v>
      </c>
    </row>
    <row r="8" spans="1:12" s="316" customFormat="1" ht="56" customHeight="1" x14ac:dyDescent="0.2">
      <c r="A8" s="318" t="s">
        <v>570</v>
      </c>
      <c r="B8" s="318" t="s">
        <v>571</v>
      </c>
      <c r="C8" s="318" t="s">
        <v>569</v>
      </c>
      <c r="D8" s="318" t="s">
        <v>572</v>
      </c>
      <c r="E8" s="319">
        <v>9109</v>
      </c>
      <c r="F8" s="320">
        <v>11183000</v>
      </c>
    </row>
    <row r="9" spans="1:12" ht="36" customHeight="1" x14ac:dyDescent="0.2">
      <c r="A9" s="318" t="s">
        <v>573</v>
      </c>
      <c r="B9" s="318" t="s">
        <v>574</v>
      </c>
      <c r="C9" s="318" t="s">
        <v>575</v>
      </c>
      <c r="D9" s="318" t="s">
        <v>576</v>
      </c>
      <c r="E9" s="319">
        <v>9110</v>
      </c>
      <c r="F9" s="320">
        <v>9522000</v>
      </c>
    </row>
    <row r="10" spans="1:12" ht="46" customHeight="1" x14ac:dyDescent="0.2">
      <c r="A10" s="318" t="s">
        <v>577</v>
      </c>
      <c r="B10" s="318" t="s">
        <v>578</v>
      </c>
      <c r="C10" s="318" t="s">
        <v>576</v>
      </c>
      <c r="D10" s="318" t="s">
        <v>579</v>
      </c>
      <c r="E10" s="319">
        <v>9111</v>
      </c>
      <c r="F10" s="320">
        <v>8589000</v>
      </c>
    </row>
    <row r="11" spans="1:12" ht="36" customHeight="1" x14ac:dyDescent="0.2">
      <c r="A11" s="318" t="s">
        <v>580</v>
      </c>
      <c r="B11" s="318" t="s">
        <v>581</v>
      </c>
      <c r="C11" s="318" t="s">
        <v>579</v>
      </c>
      <c r="D11" s="318" t="s">
        <v>582</v>
      </c>
      <c r="E11" s="319">
        <v>9112</v>
      </c>
      <c r="F11" s="320">
        <v>7659000</v>
      </c>
    </row>
    <row r="12" spans="1:12" ht="36" customHeight="1" x14ac:dyDescent="0.2">
      <c r="A12" s="318" t="s">
        <v>583</v>
      </c>
      <c r="B12" s="318" t="s">
        <v>581</v>
      </c>
      <c r="C12" s="318" t="s">
        <v>584</v>
      </c>
      <c r="D12" s="318"/>
      <c r="E12" s="319">
        <v>9113</v>
      </c>
      <c r="F12" s="320">
        <v>5791000</v>
      </c>
    </row>
    <row r="13" spans="1:12" ht="36" customHeight="1" x14ac:dyDescent="0.2">
      <c r="A13" s="318" t="s">
        <v>585</v>
      </c>
      <c r="B13" s="318" t="s">
        <v>586</v>
      </c>
      <c r="C13" s="318" t="s">
        <v>584</v>
      </c>
      <c r="D13" s="318"/>
      <c r="E13" s="319">
        <v>9088</v>
      </c>
      <c r="F13" s="320">
        <v>3736000</v>
      </c>
    </row>
    <row r="14" spans="1:12" ht="36" customHeight="1" x14ac:dyDescent="0.2">
      <c r="A14" s="318" t="s">
        <v>587</v>
      </c>
      <c r="B14" s="361" t="s">
        <v>588</v>
      </c>
      <c r="C14" s="318" t="s">
        <v>584</v>
      </c>
      <c r="D14" s="320"/>
      <c r="E14" s="319">
        <v>9098</v>
      </c>
      <c r="F14" s="320">
        <v>2316000</v>
      </c>
    </row>
    <row r="15" spans="1:12" ht="36" customHeight="1" x14ac:dyDescent="0.2">
      <c r="A15" s="318" t="s">
        <v>596</v>
      </c>
      <c r="B15" s="361" t="s">
        <v>588</v>
      </c>
      <c r="C15" s="318" t="s">
        <v>589</v>
      </c>
      <c r="D15" s="318"/>
      <c r="E15" s="319">
        <v>9099</v>
      </c>
      <c r="F15" s="321">
        <v>2018000</v>
      </c>
    </row>
    <row r="16" spans="1:12" ht="31" customHeight="1" x14ac:dyDescent="0.2">
      <c r="A16" s="318" t="s">
        <v>597</v>
      </c>
      <c r="B16" s="364" t="s">
        <v>595</v>
      </c>
      <c r="C16" s="318" t="s">
        <v>582</v>
      </c>
      <c r="D16" s="362"/>
      <c r="E16" s="319">
        <v>9100</v>
      </c>
      <c r="F16" s="320">
        <v>1750905</v>
      </c>
    </row>
    <row r="17" spans="1:12" ht="17" x14ac:dyDescent="0.2">
      <c r="A17" s="318" t="s">
        <v>602</v>
      </c>
      <c r="B17" s="364" t="s">
        <v>601</v>
      </c>
      <c r="C17" s="318" t="s">
        <v>584</v>
      </c>
      <c r="D17" s="319"/>
      <c r="E17" s="319">
        <v>9093</v>
      </c>
      <c r="F17" s="320">
        <v>2718000</v>
      </c>
    </row>
    <row r="20" spans="1:12" ht="135" x14ac:dyDescent="0.2">
      <c r="A20" s="319">
        <v>13418</v>
      </c>
      <c r="B20" s="363" t="s">
        <v>600</v>
      </c>
      <c r="C20" s="319" t="s">
        <v>593</v>
      </c>
      <c r="D20" s="320">
        <v>2215256</v>
      </c>
      <c r="I20" s="366"/>
      <c r="J20" s="367"/>
      <c r="K20" s="357" t="s">
        <v>593</v>
      </c>
      <c r="L20" s="358">
        <v>3584000</v>
      </c>
    </row>
    <row r="21" spans="1:12" ht="150" x14ac:dyDescent="0.2">
      <c r="A21" s="319">
        <v>9165</v>
      </c>
      <c r="B21" s="363" t="s">
        <v>599</v>
      </c>
      <c r="C21" s="319" t="s">
        <v>593</v>
      </c>
      <c r="D21" s="320">
        <v>8778000</v>
      </c>
      <c r="I21" s="366"/>
      <c r="J21" s="367"/>
      <c r="K21" s="357" t="s">
        <v>593</v>
      </c>
      <c r="L21" s="358">
        <v>3150000</v>
      </c>
    </row>
    <row r="22" spans="1:12" x14ac:dyDescent="0.2">
      <c r="I22" s="366"/>
      <c r="J22" s="367"/>
      <c r="K22" s="357" t="s">
        <v>593</v>
      </c>
      <c r="L22" s="358">
        <v>3303000</v>
      </c>
    </row>
    <row r="23" spans="1:12" x14ac:dyDescent="0.2">
      <c r="I23" s="366"/>
      <c r="J23" s="367"/>
      <c r="K23" s="357" t="s">
        <v>593</v>
      </c>
      <c r="L23" s="358">
        <v>2670000</v>
      </c>
    </row>
    <row r="24" spans="1:12" x14ac:dyDescent="0.2">
      <c r="I24" s="366"/>
      <c r="J24" s="367"/>
      <c r="K24" s="357" t="s">
        <v>593</v>
      </c>
      <c r="L24" s="358">
        <v>3736000</v>
      </c>
    </row>
    <row r="25" spans="1:12" x14ac:dyDescent="0.2">
      <c r="I25" s="366"/>
      <c r="J25" s="367"/>
      <c r="K25" s="357" t="s">
        <v>593</v>
      </c>
      <c r="L25" s="358">
        <v>3310000</v>
      </c>
    </row>
    <row r="26" spans="1:12" x14ac:dyDescent="0.2">
      <c r="I26" s="366"/>
      <c r="J26" s="367"/>
      <c r="K26" s="357" t="s">
        <v>593</v>
      </c>
      <c r="L26" s="358">
        <v>2316000</v>
      </c>
    </row>
    <row r="27" spans="1:12" x14ac:dyDescent="0.2">
      <c r="I27" s="366"/>
      <c r="J27" s="367"/>
      <c r="K27" s="357" t="s">
        <v>593</v>
      </c>
      <c r="L27" s="358">
        <v>4690453</v>
      </c>
    </row>
    <row r="28" spans="1:12" x14ac:dyDescent="0.2">
      <c r="I28" s="366"/>
      <c r="J28" s="367"/>
      <c r="K28" s="357" t="s">
        <v>593</v>
      </c>
      <c r="L28" s="358">
        <v>3264239</v>
      </c>
    </row>
    <row r="29" spans="1:12" x14ac:dyDescent="0.2">
      <c r="I29" s="366"/>
      <c r="J29" s="367"/>
      <c r="K29" s="357" t="s">
        <v>593</v>
      </c>
      <c r="L29" s="358">
        <v>2718000</v>
      </c>
    </row>
    <row r="30" spans="1:12" x14ac:dyDescent="0.2">
      <c r="I30" s="366"/>
      <c r="J30" s="367"/>
      <c r="K30" s="357" t="s">
        <v>593</v>
      </c>
      <c r="L30" s="358">
        <v>2447000</v>
      </c>
    </row>
    <row r="31" spans="1:12" x14ac:dyDescent="0.2">
      <c r="I31" s="366"/>
      <c r="J31" s="367"/>
      <c r="K31" s="357" t="s">
        <v>593</v>
      </c>
      <c r="L31" s="358">
        <v>3064000</v>
      </c>
    </row>
    <row r="32" spans="1:12" x14ac:dyDescent="0.2">
      <c r="I32" s="366"/>
      <c r="J32" s="367"/>
      <c r="K32" s="357" t="s">
        <v>593</v>
      </c>
      <c r="L32" s="358">
        <v>3736000</v>
      </c>
    </row>
    <row r="33" spans="9:12" x14ac:dyDescent="0.2">
      <c r="I33" s="366"/>
      <c r="J33" s="367"/>
      <c r="K33" s="357" t="s">
        <v>593</v>
      </c>
      <c r="L33" s="358">
        <v>3064000</v>
      </c>
    </row>
    <row r="34" spans="9:12" x14ac:dyDescent="0.2">
      <c r="I34" s="366"/>
      <c r="J34" s="367"/>
      <c r="K34" s="357" t="s">
        <v>593</v>
      </c>
      <c r="L34" s="358">
        <v>2316000</v>
      </c>
    </row>
    <row r="35" spans="9:12" x14ac:dyDescent="0.2">
      <c r="I35" s="366"/>
      <c r="J35" s="367"/>
      <c r="K35" s="357" t="s">
        <v>593</v>
      </c>
      <c r="L35" s="358">
        <v>2018000</v>
      </c>
    </row>
    <row r="36" spans="9:12" x14ac:dyDescent="0.2">
      <c r="I36" s="366"/>
      <c r="J36" s="367"/>
      <c r="K36" s="357" t="s">
        <v>593</v>
      </c>
      <c r="L36" s="358">
        <v>1750905</v>
      </c>
    </row>
    <row r="37" spans="9:12" x14ac:dyDescent="0.2">
      <c r="I37" s="366"/>
      <c r="J37" s="367"/>
      <c r="K37" s="357" t="s">
        <v>593</v>
      </c>
      <c r="L37" s="358">
        <v>4488000</v>
      </c>
    </row>
    <row r="38" spans="9:12" x14ac:dyDescent="0.2">
      <c r="I38" s="366"/>
      <c r="J38" s="367"/>
      <c r="K38" s="357" t="s">
        <v>593</v>
      </c>
      <c r="L38" s="358">
        <v>3479000</v>
      </c>
    </row>
    <row r="39" spans="9:12" x14ac:dyDescent="0.2">
      <c r="I39" s="366"/>
      <c r="J39" s="367"/>
      <c r="K39" s="357" t="s">
        <v>593</v>
      </c>
      <c r="L39" s="358">
        <v>2481000</v>
      </c>
    </row>
    <row r="40" spans="9:12" x14ac:dyDescent="0.2">
      <c r="I40" s="366"/>
      <c r="J40" s="367"/>
      <c r="K40" s="357" t="s">
        <v>593</v>
      </c>
      <c r="L40" s="358">
        <v>2018000</v>
      </c>
    </row>
    <row r="41" spans="9:12" x14ac:dyDescent="0.2">
      <c r="I41" s="366"/>
      <c r="J41" s="367"/>
      <c r="K41" s="359" t="s">
        <v>593</v>
      </c>
      <c r="L41" s="360">
        <v>1750905</v>
      </c>
    </row>
    <row r="42" spans="9:12" x14ac:dyDescent="0.2">
      <c r="I42" s="366"/>
      <c r="J42" s="367"/>
      <c r="K42" s="359" t="s">
        <v>593</v>
      </c>
      <c r="L42" s="360">
        <v>17387000</v>
      </c>
    </row>
    <row r="43" spans="9:12" x14ac:dyDescent="0.2">
      <c r="I43" s="366"/>
      <c r="J43" s="367"/>
      <c r="K43" s="359" t="s">
        <v>593</v>
      </c>
      <c r="L43" s="360">
        <v>13251000</v>
      </c>
    </row>
    <row r="44" spans="9:12" x14ac:dyDescent="0.2">
      <c r="I44" s="366"/>
      <c r="J44" s="367"/>
      <c r="K44" s="359" t="s">
        <v>593</v>
      </c>
      <c r="L44" s="360">
        <v>11183000</v>
      </c>
    </row>
    <row r="45" spans="9:12" x14ac:dyDescent="0.2">
      <c r="I45" s="366"/>
      <c r="J45" s="367"/>
      <c r="K45" s="359" t="s">
        <v>593</v>
      </c>
      <c r="L45" s="360">
        <v>9522000</v>
      </c>
    </row>
    <row r="46" spans="9:12" x14ac:dyDescent="0.2">
      <c r="I46" s="366"/>
      <c r="J46" s="367"/>
      <c r="K46" s="359" t="s">
        <v>593</v>
      </c>
      <c r="L46" s="360">
        <v>8589000</v>
      </c>
    </row>
    <row r="47" spans="9:12" x14ac:dyDescent="0.2">
      <c r="I47" s="366"/>
      <c r="J47" s="367"/>
      <c r="K47" s="359" t="s">
        <v>593</v>
      </c>
      <c r="L47" s="360">
        <v>7659000</v>
      </c>
    </row>
    <row r="48" spans="9:12" x14ac:dyDescent="0.2">
      <c r="I48" s="366"/>
      <c r="J48" s="367"/>
      <c r="K48" s="359" t="s">
        <v>593</v>
      </c>
      <c r="L48" s="360">
        <v>5791000</v>
      </c>
    </row>
    <row r="49" spans="9:12" x14ac:dyDescent="0.2">
      <c r="I49" s="366"/>
      <c r="J49" s="367"/>
      <c r="K49" s="357" t="s">
        <v>594</v>
      </c>
      <c r="L49" s="358">
        <v>255300</v>
      </c>
    </row>
  </sheetData>
  <mergeCells count="5">
    <mergeCell ref="A3:L3"/>
    <mergeCell ref="A4:A5"/>
    <mergeCell ref="B4:B5"/>
    <mergeCell ref="C4:D4"/>
    <mergeCell ref="E4:F4"/>
  </mergeCells>
  <phoneticPr fontId="49" type="noConversion"/>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D7C26-65D1-6B4C-BF6B-DF290791BB99}">
  <sheetPr>
    <outlinePr summaryBelow="0"/>
  </sheetPr>
  <dimension ref="A2:AG187"/>
  <sheetViews>
    <sheetView topLeftCell="D6" zoomScale="88" zoomScaleNormal="80" workbookViewId="0">
      <selection activeCell="G9" sqref="G9"/>
    </sheetView>
  </sheetViews>
  <sheetFormatPr baseColWidth="10" defaultColWidth="11.5" defaultRowHeight="15" customHeight="1" outlineLevelRow="1" x14ac:dyDescent="0.2"/>
  <cols>
    <col min="1" max="1" width="2.6640625" style="1" customWidth="1"/>
    <col min="2" max="2" width="1.6640625" style="1" customWidth="1"/>
    <col min="3" max="3" width="7.5" style="3" customWidth="1"/>
    <col min="4" max="4" width="54.83203125" style="4" customWidth="1"/>
    <col min="5" max="5" width="8.83203125" style="3" customWidth="1"/>
    <col min="6" max="6" width="15.1640625" style="3" customWidth="1"/>
    <col min="7" max="7" width="17.5" style="328" customWidth="1"/>
    <col min="8" max="9" width="17" style="329" customWidth="1"/>
    <col min="10" max="33" width="15.1640625" style="1" customWidth="1"/>
    <col min="34" max="16384" width="11.5" style="1"/>
  </cols>
  <sheetData>
    <row r="2" spans="1:33" ht="68.5" customHeight="1" x14ac:dyDescent="0.2">
      <c r="C2" s="490"/>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row>
    <row r="3" spans="1:33" ht="18.75" customHeight="1" x14ac:dyDescent="0.2">
      <c r="C3" s="493" t="s">
        <v>288</v>
      </c>
      <c r="D3" s="494"/>
      <c r="E3" s="494"/>
      <c r="F3" s="494"/>
      <c r="G3" s="494"/>
      <c r="H3" s="494"/>
      <c r="I3" s="494"/>
      <c r="J3" s="494"/>
      <c r="K3" s="494"/>
      <c r="L3" s="494"/>
      <c r="M3" s="494"/>
      <c r="N3" s="494"/>
      <c r="O3" s="494"/>
      <c r="P3" s="494"/>
      <c r="Q3" s="494"/>
      <c r="R3" s="494"/>
      <c r="S3" s="494"/>
      <c r="T3" s="494"/>
      <c r="U3" s="494"/>
      <c r="V3" s="494"/>
      <c r="W3" s="494"/>
      <c r="X3" s="494"/>
      <c r="Y3" s="494"/>
      <c r="Z3" s="494"/>
      <c r="AA3" s="494"/>
      <c r="AB3" s="494"/>
      <c r="AC3" s="494"/>
      <c r="AD3" s="494"/>
      <c r="AE3" s="494"/>
      <c r="AF3" s="494"/>
      <c r="AG3" s="494"/>
    </row>
    <row r="4" spans="1:33" ht="18.75" customHeight="1" x14ac:dyDescent="0.2">
      <c r="C4" s="487" t="s">
        <v>289</v>
      </c>
      <c r="D4" s="488"/>
      <c r="E4" s="488"/>
      <c r="F4" s="488"/>
      <c r="G4" s="488"/>
      <c r="H4" s="488"/>
      <c r="I4" s="488"/>
      <c r="J4" s="488"/>
      <c r="K4" s="488"/>
      <c r="L4" s="488"/>
      <c r="M4" s="488"/>
      <c r="N4" s="488"/>
      <c r="O4" s="488"/>
      <c r="P4" s="488"/>
      <c r="Q4" s="488"/>
      <c r="R4" s="488"/>
      <c r="S4" s="488"/>
      <c r="T4" s="488"/>
      <c r="U4" s="488"/>
      <c r="V4" s="488"/>
      <c r="W4" s="488"/>
      <c r="X4" s="488"/>
      <c r="Y4" s="488"/>
      <c r="Z4" s="488"/>
      <c r="AA4" s="488"/>
      <c r="AB4" s="488"/>
      <c r="AC4" s="488"/>
      <c r="AD4" s="488"/>
      <c r="AE4" s="488"/>
      <c r="AF4" s="488"/>
      <c r="AG4" s="488"/>
    </row>
    <row r="5" spans="1:33" ht="8" customHeight="1" thickBot="1" x14ac:dyDescent="0.25"/>
    <row r="6" spans="1:33" s="3" customFormat="1" ht="26.5" customHeight="1" x14ac:dyDescent="0.2">
      <c r="C6" s="470" t="s">
        <v>5</v>
      </c>
      <c r="D6" s="473" t="s">
        <v>6</v>
      </c>
      <c r="E6" s="476" t="s">
        <v>7</v>
      </c>
      <c r="F6" s="473" t="s">
        <v>290</v>
      </c>
      <c r="G6" s="582" t="s">
        <v>291</v>
      </c>
      <c r="H6" s="584" t="s">
        <v>292</v>
      </c>
      <c r="I6" s="589" t="s">
        <v>605</v>
      </c>
      <c r="J6" s="586" t="s">
        <v>293</v>
      </c>
      <c r="K6" s="586"/>
      <c r="L6" s="587"/>
      <c r="M6" s="588" t="s">
        <v>294</v>
      </c>
      <c r="N6" s="586"/>
      <c r="O6" s="587"/>
      <c r="P6" s="588" t="s">
        <v>295</v>
      </c>
      <c r="Q6" s="586"/>
      <c r="R6" s="587"/>
      <c r="S6" s="588" t="s">
        <v>296</v>
      </c>
      <c r="T6" s="586"/>
      <c r="U6" s="587"/>
      <c r="V6" s="588" t="s">
        <v>297</v>
      </c>
      <c r="W6" s="586"/>
      <c r="X6" s="587"/>
      <c r="Y6" s="588" t="s">
        <v>298</v>
      </c>
      <c r="Z6" s="586"/>
      <c r="AA6" s="587"/>
      <c r="AB6" s="588" t="s">
        <v>299</v>
      </c>
      <c r="AC6" s="586"/>
      <c r="AD6" s="587"/>
      <c r="AE6" s="588" t="s">
        <v>300</v>
      </c>
      <c r="AF6" s="586"/>
      <c r="AG6" s="587"/>
    </row>
    <row r="7" spans="1:33" s="3" customFormat="1" ht="51" customHeight="1" thickBot="1" x14ac:dyDescent="0.25">
      <c r="A7" s="5"/>
      <c r="C7" s="471"/>
      <c r="D7" s="474"/>
      <c r="E7" s="477"/>
      <c r="F7" s="474"/>
      <c r="G7" s="583"/>
      <c r="H7" s="585"/>
      <c r="I7" s="590"/>
      <c r="J7" s="322" t="s">
        <v>301</v>
      </c>
      <c r="K7" s="57" t="s">
        <v>607</v>
      </c>
      <c r="L7" s="59" t="s">
        <v>290</v>
      </c>
      <c r="M7" s="58" t="s">
        <v>301</v>
      </c>
      <c r="N7" s="57" t="s">
        <v>607</v>
      </c>
      <c r="O7" s="59" t="s">
        <v>290</v>
      </c>
      <c r="P7" s="58" t="s">
        <v>301</v>
      </c>
      <c r="Q7" s="57" t="s">
        <v>607</v>
      </c>
      <c r="R7" s="59" t="s">
        <v>290</v>
      </c>
      <c r="S7" s="58" t="s">
        <v>301</v>
      </c>
      <c r="T7" s="57" t="s">
        <v>607</v>
      </c>
      <c r="U7" s="59" t="s">
        <v>290</v>
      </c>
      <c r="V7" s="58" t="s">
        <v>301</v>
      </c>
      <c r="W7" s="57" t="s">
        <v>607</v>
      </c>
      <c r="X7" s="59" t="s">
        <v>290</v>
      </c>
      <c r="Y7" s="58" t="s">
        <v>301</v>
      </c>
      <c r="Z7" s="57" t="s">
        <v>607</v>
      </c>
      <c r="AA7" s="59" t="s">
        <v>290</v>
      </c>
      <c r="AB7" s="58" t="s">
        <v>301</v>
      </c>
      <c r="AC7" s="57" t="s">
        <v>607</v>
      </c>
      <c r="AD7" s="59" t="s">
        <v>290</v>
      </c>
      <c r="AE7" s="58" t="s">
        <v>301</v>
      </c>
      <c r="AF7" s="57" t="s">
        <v>607</v>
      </c>
      <c r="AG7" s="59" t="s">
        <v>290</v>
      </c>
    </row>
    <row r="8" spans="1:33" ht="21" customHeight="1" x14ac:dyDescent="0.2">
      <c r="C8" s="27">
        <v>1</v>
      </c>
      <c r="D8" s="28" t="s">
        <v>14</v>
      </c>
      <c r="E8" s="29"/>
      <c r="F8" s="30" t="str">
        <f>IF(E8="","",MAX(0,ROUND(SUM(L8,O8,R8,U8,X8,AA8,AD8,AG8),2)))</f>
        <v/>
      </c>
      <c r="G8" s="330"/>
      <c r="H8" s="330"/>
      <c r="I8" s="330"/>
      <c r="J8" s="323"/>
      <c r="K8" s="61"/>
      <c r="L8" s="62"/>
      <c r="M8" s="60"/>
      <c r="N8" s="61"/>
      <c r="O8" s="62"/>
      <c r="P8" s="60"/>
      <c r="Q8" s="61"/>
      <c r="R8" s="62"/>
      <c r="S8" s="60"/>
      <c r="T8" s="61"/>
      <c r="U8" s="62"/>
      <c r="V8" s="60"/>
      <c r="W8" s="61"/>
      <c r="X8" s="62"/>
      <c r="Y8" s="60"/>
      <c r="Z8" s="61"/>
      <c r="AA8" s="62"/>
      <c r="AB8" s="60"/>
      <c r="AC8" s="61"/>
      <c r="AD8" s="62"/>
      <c r="AE8" s="60"/>
      <c r="AF8" s="61"/>
      <c r="AG8" s="62"/>
    </row>
    <row r="9" spans="1:33" ht="16" outlineLevel="1" x14ac:dyDescent="0.2">
      <c r="A9" s="3"/>
      <c r="C9" s="17" t="s">
        <v>15</v>
      </c>
      <c r="D9" s="22" t="s">
        <v>16</v>
      </c>
      <c r="E9" s="23" t="s">
        <v>188</v>
      </c>
      <c r="F9" s="63">
        <f t="shared" ref="F9:F72" si="0">IF(E9="","",MAX(0,ROUND(SUM(L9,O9,R9,U9,X9,AA9,AD9,AG9),2)))</f>
        <v>64.709999999999994</v>
      </c>
      <c r="G9" s="331">
        <f t="shared" ref="G9:G72" si="1">IF($E9="","",SUM(MAX($L9,0),MAX($O9,0),MAX($R9,0),MAX($U9,0),MAX($X9,0),MAX($AA9,0),MAX($AD9,0),MAX($AG9,0)))</f>
        <v>95.740000000000009</v>
      </c>
      <c r="H9" s="398">
        <v>645.33969999999999</v>
      </c>
      <c r="I9" s="399">
        <f>ROUND(H9*'INDEX ICOCIV'!$R$85,0)</f>
        <v>878</v>
      </c>
      <c r="J9" s="324">
        <v>460.1</v>
      </c>
      <c r="K9" s="24">
        <v>440.02251837288173</v>
      </c>
      <c r="L9" s="65">
        <f>+ROUND(J9-K9,2)</f>
        <v>20.079999999999998</v>
      </c>
      <c r="M9" s="64">
        <v>238.7</v>
      </c>
      <c r="N9" s="24">
        <v>252.89006704530962</v>
      </c>
      <c r="O9" s="65">
        <f>+ROUND(M9-N9,2)</f>
        <v>-14.19</v>
      </c>
      <c r="P9" s="64">
        <v>435.9</v>
      </c>
      <c r="Q9" s="24">
        <v>388.29937163326542</v>
      </c>
      <c r="R9" s="65">
        <f>+ROUND(P9-Q9,2)</f>
        <v>47.6</v>
      </c>
      <c r="S9" s="64">
        <v>388.3</v>
      </c>
      <c r="T9" s="24">
        <v>388.29937163326542</v>
      </c>
      <c r="U9" s="65">
        <f>+ROUND(S9-T9,2)</f>
        <v>0</v>
      </c>
      <c r="V9" s="64">
        <v>136.19999999999999</v>
      </c>
      <c r="W9" s="24">
        <v>110.94002120123712</v>
      </c>
      <c r="X9" s="65">
        <f>+ROUND(V9-W9,2)</f>
        <v>25.26</v>
      </c>
      <c r="Y9" s="64">
        <v>231.7</v>
      </c>
      <c r="Z9" s="24">
        <v>229.35982398107541</v>
      </c>
      <c r="AA9" s="65">
        <f>+ROUND(Y9-Z9,2)</f>
        <v>2.34</v>
      </c>
      <c r="AB9" s="64">
        <v>180.8</v>
      </c>
      <c r="AC9" s="24">
        <v>197.64009559616431</v>
      </c>
      <c r="AD9" s="65">
        <f>+ROUND(AB9-AC9,2)</f>
        <v>-16.84</v>
      </c>
      <c r="AE9" s="64">
        <v>266</v>
      </c>
      <c r="AF9" s="24">
        <v>265.54076868353212</v>
      </c>
      <c r="AG9" s="65">
        <f>+ROUND(AE9-AF9,2)</f>
        <v>0.46</v>
      </c>
    </row>
    <row r="10" spans="1:33" ht="56" outlineLevel="1" x14ac:dyDescent="0.2">
      <c r="A10" s="3"/>
      <c r="C10" s="17" t="s">
        <v>17</v>
      </c>
      <c r="D10" s="22" t="s">
        <v>608</v>
      </c>
      <c r="E10" s="23" t="s">
        <v>183</v>
      </c>
      <c r="F10" s="63">
        <f t="shared" si="0"/>
        <v>0</v>
      </c>
      <c r="G10" s="331">
        <f t="shared" si="1"/>
        <v>0</v>
      </c>
      <c r="H10" s="398">
        <v>25006.194199999998</v>
      </c>
      <c r="I10" s="399">
        <f>ROUND(H10*'INDEX ICOCIV'!$R$85,0)</f>
        <v>34008</v>
      </c>
      <c r="J10" s="324">
        <v>0</v>
      </c>
      <c r="K10" s="24">
        <v>0</v>
      </c>
      <c r="L10" s="65">
        <f t="shared" ref="L10:L73" si="2">+ROUND(J10-K10,2)</f>
        <v>0</v>
      </c>
      <c r="M10" s="64">
        <v>0</v>
      </c>
      <c r="N10" s="24">
        <v>0.37998585166550458</v>
      </c>
      <c r="O10" s="65">
        <f t="shared" ref="O10:O73" si="3">+ROUND(M10-N10,2)</f>
        <v>-0.38</v>
      </c>
      <c r="P10" s="64">
        <v>0</v>
      </c>
      <c r="Q10" s="24"/>
      <c r="R10" s="65">
        <f t="shared" ref="R10:R73" si="4">+ROUND(P10-Q10,2)</f>
        <v>0</v>
      </c>
      <c r="S10" s="64">
        <v>0</v>
      </c>
      <c r="T10" s="24"/>
      <c r="U10" s="65">
        <f t="shared" ref="U10:U73" si="5">+ROUND(S10-T10,2)</f>
        <v>0</v>
      </c>
      <c r="V10" s="64">
        <v>0</v>
      </c>
      <c r="W10" s="24"/>
      <c r="X10" s="65">
        <f t="shared" ref="X10:X73" si="6">+ROUND(V10-W10,2)</f>
        <v>0</v>
      </c>
      <c r="Y10" s="64">
        <v>0</v>
      </c>
      <c r="Z10" s="24"/>
      <c r="AA10" s="65">
        <f t="shared" ref="AA10:AA73" si="7">+ROUND(Y10-Z10,2)</f>
        <v>0</v>
      </c>
      <c r="AB10" s="64">
        <v>0</v>
      </c>
      <c r="AC10" s="24"/>
      <c r="AD10" s="65">
        <f t="shared" ref="AD10:AD73" si="8">+ROUND(AB10-AC10,2)</f>
        <v>0</v>
      </c>
      <c r="AE10" s="64">
        <v>0</v>
      </c>
      <c r="AF10" s="24"/>
      <c r="AG10" s="65">
        <f t="shared" ref="AG10:AG73" si="9">+ROUND(AE10-AF10,2)</f>
        <v>0</v>
      </c>
    </row>
    <row r="11" spans="1:33" ht="56" outlineLevel="1" x14ac:dyDescent="0.2">
      <c r="A11" s="3"/>
      <c r="C11" s="17" t="s">
        <v>18</v>
      </c>
      <c r="D11" s="22" t="s">
        <v>609</v>
      </c>
      <c r="E11" s="23" t="s">
        <v>183</v>
      </c>
      <c r="F11" s="63">
        <f t="shared" si="0"/>
        <v>34.25</v>
      </c>
      <c r="G11" s="331">
        <f t="shared" si="1"/>
        <v>43.02</v>
      </c>
      <c r="H11" s="398">
        <v>37629.1538</v>
      </c>
      <c r="I11" s="399">
        <f>ROUND(H11*'INDEX ICOCIV'!$R$85,0)</f>
        <v>51176</v>
      </c>
      <c r="J11" s="324">
        <v>0</v>
      </c>
      <c r="K11" s="24">
        <v>0</v>
      </c>
      <c r="L11" s="65">
        <f t="shared" si="2"/>
        <v>0</v>
      </c>
      <c r="M11" s="64">
        <v>0</v>
      </c>
      <c r="N11" s="24">
        <v>5.58</v>
      </c>
      <c r="O11" s="65">
        <f t="shared" si="3"/>
        <v>-5.58</v>
      </c>
      <c r="P11" s="64">
        <v>0</v>
      </c>
      <c r="Q11" s="24"/>
      <c r="R11" s="65">
        <f t="shared" si="4"/>
        <v>0</v>
      </c>
      <c r="S11" s="64">
        <v>0</v>
      </c>
      <c r="T11" s="24">
        <v>2.78</v>
      </c>
      <c r="U11" s="65">
        <f t="shared" si="5"/>
        <v>-2.78</v>
      </c>
      <c r="V11" s="64">
        <v>0</v>
      </c>
      <c r="W11" s="24"/>
      <c r="X11" s="65">
        <f t="shared" si="6"/>
        <v>0</v>
      </c>
      <c r="Y11" s="64">
        <v>0</v>
      </c>
      <c r="Z11" s="24">
        <v>0.407609484962694</v>
      </c>
      <c r="AA11" s="65">
        <f t="shared" si="7"/>
        <v>-0.41</v>
      </c>
      <c r="AB11" s="64">
        <v>0</v>
      </c>
      <c r="AC11" s="24"/>
      <c r="AD11" s="65">
        <f t="shared" si="8"/>
        <v>0</v>
      </c>
      <c r="AE11" s="64">
        <v>44</v>
      </c>
      <c r="AF11" s="24">
        <v>0.9755999349631933</v>
      </c>
      <c r="AG11" s="65">
        <f t="shared" si="9"/>
        <v>43.02</v>
      </c>
    </row>
    <row r="12" spans="1:33" ht="42" outlineLevel="1" x14ac:dyDescent="0.2">
      <c r="A12" s="3"/>
      <c r="C12" s="17" t="s">
        <v>19</v>
      </c>
      <c r="D12" s="22" t="s">
        <v>610</v>
      </c>
      <c r="E12" s="23" t="s">
        <v>611</v>
      </c>
      <c r="F12" s="63">
        <f t="shared" si="0"/>
        <v>0</v>
      </c>
      <c r="G12" s="331">
        <f t="shared" si="1"/>
        <v>0</v>
      </c>
      <c r="H12" s="398">
        <v>3999.5718999999999</v>
      </c>
      <c r="I12" s="399">
        <f>ROUND(H12*'INDEX ICOCIV'!$R$85,0)</f>
        <v>5439</v>
      </c>
      <c r="J12" s="324">
        <v>0</v>
      </c>
      <c r="K12" s="24">
        <v>0</v>
      </c>
      <c r="L12" s="65">
        <f t="shared" si="2"/>
        <v>0</v>
      </c>
      <c r="M12" s="64">
        <v>0</v>
      </c>
      <c r="N12" s="24"/>
      <c r="O12" s="65">
        <f t="shared" si="3"/>
        <v>0</v>
      </c>
      <c r="P12" s="64">
        <v>0</v>
      </c>
      <c r="Q12" s="24"/>
      <c r="R12" s="65">
        <f t="shared" si="4"/>
        <v>0</v>
      </c>
      <c r="S12" s="64">
        <v>0</v>
      </c>
      <c r="T12" s="24"/>
      <c r="U12" s="65">
        <f t="shared" si="5"/>
        <v>0</v>
      </c>
      <c r="V12" s="64">
        <v>0</v>
      </c>
      <c r="W12" s="24"/>
      <c r="X12" s="65">
        <f t="shared" si="6"/>
        <v>0</v>
      </c>
      <c r="Y12" s="64">
        <v>0</v>
      </c>
      <c r="Z12" s="24"/>
      <c r="AA12" s="65">
        <f t="shared" si="7"/>
        <v>0</v>
      </c>
      <c r="AB12" s="64">
        <v>0</v>
      </c>
      <c r="AC12" s="24"/>
      <c r="AD12" s="65">
        <f t="shared" si="8"/>
        <v>0</v>
      </c>
      <c r="AE12" s="64">
        <v>0</v>
      </c>
      <c r="AF12" s="24"/>
      <c r="AG12" s="65">
        <f t="shared" si="9"/>
        <v>0</v>
      </c>
    </row>
    <row r="13" spans="1:33" ht="16" outlineLevel="1" x14ac:dyDescent="0.2">
      <c r="A13" s="3"/>
      <c r="C13" s="17" t="s">
        <v>20</v>
      </c>
      <c r="D13" s="22" t="s">
        <v>612</v>
      </c>
      <c r="E13" s="23" t="s">
        <v>176</v>
      </c>
      <c r="F13" s="63">
        <f t="shared" si="0"/>
        <v>0</v>
      </c>
      <c r="G13" s="331">
        <f t="shared" si="1"/>
        <v>0</v>
      </c>
      <c r="H13" s="398">
        <v>123267.5539</v>
      </c>
      <c r="I13" s="399">
        <f>ROUND(H13*'INDEX ICOCIV'!$R$85,0)</f>
        <v>167644</v>
      </c>
      <c r="J13" s="324">
        <v>0</v>
      </c>
      <c r="K13" s="24">
        <v>0</v>
      </c>
      <c r="L13" s="65">
        <f t="shared" si="2"/>
        <v>0</v>
      </c>
      <c r="M13" s="64">
        <v>0</v>
      </c>
      <c r="N13" s="24"/>
      <c r="O13" s="65">
        <f t="shared" si="3"/>
        <v>0</v>
      </c>
      <c r="P13" s="64">
        <v>0</v>
      </c>
      <c r="Q13" s="24"/>
      <c r="R13" s="65">
        <f t="shared" si="4"/>
        <v>0</v>
      </c>
      <c r="S13" s="64">
        <v>0</v>
      </c>
      <c r="T13" s="24"/>
      <c r="U13" s="65">
        <f t="shared" si="5"/>
        <v>0</v>
      </c>
      <c r="V13" s="64">
        <v>0</v>
      </c>
      <c r="W13" s="24"/>
      <c r="X13" s="65">
        <f t="shared" si="6"/>
        <v>0</v>
      </c>
      <c r="Y13" s="64">
        <v>0</v>
      </c>
      <c r="Z13" s="24"/>
      <c r="AA13" s="65">
        <f t="shared" si="7"/>
        <v>0</v>
      </c>
      <c r="AB13" s="64">
        <v>0</v>
      </c>
      <c r="AC13" s="24"/>
      <c r="AD13" s="65">
        <f t="shared" si="8"/>
        <v>0</v>
      </c>
      <c r="AE13" s="64">
        <v>0</v>
      </c>
      <c r="AF13" s="24"/>
      <c r="AG13" s="65">
        <f t="shared" si="9"/>
        <v>0</v>
      </c>
    </row>
    <row r="14" spans="1:33" ht="42" outlineLevel="1" x14ac:dyDescent="0.2">
      <c r="A14" s="3"/>
      <c r="C14" s="17" t="s">
        <v>21</v>
      </c>
      <c r="D14" s="22" t="s">
        <v>22</v>
      </c>
      <c r="E14" s="23" t="s">
        <v>183</v>
      </c>
      <c r="F14" s="63">
        <f t="shared" si="0"/>
        <v>27.14</v>
      </c>
      <c r="G14" s="331">
        <f t="shared" si="1"/>
        <v>29.13</v>
      </c>
      <c r="H14" s="398">
        <v>189872.74789999999</v>
      </c>
      <c r="I14" s="399">
        <f>ROUND(H14*'INDEX ICOCIV'!$R$85,0)</f>
        <v>258227</v>
      </c>
      <c r="J14" s="324">
        <v>17</v>
      </c>
      <c r="K14" s="24">
        <v>2.23199985731075</v>
      </c>
      <c r="L14" s="65">
        <f t="shared" si="2"/>
        <v>14.77</v>
      </c>
      <c r="M14" s="64">
        <v>3</v>
      </c>
      <c r="N14" s="24">
        <v>1.63</v>
      </c>
      <c r="O14" s="65">
        <f t="shared" si="3"/>
        <v>1.37</v>
      </c>
      <c r="P14" s="64">
        <v>5</v>
      </c>
      <c r="Q14" s="24">
        <v>0.64000232441993332</v>
      </c>
      <c r="R14" s="65">
        <f t="shared" si="4"/>
        <v>4.3600000000000003</v>
      </c>
      <c r="S14" s="64">
        <v>6</v>
      </c>
      <c r="T14" s="24">
        <v>2.4120022175810094</v>
      </c>
      <c r="U14" s="65">
        <f t="shared" si="5"/>
        <v>3.59</v>
      </c>
      <c r="V14" s="64">
        <v>1</v>
      </c>
      <c r="W14" s="24">
        <v>0.71999800662283464</v>
      </c>
      <c r="X14" s="65">
        <f t="shared" si="6"/>
        <v>0.28000000000000003</v>
      </c>
      <c r="Y14" s="64">
        <v>1</v>
      </c>
      <c r="Z14" s="24">
        <v>2.9880012075182067</v>
      </c>
      <c r="AA14" s="65">
        <f t="shared" si="7"/>
        <v>-1.99</v>
      </c>
      <c r="AB14" s="64">
        <v>2</v>
      </c>
      <c r="AC14" s="24">
        <v>0.64000232441993332</v>
      </c>
      <c r="AD14" s="65">
        <f t="shared" si="8"/>
        <v>1.36</v>
      </c>
      <c r="AE14" s="64">
        <v>6</v>
      </c>
      <c r="AF14" s="24">
        <v>2.6040025373857247</v>
      </c>
      <c r="AG14" s="65">
        <f t="shared" si="9"/>
        <v>3.4</v>
      </c>
    </row>
    <row r="15" spans="1:33" ht="56" outlineLevel="1" x14ac:dyDescent="0.2">
      <c r="A15" s="3"/>
      <c r="C15" s="17" t="s">
        <v>23</v>
      </c>
      <c r="D15" s="22" t="s">
        <v>613</v>
      </c>
      <c r="E15" s="23" t="s">
        <v>188</v>
      </c>
      <c r="F15" s="63">
        <f t="shared" si="0"/>
        <v>829.66</v>
      </c>
      <c r="G15" s="331">
        <f t="shared" si="1"/>
        <v>830.14</v>
      </c>
      <c r="H15" s="398">
        <v>5232.7173000000003</v>
      </c>
      <c r="I15" s="399">
        <f>ROUND(H15*'INDEX ICOCIV'!$R$85,0)</f>
        <v>7116</v>
      </c>
      <c r="J15" s="324">
        <v>220</v>
      </c>
      <c r="K15" s="24">
        <v>10.229957117691033</v>
      </c>
      <c r="L15" s="65">
        <f t="shared" si="2"/>
        <v>209.77</v>
      </c>
      <c r="M15" s="64">
        <v>74</v>
      </c>
      <c r="N15" s="24"/>
      <c r="O15" s="65">
        <f t="shared" si="3"/>
        <v>74</v>
      </c>
      <c r="P15" s="64">
        <v>182</v>
      </c>
      <c r="Q15" s="24">
        <v>1.6299370883269386</v>
      </c>
      <c r="R15" s="65">
        <f t="shared" si="4"/>
        <v>180.37</v>
      </c>
      <c r="S15" s="64">
        <v>161</v>
      </c>
      <c r="T15" s="24"/>
      <c r="U15" s="65">
        <f t="shared" si="5"/>
        <v>161</v>
      </c>
      <c r="V15" s="64">
        <v>52</v>
      </c>
      <c r="W15" s="24">
        <v>18.000016931929419</v>
      </c>
      <c r="X15" s="65">
        <f t="shared" si="6"/>
        <v>34</v>
      </c>
      <c r="Y15" s="64">
        <v>109</v>
      </c>
      <c r="Z15" s="24"/>
      <c r="AA15" s="65">
        <f t="shared" si="7"/>
        <v>109</v>
      </c>
      <c r="AB15" s="64">
        <v>62</v>
      </c>
      <c r="AC15" s="24"/>
      <c r="AD15" s="65">
        <f t="shared" si="8"/>
        <v>62</v>
      </c>
      <c r="AE15" s="64">
        <v>0</v>
      </c>
      <c r="AF15" s="24">
        <v>0.48005650907225578</v>
      </c>
      <c r="AG15" s="65">
        <f t="shared" si="9"/>
        <v>-0.48</v>
      </c>
    </row>
    <row r="16" spans="1:33" ht="42" outlineLevel="1" x14ac:dyDescent="0.2">
      <c r="A16" s="3"/>
      <c r="C16" s="17" t="s">
        <v>24</v>
      </c>
      <c r="D16" s="22" t="s">
        <v>614</v>
      </c>
      <c r="E16" s="23" t="s">
        <v>183</v>
      </c>
      <c r="F16" s="63">
        <f t="shared" si="0"/>
        <v>0</v>
      </c>
      <c r="G16" s="331">
        <f t="shared" si="1"/>
        <v>1</v>
      </c>
      <c r="H16" s="398">
        <v>122712.3508</v>
      </c>
      <c r="I16" s="399">
        <f>ROUND(H16*'INDEX ICOCIV'!$R$85,0)</f>
        <v>166889</v>
      </c>
      <c r="J16" s="324">
        <v>0</v>
      </c>
      <c r="K16" s="24">
        <v>9.9199468681354611E-2</v>
      </c>
      <c r="L16" s="65">
        <f t="shared" si="2"/>
        <v>-0.1</v>
      </c>
      <c r="M16" s="64">
        <v>0</v>
      </c>
      <c r="N16" s="24">
        <v>2.1099995095196236</v>
      </c>
      <c r="O16" s="65">
        <f t="shared" si="3"/>
        <v>-2.11</v>
      </c>
      <c r="P16" s="64">
        <v>0</v>
      </c>
      <c r="Q16" s="24"/>
      <c r="R16" s="65">
        <f t="shared" si="4"/>
        <v>0</v>
      </c>
      <c r="S16" s="64">
        <v>0</v>
      </c>
      <c r="T16" s="24"/>
      <c r="U16" s="65">
        <f t="shared" si="5"/>
        <v>0</v>
      </c>
      <c r="V16" s="64">
        <v>0</v>
      </c>
      <c r="W16" s="24"/>
      <c r="X16" s="65">
        <f t="shared" si="6"/>
        <v>0</v>
      </c>
      <c r="Y16" s="64">
        <v>0</v>
      </c>
      <c r="Z16" s="24"/>
      <c r="AA16" s="65">
        <f t="shared" si="7"/>
        <v>0</v>
      </c>
      <c r="AB16" s="64">
        <v>0</v>
      </c>
      <c r="AC16" s="24"/>
      <c r="AD16" s="65">
        <f t="shared" si="8"/>
        <v>0</v>
      </c>
      <c r="AE16" s="64">
        <v>1</v>
      </c>
      <c r="AF16" s="24"/>
      <c r="AG16" s="65">
        <f t="shared" si="9"/>
        <v>1</v>
      </c>
    </row>
    <row r="17" spans="3:33" ht="28" outlineLevel="1" x14ac:dyDescent="0.2">
      <c r="C17" s="17" t="s">
        <v>25</v>
      </c>
      <c r="D17" s="22" t="s">
        <v>615</v>
      </c>
      <c r="E17" s="23" t="s">
        <v>183</v>
      </c>
      <c r="F17" s="63">
        <f t="shared" si="0"/>
        <v>763.22</v>
      </c>
      <c r="G17" s="331">
        <f>'CANTIDADES VALOR INICIAL'!H9</f>
        <v>645.33969999999999</v>
      </c>
      <c r="H17" s="398">
        <v>4852.0339999999997</v>
      </c>
      <c r="I17" s="399">
        <f>ROUND(H17*'INDEX ICOCIV'!$R$85,0)</f>
        <v>6599</v>
      </c>
      <c r="J17" s="324">
        <v>216</v>
      </c>
      <c r="K17" s="24">
        <v>0</v>
      </c>
      <c r="L17" s="65">
        <f t="shared" si="2"/>
        <v>216</v>
      </c>
      <c r="M17" s="64">
        <v>149</v>
      </c>
      <c r="N17" s="24">
        <v>263.33986942383342</v>
      </c>
      <c r="O17" s="65">
        <f t="shared" si="3"/>
        <v>-114.34</v>
      </c>
      <c r="P17" s="64">
        <v>228</v>
      </c>
      <c r="Q17" s="24"/>
      <c r="R17" s="65">
        <f t="shared" si="4"/>
        <v>228</v>
      </c>
      <c r="S17" s="64">
        <v>204</v>
      </c>
      <c r="T17" s="24"/>
      <c r="U17" s="65">
        <f t="shared" si="5"/>
        <v>204</v>
      </c>
      <c r="V17" s="64">
        <v>76</v>
      </c>
      <c r="W17" s="24">
        <v>6.4599712203170885</v>
      </c>
      <c r="X17" s="65">
        <f t="shared" si="6"/>
        <v>69.540000000000006</v>
      </c>
      <c r="Y17" s="64">
        <v>110</v>
      </c>
      <c r="Z17" s="24">
        <v>139.07981683557867</v>
      </c>
      <c r="AA17" s="65">
        <f t="shared" si="7"/>
        <v>-29.08</v>
      </c>
      <c r="AB17" s="64">
        <v>107</v>
      </c>
      <c r="AC17" s="24">
        <v>108.90443059549872</v>
      </c>
      <c r="AD17" s="65">
        <f t="shared" si="8"/>
        <v>-1.9</v>
      </c>
      <c r="AE17" s="64">
        <v>191</v>
      </c>
      <c r="AF17" s="24"/>
      <c r="AG17" s="65">
        <f t="shared" si="9"/>
        <v>191</v>
      </c>
    </row>
    <row r="18" spans="3:33" ht="28" outlineLevel="1" x14ac:dyDescent="0.2">
      <c r="C18" s="17" t="s">
        <v>26</v>
      </c>
      <c r="D18" s="22" t="s">
        <v>27</v>
      </c>
      <c r="E18" s="23" t="s">
        <v>183</v>
      </c>
      <c r="F18" s="63">
        <f t="shared" si="0"/>
        <v>0</v>
      </c>
      <c r="G18" s="331">
        <f t="shared" si="1"/>
        <v>95.83</v>
      </c>
      <c r="H18" s="398">
        <v>58604.132400000002</v>
      </c>
      <c r="I18" s="399">
        <f>ROUND(H18*'INDEX ICOCIV'!$R$85,0)</f>
        <v>79702</v>
      </c>
      <c r="J18" s="324">
        <v>198</v>
      </c>
      <c r="K18" s="24">
        <v>283.48728979139366</v>
      </c>
      <c r="L18" s="65">
        <f t="shared" si="2"/>
        <v>-85.49</v>
      </c>
      <c r="M18" s="64">
        <v>66</v>
      </c>
      <c r="N18" s="24">
        <v>208.61098222568347</v>
      </c>
      <c r="O18" s="65">
        <f t="shared" si="3"/>
        <v>-142.61000000000001</v>
      </c>
      <c r="P18" s="64">
        <v>164</v>
      </c>
      <c r="Q18" s="24">
        <v>68.168981203107109</v>
      </c>
      <c r="R18" s="65">
        <f t="shared" si="4"/>
        <v>95.83</v>
      </c>
      <c r="S18" s="64">
        <v>145</v>
      </c>
      <c r="T18" s="24">
        <v>166.14167979731067</v>
      </c>
      <c r="U18" s="65">
        <f t="shared" si="5"/>
        <v>-21.14</v>
      </c>
      <c r="V18" s="64">
        <v>47</v>
      </c>
      <c r="W18" s="24">
        <v>65.269987684349715</v>
      </c>
      <c r="X18" s="65">
        <f t="shared" si="6"/>
        <v>-18.27</v>
      </c>
      <c r="Y18" s="64">
        <v>98</v>
      </c>
      <c r="Z18" s="24">
        <v>203.61521468407577</v>
      </c>
      <c r="AA18" s="65">
        <f t="shared" si="7"/>
        <v>-105.62</v>
      </c>
      <c r="AB18" s="64">
        <v>56</v>
      </c>
      <c r="AC18" s="24">
        <v>97.720549139978402</v>
      </c>
      <c r="AD18" s="65">
        <f t="shared" si="8"/>
        <v>-41.72</v>
      </c>
      <c r="AE18" s="64">
        <v>0</v>
      </c>
      <c r="AF18" s="24">
        <v>94.121923133871022</v>
      </c>
      <c r="AG18" s="65">
        <f t="shared" si="9"/>
        <v>-94.12</v>
      </c>
    </row>
    <row r="19" spans="3:33" ht="28" outlineLevel="1" x14ac:dyDescent="0.2">
      <c r="C19" s="17" t="s">
        <v>28</v>
      </c>
      <c r="D19" s="22" t="s">
        <v>616</v>
      </c>
      <c r="E19" s="23" t="s">
        <v>183</v>
      </c>
      <c r="F19" s="63">
        <f t="shared" si="0"/>
        <v>0</v>
      </c>
      <c r="G19" s="331">
        <f t="shared" si="1"/>
        <v>0</v>
      </c>
      <c r="H19" s="398">
        <v>75381.046799999996</v>
      </c>
      <c r="I19" s="399">
        <f>ROUND(H19*'INDEX ICOCIV'!$R$85,0)</f>
        <v>102518</v>
      </c>
      <c r="J19" s="324">
        <v>0</v>
      </c>
      <c r="K19" s="24">
        <v>0</v>
      </c>
      <c r="L19" s="65">
        <f t="shared" si="2"/>
        <v>0</v>
      </c>
      <c r="M19" s="64">
        <v>0</v>
      </c>
      <c r="N19" s="24"/>
      <c r="O19" s="65">
        <f t="shared" si="3"/>
        <v>0</v>
      </c>
      <c r="P19" s="64">
        <v>0</v>
      </c>
      <c r="Q19" s="24"/>
      <c r="R19" s="65">
        <f t="shared" si="4"/>
        <v>0</v>
      </c>
      <c r="S19" s="64">
        <v>0</v>
      </c>
      <c r="T19" s="24"/>
      <c r="U19" s="65">
        <f t="shared" si="5"/>
        <v>0</v>
      </c>
      <c r="V19" s="64">
        <v>0</v>
      </c>
      <c r="W19" s="24"/>
      <c r="X19" s="65">
        <f t="shared" si="6"/>
        <v>0</v>
      </c>
      <c r="Y19" s="64">
        <v>0</v>
      </c>
      <c r="Z19" s="24"/>
      <c r="AA19" s="65">
        <f t="shared" si="7"/>
        <v>0</v>
      </c>
      <c r="AB19" s="64">
        <v>0</v>
      </c>
      <c r="AC19" s="24"/>
      <c r="AD19" s="65">
        <f t="shared" si="8"/>
        <v>0</v>
      </c>
      <c r="AE19" s="64">
        <v>0</v>
      </c>
      <c r="AF19" s="24"/>
      <c r="AG19" s="65">
        <f t="shared" si="9"/>
        <v>0</v>
      </c>
    </row>
    <row r="20" spans="3:33" ht="28" outlineLevel="1" x14ac:dyDescent="0.2">
      <c r="C20" s="17" t="s">
        <v>29</v>
      </c>
      <c r="D20" s="22" t="s">
        <v>617</v>
      </c>
      <c r="E20" s="23" t="s">
        <v>176</v>
      </c>
      <c r="F20" s="63">
        <f t="shared" si="0"/>
        <v>0</v>
      </c>
      <c r="G20" s="331">
        <f t="shared" si="1"/>
        <v>0</v>
      </c>
      <c r="H20" s="398">
        <v>131088.34229999999</v>
      </c>
      <c r="I20" s="399">
        <f>ROUND(H20*'INDEX ICOCIV'!$R$85,0)</f>
        <v>178280</v>
      </c>
      <c r="J20" s="324">
        <v>0</v>
      </c>
      <c r="K20" s="24">
        <v>0</v>
      </c>
      <c r="L20" s="65">
        <f t="shared" si="2"/>
        <v>0</v>
      </c>
      <c r="M20" s="64">
        <v>0</v>
      </c>
      <c r="N20" s="24"/>
      <c r="O20" s="65">
        <f t="shared" si="3"/>
        <v>0</v>
      </c>
      <c r="P20" s="64">
        <v>0</v>
      </c>
      <c r="Q20" s="24"/>
      <c r="R20" s="65">
        <f t="shared" si="4"/>
        <v>0</v>
      </c>
      <c r="S20" s="64">
        <v>0</v>
      </c>
      <c r="T20" s="24"/>
      <c r="U20" s="65">
        <f t="shared" si="5"/>
        <v>0</v>
      </c>
      <c r="V20" s="64">
        <v>0</v>
      </c>
      <c r="W20" s="24"/>
      <c r="X20" s="65">
        <f t="shared" si="6"/>
        <v>0</v>
      </c>
      <c r="Y20" s="64">
        <v>0</v>
      </c>
      <c r="Z20" s="24"/>
      <c r="AA20" s="65">
        <f t="shared" si="7"/>
        <v>0</v>
      </c>
      <c r="AB20" s="64">
        <v>0</v>
      </c>
      <c r="AC20" s="24"/>
      <c r="AD20" s="65">
        <f t="shared" si="8"/>
        <v>0</v>
      </c>
      <c r="AE20" s="64">
        <v>0</v>
      </c>
      <c r="AF20" s="24"/>
      <c r="AG20" s="65">
        <f t="shared" si="9"/>
        <v>0</v>
      </c>
    </row>
    <row r="21" spans="3:33" ht="56" outlineLevel="1" x14ac:dyDescent="0.2">
      <c r="C21" s="17" t="s">
        <v>30</v>
      </c>
      <c r="D21" s="22" t="s">
        <v>618</v>
      </c>
      <c r="E21" s="23" t="s">
        <v>183</v>
      </c>
      <c r="F21" s="63">
        <f t="shared" si="0"/>
        <v>1241.49</v>
      </c>
      <c r="G21" s="331">
        <f t="shared" si="1"/>
        <v>1450.13</v>
      </c>
      <c r="H21" s="398">
        <v>23862.226500000001</v>
      </c>
      <c r="I21" s="399">
        <f>ROUND(H21*'INDEX ICOCIV'!$R$85,0)</f>
        <v>32453</v>
      </c>
      <c r="J21" s="324">
        <v>328</v>
      </c>
      <c r="K21" s="24">
        <v>0</v>
      </c>
      <c r="L21" s="65">
        <f t="shared" si="2"/>
        <v>328</v>
      </c>
      <c r="M21" s="64">
        <v>206</v>
      </c>
      <c r="N21" s="24">
        <v>366.78751050598737</v>
      </c>
      <c r="O21" s="65">
        <f t="shared" si="3"/>
        <v>-160.79</v>
      </c>
      <c r="P21" s="64">
        <v>323</v>
      </c>
      <c r="Q21" s="24">
        <v>15.812061795658506</v>
      </c>
      <c r="R21" s="65">
        <f t="shared" si="4"/>
        <v>307.19</v>
      </c>
      <c r="S21" s="64">
        <v>291</v>
      </c>
      <c r="T21" s="24"/>
      <c r="U21" s="65">
        <f t="shared" si="5"/>
        <v>291</v>
      </c>
      <c r="V21" s="64">
        <v>106</v>
      </c>
      <c r="W21" s="24">
        <v>14.99998334187298</v>
      </c>
      <c r="X21" s="65">
        <f t="shared" si="6"/>
        <v>91</v>
      </c>
      <c r="Y21" s="64">
        <v>156</v>
      </c>
      <c r="Z21" s="24">
        <v>203.85000536307876</v>
      </c>
      <c r="AA21" s="65">
        <f t="shared" si="7"/>
        <v>-47.85</v>
      </c>
      <c r="AB21" s="64">
        <v>148</v>
      </c>
      <c r="AC21" s="24">
        <v>110.06001472662243</v>
      </c>
      <c r="AD21" s="65">
        <f t="shared" si="8"/>
        <v>37.94</v>
      </c>
      <c r="AE21" s="64">
        <v>395</v>
      </c>
      <c r="AF21" s="24"/>
      <c r="AG21" s="65">
        <f t="shared" si="9"/>
        <v>395</v>
      </c>
    </row>
    <row r="22" spans="3:33" ht="21" customHeight="1" x14ac:dyDescent="0.2">
      <c r="C22" s="27">
        <v>2</v>
      </c>
      <c r="D22" s="28" t="s">
        <v>31</v>
      </c>
      <c r="E22" s="29"/>
      <c r="F22" s="30" t="str">
        <f t="shared" si="0"/>
        <v/>
      </c>
      <c r="G22" s="330"/>
      <c r="H22" s="400"/>
      <c r="I22" s="400"/>
      <c r="J22" s="325"/>
      <c r="K22" s="14"/>
      <c r="L22" s="67"/>
      <c r="M22" s="66"/>
      <c r="N22" s="14"/>
      <c r="O22" s="67"/>
      <c r="P22" s="66"/>
      <c r="Q22" s="14"/>
      <c r="R22" s="67"/>
      <c r="S22" s="66"/>
      <c r="T22" s="14"/>
      <c r="U22" s="67"/>
      <c r="V22" s="66"/>
      <c r="W22" s="14"/>
      <c r="X22" s="67"/>
      <c r="Y22" s="66"/>
      <c r="Z22" s="14"/>
      <c r="AA22" s="67"/>
      <c r="AB22" s="66"/>
      <c r="AC22" s="14"/>
      <c r="AD22" s="67"/>
      <c r="AE22" s="66"/>
      <c r="AF22" s="14"/>
      <c r="AG22" s="67"/>
    </row>
    <row r="23" spans="3:33" ht="16" outlineLevel="1" x14ac:dyDescent="0.2">
      <c r="C23" s="17" t="s">
        <v>32</v>
      </c>
      <c r="D23" s="22" t="s">
        <v>33</v>
      </c>
      <c r="E23" s="23" t="s">
        <v>188</v>
      </c>
      <c r="F23" s="63">
        <f t="shared" si="0"/>
        <v>2002.37</v>
      </c>
      <c r="G23" s="331">
        <f t="shared" si="1"/>
        <v>2002.3700000000001</v>
      </c>
      <c r="H23" s="398">
        <v>1128.6252999999999</v>
      </c>
      <c r="I23" s="399">
        <f>ROUND(H23*'INDEX ICOCIV'!$R$85,0)</f>
        <v>1535</v>
      </c>
      <c r="J23" s="324">
        <v>460</v>
      </c>
      <c r="K23" s="24"/>
      <c r="L23" s="65">
        <f t="shared" si="2"/>
        <v>460</v>
      </c>
      <c r="M23" s="64">
        <v>239</v>
      </c>
      <c r="N23" s="24">
        <v>164.7953256142672</v>
      </c>
      <c r="O23" s="65">
        <f t="shared" si="3"/>
        <v>74.2</v>
      </c>
      <c r="P23" s="64">
        <v>436</v>
      </c>
      <c r="Q23" s="24"/>
      <c r="R23" s="65">
        <f t="shared" si="4"/>
        <v>436</v>
      </c>
      <c r="S23" s="64">
        <v>388</v>
      </c>
      <c r="T23" s="24"/>
      <c r="U23" s="65">
        <f t="shared" si="5"/>
        <v>388</v>
      </c>
      <c r="V23" s="64">
        <v>136</v>
      </c>
      <c r="W23" s="24">
        <v>89.999754568677488</v>
      </c>
      <c r="X23" s="65">
        <f t="shared" si="6"/>
        <v>46</v>
      </c>
      <c r="Y23" s="64">
        <v>232</v>
      </c>
      <c r="Z23" s="24"/>
      <c r="AA23" s="65">
        <f t="shared" si="7"/>
        <v>232</v>
      </c>
      <c r="AB23" s="64">
        <v>181</v>
      </c>
      <c r="AC23" s="24">
        <v>80.831964337499798</v>
      </c>
      <c r="AD23" s="65">
        <f t="shared" si="8"/>
        <v>100.17</v>
      </c>
      <c r="AE23" s="64">
        <v>266</v>
      </c>
      <c r="AF23" s="24"/>
      <c r="AG23" s="65">
        <f t="shared" si="9"/>
        <v>266</v>
      </c>
    </row>
    <row r="24" spans="3:33" ht="42" outlineLevel="1" x14ac:dyDescent="0.2">
      <c r="C24" s="17" t="s">
        <v>34</v>
      </c>
      <c r="D24" s="22" t="s">
        <v>35</v>
      </c>
      <c r="E24" s="23" t="s">
        <v>183</v>
      </c>
      <c r="F24" s="63">
        <f t="shared" si="0"/>
        <v>601.29</v>
      </c>
      <c r="G24" s="331">
        <f t="shared" si="1"/>
        <v>601.29000000000008</v>
      </c>
      <c r="H24" s="398">
        <v>82634.166400000002</v>
      </c>
      <c r="I24" s="399">
        <f>ROUND(H24*'INDEX ICOCIV'!$R$85,0)</f>
        <v>112382</v>
      </c>
      <c r="J24" s="324">
        <v>138</v>
      </c>
      <c r="K24" s="24"/>
      <c r="L24" s="65">
        <f t="shared" si="2"/>
        <v>138</v>
      </c>
      <c r="M24" s="64">
        <v>72</v>
      </c>
      <c r="N24" s="24">
        <v>55.790004258577468</v>
      </c>
      <c r="O24" s="65">
        <f t="shared" si="3"/>
        <v>16.21</v>
      </c>
      <c r="P24" s="64">
        <v>131</v>
      </c>
      <c r="Q24" s="24"/>
      <c r="R24" s="65">
        <f t="shared" si="4"/>
        <v>131</v>
      </c>
      <c r="S24" s="64">
        <v>194</v>
      </c>
      <c r="T24" s="24"/>
      <c r="U24" s="65">
        <f t="shared" si="5"/>
        <v>194</v>
      </c>
      <c r="V24" s="64">
        <v>41</v>
      </c>
      <c r="W24" s="24">
        <v>18.000000058087352</v>
      </c>
      <c r="X24" s="65">
        <f t="shared" si="6"/>
        <v>23</v>
      </c>
      <c r="Y24" s="64">
        <v>70</v>
      </c>
      <c r="Z24" s="24">
        <v>63.439993750575304</v>
      </c>
      <c r="AA24" s="65">
        <f t="shared" si="7"/>
        <v>6.56</v>
      </c>
      <c r="AB24" s="64">
        <v>54</v>
      </c>
      <c r="AC24" s="24">
        <v>41.479997310168301</v>
      </c>
      <c r="AD24" s="65">
        <f t="shared" si="8"/>
        <v>12.52</v>
      </c>
      <c r="AE24" s="64">
        <v>80</v>
      </c>
      <c r="AF24" s="24"/>
      <c r="AG24" s="65">
        <f t="shared" si="9"/>
        <v>80</v>
      </c>
    </row>
    <row r="25" spans="3:33" ht="42" outlineLevel="1" x14ac:dyDescent="0.2">
      <c r="C25" s="17" t="s">
        <v>36</v>
      </c>
      <c r="D25" s="22" t="s">
        <v>619</v>
      </c>
      <c r="E25" s="23" t="s">
        <v>183</v>
      </c>
      <c r="F25" s="63">
        <f t="shared" si="0"/>
        <v>0</v>
      </c>
      <c r="G25" s="331">
        <f t="shared" si="1"/>
        <v>0</v>
      </c>
      <c r="H25" s="398">
        <v>112129.9304</v>
      </c>
      <c r="I25" s="399">
        <f>ROUND(H25*'INDEX ICOCIV'!$R$85,0)</f>
        <v>152497</v>
      </c>
      <c r="J25" s="324">
        <v>0</v>
      </c>
      <c r="K25" s="24"/>
      <c r="L25" s="65">
        <f t="shared" si="2"/>
        <v>0</v>
      </c>
      <c r="M25" s="64">
        <v>0</v>
      </c>
      <c r="N25" s="24"/>
      <c r="O25" s="65">
        <f t="shared" si="3"/>
        <v>0</v>
      </c>
      <c r="P25" s="64">
        <v>0</v>
      </c>
      <c r="Q25" s="24"/>
      <c r="R25" s="65">
        <f t="shared" si="4"/>
        <v>0</v>
      </c>
      <c r="S25" s="64">
        <v>0</v>
      </c>
      <c r="T25" s="24"/>
      <c r="U25" s="65">
        <f t="shared" si="5"/>
        <v>0</v>
      </c>
      <c r="V25" s="64">
        <v>0</v>
      </c>
      <c r="W25" s="24"/>
      <c r="X25" s="65">
        <f t="shared" si="6"/>
        <v>0</v>
      </c>
      <c r="Y25" s="64">
        <v>0</v>
      </c>
      <c r="Z25" s="24"/>
      <c r="AA25" s="65">
        <f t="shared" si="7"/>
        <v>0</v>
      </c>
      <c r="AB25" s="64">
        <v>0</v>
      </c>
      <c r="AC25" s="24"/>
      <c r="AD25" s="65">
        <f t="shared" si="8"/>
        <v>0</v>
      </c>
      <c r="AE25" s="64">
        <v>0</v>
      </c>
      <c r="AF25" s="24"/>
      <c r="AG25" s="65">
        <f t="shared" si="9"/>
        <v>0</v>
      </c>
    </row>
    <row r="26" spans="3:33" ht="42" outlineLevel="1" x14ac:dyDescent="0.2">
      <c r="C26" s="17" t="s">
        <v>37</v>
      </c>
      <c r="D26" s="22" t="s">
        <v>620</v>
      </c>
      <c r="E26" s="23" t="s">
        <v>183</v>
      </c>
      <c r="F26" s="63">
        <f t="shared" si="0"/>
        <v>371.59</v>
      </c>
      <c r="G26" s="331">
        <f t="shared" si="1"/>
        <v>382.35</v>
      </c>
      <c r="H26" s="398">
        <v>120001.5405</v>
      </c>
      <c r="I26" s="399">
        <f>ROUND(H26*'INDEX ICOCIV'!$R$85,0)</f>
        <v>163202</v>
      </c>
      <c r="J26" s="324">
        <v>144</v>
      </c>
      <c r="K26" s="24">
        <v>49.795001473626911</v>
      </c>
      <c r="L26" s="65">
        <f t="shared" si="2"/>
        <v>94.2</v>
      </c>
      <c r="M26" s="64">
        <v>72</v>
      </c>
      <c r="N26" s="24">
        <v>66.38619960299593</v>
      </c>
      <c r="O26" s="65">
        <f t="shared" si="3"/>
        <v>5.61</v>
      </c>
      <c r="P26" s="64">
        <v>136</v>
      </c>
      <c r="Q26" s="24"/>
      <c r="R26" s="65">
        <f t="shared" si="4"/>
        <v>136</v>
      </c>
      <c r="S26" s="64">
        <v>195</v>
      </c>
      <c r="T26" s="24">
        <v>57.974697416488581</v>
      </c>
      <c r="U26" s="65">
        <f t="shared" si="5"/>
        <v>137.03</v>
      </c>
      <c r="V26" s="64">
        <v>30</v>
      </c>
      <c r="W26" s="24">
        <v>30.099996924622811</v>
      </c>
      <c r="X26" s="65">
        <f t="shared" si="6"/>
        <v>-0.1</v>
      </c>
      <c r="Y26" s="64">
        <v>70</v>
      </c>
      <c r="Z26" s="24">
        <v>63.890996465999535</v>
      </c>
      <c r="AA26" s="65">
        <f t="shared" si="7"/>
        <v>6.11</v>
      </c>
      <c r="AB26" s="64">
        <v>55</v>
      </c>
      <c r="AC26" s="24">
        <v>65.65599880778197</v>
      </c>
      <c r="AD26" s="65">
        <f t="shared" si="8"/>
        <v>-10.66</v>
      </c>
      <c r="AE26" s="64">
        <v>66</v>
      </c>
      <c r="AF26" s="24">
        <v>62.604496314778558</v>
      </c>
      <c r="AG26" s="65">
        <f t="shared" si="9"/>
        <v>3.4</v>
      </c>
    </row>
    <row r="27" spans="3:33" ht="28" outlineLevel="1" x14ac:dyDescent="0.2">
      <c r="C27" s="17" t="s">
        <v>38</v>
      </c>
      <c r="D27" s="22" t="s">
        <v>621</v>
      </c>
      <c r="E27" s="23" t="s">
        <v>188</v>
      </c>
      <c r="F27" s="63">
        <f t="shared" si="0"/>
        <v>0</v>
      </c>
      <c r="G27" s="331">
        <f t="shared" si="1"/>
        <v>49</v>
      </c>
      <c r="H27" s="398">
        <v>2246.7026999999998</v>
      </c>
      <c r="I27" s="399">
        <f>ROUND(H27*'INDEX ICOCIV'!$R$85,0)</f>
        <v>3056</v>
      </c>
      <c r="J27" s="324">
        <v>0</v>
      </c>
      <c r="K27" s="24"/>
      <c r="L27" s="65">
        <f t="shared" si="2"/>
        <v>0</v>
      </c>
      <c r="M27" s="64">
        <v>0</v>
      </c>
      <c r="N27" s="24">
        <v>90.670207500084459</v>
      </c>
      <c r="O27" s="65">
        <f t="shared" si="3"/>
        <v>-90.67</v>
      </c>
      <c r="P27" s="64">
        <v>0</v>
      </c>
      <c r="Q27" s="24"/>
      <c r="R27" s="65">
        <f t="shared" si="4"/>
        <v>0</v>
      </c>
      <c r="S27" s="64">
        <v>0</v>
      </c>
      <c r="T27" s="24"/>
      <c r="U27" s="65">
        <f t="shared" si="5"/>
        <v>0</v>
      </c>
      <c r="V27" s="64">
        <v>0</v>
      </c>
      <c r="W27" s="24"/>
      <c r="X27" s="65">
        <f t="shared" si="6"/>
        <v>0</v>
      </c>
      <c r="Y27" s="64">
        <v>0</v>
      </c>
      <c r="Z27" s="24">
        <v>75.600122793282807</v>
      </c>
      <c r="AA27" s="65">
        <f t="shared" si="7"/>
        <v>-75.599999999999994</v>
      </c>
      <c r="AB27" s="64">
        <v>0</v>
      </c>
      <c r="AC27" s="24">
        <v>83.999988071407941</v>
      </c>
      <c r="AD27" s="65">
        <f t="shared" si="8"/>
        <v>-84</v>
      </c>
      <c r="AE27" s="64">
        <v>49</v>
      </c>
      <c r="AF27" s="24"/>
      <c r="AG27" s="65">
        <f t="shared" si="9"/>
        <v>49</v>
      </c>
    </row>
    <row r="28" spans="3:33" ht="70" outlineLevel="1" x14ac:dyDescent="0.2">
      <c r="C28" s="17" t="s">
        <v>39</v>
      </c>
      <c r="D28" s="22" t="s">
        <v>622</v>
      </c>
      <c r="E28" s="23" t="s">
        <v>183</v>
      </c>
      <c r="F28" s="63">
        <f t="shared" si="0"/>
        <v>14.8</v>
      </c>
      <c r="G28" s="331">
        <f t="shared" si="1"/>
        <v>15.35</v>
      </c>
      <c r="H28" s="398">
        <v>597338.12490000005</v>
      </c>
      <c r="I28" s="399">
        <f>ROUND(H28*'INDEX ICOCIV'!$R$85,0)</f>
        <v>812380</v>
      </c>
      <c r="J28" s="324">
        <v>3.5</v>
      </c>
      <c r="K28" s="24"/>
      <c r="L28" s="65">
        <f t="shared" si="2"/>
        <v>3.5</v>
      </c>
      <c r="M28" s="64">
        <v>4.8</v>
      </c>
      <c r="N28" s="24">
        <v>3.6299993414332956</v>
      </c>
      <c r="O28" s="65">
        <f t="shared" si="3"/>
        <v>1.17</v>
      </c>
      <c r="P28" s="64">
        <v>6.3</v>
      </c>
      <c r="Q28" s="24"/>
      <c r="R28" s="65">
        <f t="shared" si="4"/>
        <v>6.3</v>
      </c>
      <c r="S28" s="64">
        <v>0</v>
      </c>
      <c r="T28" s="24"/>
      <c r="U28" s="65">
        <f t="shared" si="5"/>
        <v>0</v>
      </c>
      <c r="V28" s="64">
        <v>2.4</v>
      </c>
      <c r="W28" s="24"/>
      <c r="X28" s="65">
        <f t="shared" si="6"/>
        <v>2.4</v>
      </c>
      <c r="Y28" s="64">
        <v>3.1</v>
      </c>
      <c r="Z28" s="24">
        <v>3.0199997703176904</v>
      </c>
      <c r="AA28" s="65">
        <f t="shared" si="7"/>
        <v>0.08</v>
      </c>
      <c r="AB28" s="64">
        <v>2.4</v>
      </c>
      <c r="AC28" s="24">
        <v>2.9519997577506039</v>
      </c>
      <c r="AD28" s="65">
        <f t="shared" si="8"/>
        <v>-0.55000000000000004</v>
      </c>
      <c r="AE28" s="64">
        <v>1.9</v>
      </c>
      <c r="AF28" s="24"/>
      <c r="AG28" s="65">
        <f t="shared" si="9"/>
        <v>1.9</v>
      </c>
    </row>
    <row r="29" spans="3:33" ht="42" outlineLevel="1" x14ac:dyDescent="0.2">
      <c r="C29" s="17" t="s">
        <v>40</v>
      </c>
      <c r="D29" s="22" t="s">
        <v>623</v>
      </c>
      <c r="E29" s="23" t="s">
        <v>183</v>
      </c>
      <c r="F29" s="63">
        <f t="shared" si="0"/>
        <v>305.07</v>
      </c>
      <c r="G29" s="331">
        <f t="shared" si="1"/>
        <v>305.07000000000005</v>
      </c>
      <c r="H29" s="398">
        <v>494529.66139999998</v>
      </c>
      <c r="I29" s="399">
        <f>ROUND(H29*'INDEX ICOCIV'!$R$85,0)</f>
        <v>672560</v>
      </c>
      <c r="J29" s="324">
        <v>61.8</v>
      </c>
      <c r="K29" s="24"/>
      <c r="L29" s="65">
        <f t="shared" si="2"/>
        <v>61.8</v>
      </c>
      <c r="M29" s="64">
        <v>38.6</v>
      </c>
      <c r="N29" s="24">
        <v>11.730000145143974</v>
      </c>
      <c r="O29" s="65">
        <f t="shared" si="3"/>
        <v>26.87</v>
      </c>
      <c r="P29" s="64">
        <v>67.8</v>
      </c>
      <c r="Q29" s="24"/>
      <c r="R29" s="65">
        <f t="shared" si="4"/>
        <v>67.8</v>
      </c>
      <c r="S29" s="64">
        <v>77.7</v>
      </c>
      <c r="T29" s="24"/>
      <c r="U29" s="65">
        <f t="shared" si="5"/>
        <v>77.7</v>
      </c>
      <c r="V29" s="64">
        <v>22.5</v>
      </c>
      <c r="W29" s="24"/>
      <c r="X29" s="65">
        <f t="shared" si="6"/>
        <v>22.5</v>
      </c>
      <c r="Y29" s="64">
        <v>37.200000000000003</v>
      </c>
      <c r="Z29" s="24">
        <v>19.694001715546037</v>
      </c>
      <c r="AA29" s="65">
        <f t="shared" si="7"/>
        <v>17.510000000000002</v>
      </c>
      <c r="AB29" s="64">
        <v>24.6</v>
      </c>
      <c r="AC29" s="24">
        <v>12.311999613457361</v>
      </c>
      <c r="AD29" s="65">
        <f t="shared" si="8"/>
        <v>12.29</v>
      </c>
      <c r="AE29" s="64">
        <v>18.600000000000001</v>
      </c>
      <c r="AF29" s="24"/>
      <c r="AG29" s="65">
        <f t="shared" si="9"/>
        <v>18.600000000000001</v>
      </c>
    </row>
    <row r="30" spans="3:33" ht="28" outlineLevel="1" x14ac:dyDescent="0.2">
      <c r="C30" s="17" t="s">
        <v>41</v>
      </c>
      <c r="D30" s="22" t="s">
        <v>624</v>
      </c>
      <c r="E30" s="23" t="s">
        <v>188</v>
      </c>
      <c r="F30" s="63">
        <f t="shared" si="0"/>
        <v>773.23</v>
      </c>
      <c r="G30" s="331">
        <f t="shared" si="1"/>
        <v>945.06</v>
      </c>
      <c r="H30" s="398">
        <v>1498.7607</v>
      </c>
      <c r="I30" s="399">
        <f>ROUND(H30*'INDEX ICOCIV'!$R$85,0)</f>
        <v>2038</v>
      </c>
      <c r="J30" s="324">
        <v>309</v>
      </c>
      <c r="K30" s="24">
        <v>129.50032650309018</v>
      </c>
      <c r="L30" s="65">
        <f t="shared" si="2"/>
        <v>179.5</v>
      </c>
      <c r="M30" s="64">
        <v>193</v>
      </c>
      <c r="N30" s="24">
        <v>158.29144706022782</v>
      </c>
      <c r="O30" s="65">
        <f t="shared" si="3"/>
        <v>34.71</v>
      </c>
      <c r="P30" s="64">
        <v>339</v>
      </c>
      <c r="Q30" s="24"/>
      <c r="R30" s="65">
        <f t="shared" si="4"/>
        <v>339</v>
      </c>
      <c r="S30" s="64">
        <v>388</v>
      </c>
      <c r="T30" s="24">
        <v>116.75045922941534</v>
      </c>
      <c r="U30" s="65">
        <f t="shared" si="5"/>
        <v>271.25</v>
      </c>
      <c r="V30" s="64">
        <v>113</v>
      </c>
      <c r="W30" s="24">
        <v>16.703800680121915</v>
      </c>
      <c r="X30" s="65">
        <f t="shared" si="6"/>
        <v>96.3</v>
      </c>
      <c r="Y30" s="64">
        <v>186</v>
      </c>
      <c r="Z30" s="24">
        <v>161.70026342430782</v>
      </c>
      <c r="AA30" s="65">
        <f t="shared" si="7"/>
        <v>24.3</v>
      </c>
      <c r="AB30" s="64">
        <v>123</v>
      </c>
      <c r="AC30" s="24">
        <v>164.96029019175643</v>
      </c>
      <c r="AD30" s="65">
        <f t="shared" si="8"/>
        <v>-41.96</v>
      </c>
      <c r="AE30" s="64">
        <v>49</v>
      </c>
      <c r="AF30" s="24">
        <v>178.86978221406525</v>
      </c>
      <c r="AG30" s="65">
        <f t="shared" si="9"/>
        <v>-129.87</v>
      </c>
    </row>
    <row r="31" spans="3:33" ht="28" outlineLevel="1" x14ac:dyDescent="0.2">
      <c r="C31" s="17" t="s">
        <v>42</v>
      </c>
      <c r="D31" s="22" t="s">
        <v>43</v>
      </c>
      <c r="E31" s="23" t="s">
        <v>611</v>
      </c>
      <c r="F31" s="63">
        <f t="shared" si="0"/>
        <v>1032.43</v>
      </c>
      <c r="G31" s="331">
        <f t="shared" si="1"/>
        <v>1053.46</v>
      </c>
      <c r="H31" s="398">
        <v>4657.3773000000001</v>
      </c>
      <c r="I31" s="399">
        <f>ROUND(H31*'INDEX ICOCIV'!$R$85,0)</f>
        <v>6334</v>
      </c>
      <c r="J31" s="324">
        <v>181.3</v>
      </c>
      <c r="K31" s="24">
        <v>52.000081676869939</v>
      </c>
      <c r="L31" s="65">
        <f t="shared" si="2"/>
        <v>129.30000000000001</v>
      </c>
      <c r="M31" s="64">
        <v>243.2</v>
      </c>
      <c r="N31" s="24">
        <v>95.285602049033045</v>
      </c>
      <c r="O31" s="65">
        <f t="shared" si="3"/>
        <v>147.91</v>
      </c>
      <c r="P31" s="64">
        <v>316.8</v>
      </c>
      <c r="Q31" s="24"/>
      <c r="R31" s="65">
        <f t="shared" si="4"/>
        <v>316.8</v>
      </c>
      <c r="S31" s="64">
        <v>455.8</v>
      </c>
      <c r="T31" s="24">
        <v>47.149927063027512</v>
      </c>
      <c r="U31" s="65">
        <f t="shared" si="5"/>
        <v>408.65</v>
      </c>
      <c r="V31" s="64">
        <v>122.7</v>
      </c>
      <c r="W31" s="24">
        <v>128.34004236676293</v>
      </c>
      <c r="X31" s="65">
        <f t="shared" si="6"/>
        <v>-5.64</v>
      </c>
      <c r="Y31" s="64">
        <v>156.4</v>
      </c>
      <c r="Z31" s="24">
        <v>162.52881208486158</v>
      </c>
      <c r="AA31" s="65">
        <f t="shared" si="7"/>
        <v>-6.13</v>
      </c>
      <c r="AB31" s="64">
        <v>184.9</v>
      </c>
      <c r="AC31" s="24">
        <v>134.10294244359375</v>
      </c>
      <c r="AD31" s="65">
        <f t="shared" si="8"/>
        <v>50.8</v>
      </c>
      <c r="AE31" s="64">
        <v>118.5</v>
      </c>
      <c r="AF31" s="24">
        <v>127.76418178531509</v>
      </c>
      <c r="AG31" s="65">
        <f t="shared" si="9"/>
        <v>-9.26</v>
      </c>
    </row>
    <row r="32" spans="3:33" ht="42" outlineLevel="1" x14ac:dyDescent="0.2">
      <c r="C32" s="17" t="s">
        <v>44</v>
      </c>
      <c r="D32" s="22" t="s">
        <v>625</v>
      </c>
      <c r="E32" s="23" t="s">
        <v>611</v>
      </c>
      <c r="F32" s="63">
        <f t="shared" si="0"/>
        <v>1096.1199999999999</v>
      </c>
      <c r="G32" s="331">
        <f t="shared" si="1"/>
        <v>1111.02</v>
      </c>
      <c r="H32" s="398">
        <v>8735.5789999999997</v>
      </c>
      <c r="I32" s="399">
        <f>ROUND(H32*'INDEX ICOCIV'!$R$85,0)</f>
        <v>11880</v>
      </c>
      <c r="J32" s="324">
        <v>181.3</v>
      </c>
      <c r="K32" s="24">
        <v>51.999987636766839</v>
      </c>
      <c r="L32" s="65">
        <f t="shared" si="2"/>
        <v>129.30000000000001</v>
      </c>
      <c r="M32" s="64">
        <v>243.2</v>
      </c>
      <c r="N32" s="24">
        <v>95.285680754532706</v>
      </c>
      <c r="O32" s="65">
        <f t="shared" si="3"/>
        <v>147.91</v>
      </c>
      <c r="P32" s="64">
        <v>316.8</v>
      </c>
      <c r="Q32" s="24"/>
      <c r="R32" s="65">
        <f t="shared" si="4"/>
        <v>316.8</v>
      </c>
      <c r="S32" s="64">
        <v>455.8</v>
      </c>
      <c r="T32" s="24">
        <v>47.150051530642678</v>
      </c>
      <c r="U32" s="65">
        <f t="shared" si="5"/>
        <v>408.65</v>
      </c>
      <c r="V32" s="64">
        <v>122.7</v>
      </c>
      <c r="W32" s="24">
        <v>128.33997609088075</v>
      </c>
      <c r="X32" s="65">
        <f t="shared" si="6"/>
        <v>-5.64</v>
      </c>
      <c r="Y32" s="64">
        <v>156.4</v>
      </c>
      <c r="Z32" s="24">
        <v>115.49995712934427</v>
      </c>
      <c r="AA32" s="65">
        <f t="shared" si="7"/>
        <v>40.9</v>
      </c>
      <c r="AB32" s="64">
        <v>184.9</v>
      </c>
      <c r="AC32" s="24">
        <v>117.44281632619888</v>
      </c>
      <c r="AD32" s="65">
        <f t="shared" si="8"/>
        <v>67.459999999999994</v>
      </c>
      <c r="AE32" s="64">
        <v>118.5</v>
      </c>
      <c r="AF32" s="24">
        <v>127.76428442808428</v>
      </c>
      <c r="AG32" s="65">
        <f t="shared" si="9"/>
        <v>-9.26</v>
      </c>
    </row>
    <row r="33" spans="3:33" ht="84" outlineLevel="1" x14ac:dyDescent="0.2">
      <c r="C33" s="17" t="s">
        <v>45</v>
      </c>
      <c r="D33" s="22" t="s">
        <v>46</v>
      </c>
      <c r="E33" s="23" t="s">
        <v>188</v>
      </c>
      <c r="F33" s="63">
        <f t="shared" si="0"/>
        <v>0</v>
      </c>
      <c r="G33" s="331">
        <f t="shared" si="1"/>
        <v>157</v>
      </c>
      <c r="H33" s="398">
        <v>35499.436900000001</v>
      </c>
      <c r="I33" s="399">
        <f>ROUND(H33*'INDEX ICOCIV'!$R$85,0)</f>
        <v>48279</v>
      </c>
      <c r="J33" s="324">
        <v>89</v>
      </c>
      <c r="K33" s="24">
        <v>129.49999778728883</v>
      </c>
      <c r="L33" s="65">
        <f t="shared" si="2"/>
        <v>-40.5</v>
      </c>
      <c r="M33" s="64">
        <v>119</v>
      </c>
      <c r="N33" s="24">
        <v>158.29200378105153</v>
      </c>
      <c r="O33" s="65">
        <f t="shared" si="3"/>
        <v>-39.29</v>
      </c>
      <c r="P33" s="64">
        <v>157</v>
      </c>
      <c r="Q33" s="24"/>
      <c r="R33" s="65">
        <f t="shared" si="4"/>
        <v>157</v>
      </c>
      <c r="S33" s="64">
        <v>0</v>
      </c>
      <c r="T33" s="24">
        <v>100.55801758365355</v>
      </c>
      <c r="U33" s="65">
        <f t="shared" si="5"/>
        <v>-100.56</v>
      </c>
      <c r="V33" s="64">
        <v>61</v>
      </c>
      <c r="W33" s="24">
        <v>86.000012017092018</v>
      </c>
      <c r="X33" s="65">
        <f t="shared" si="6"/>
        <v>-25</v>
      </c>
      <c r="Y33" s="64">
        <v>77</v>
      </c>
      <c r="Z33" s="24">
        <v>161.70000150058718</v>
      </c>
      <c r="AA33" s="65">
        <f t="shared" si="7"/>
        <v>-84.7</v>
      </c>
      <c r="AB33" s="64">
        <v>61</v>
      </c>
      <c r="AC33" s="24">
        <v>164.96002504197469</v>
      </c>
      <c r="AD33" s="65">
        <f t="shared" si="8"/>
        <v>-103.96</v>
      </c>
      <c r="AE33" s="64">
        <v>49</v>
      </c>
      <c r="AF33" s="24">
        <v>178.86999216035451</v>
      </c>
      <c r="AG33" s="65">
        <f t="shared" si="9"/>
        <v>-129.87</v>
      </c>
    </row>
    <row r="34" spans="3:33" ht="28" outlineLevel="1" x14ac:dyDescent="0.2">
      <c r="C34" s="17" t="s">
        <v>47</v>
      </c>
      <c r="D34" s="22" t="s">
        <v>626</v>
      </c>
      <c r="E34" s="23" t="s">
        <v>627</v>
      </c>
      <c r="F34" s="63">
        <f t="shared" si="0"/>
        <v>0</v>
      </c>
      <c r="G34" s="331">
        <f t="shared" si="1"/>
        <v>0</v>
      </c>
      <c r="H34" s="398">
        <v>5276.8266999999996</v>
      </c>
      <c r="I34" s="399">
        <f>ROUND(H34*'INDEX ICOCIV'!$R$85,0)</f>
        <v>7176</v>
      </c>
      <c r="J34" s="324">
        <v>0</v>
      </c>
      <c r="K34" s="24"/>
      <c r="L34" s="65">
        <f t="shared" si="2"/>
        <v>0</v>
      </c>
      <c r="M34" s="64">
        <v>0</v>
      </c>
      <c r="N34" s="24">
        <v>21.38880172054921</v>
      </c>
      <c r="O34" s="65">
        <f t="shared" si="3"/>
        <v>-21.39</v>
      </c>
      <c r="P34" s="64">
        <v>0</v>
      </c>
      <c r="Q34" s="24"/>
      <c r="R34" s="65">
        <f t="shared" si="4"/>
        <v>0</v>
      </c>
      <c r="S34" s="64">
        <v>0</v>
      </c>
      <c r="T34" s="24"/>
      <c r="U34" s="65">
        <f t="shared" si="5"/>
        <v>0</v>
      </c>
      <c r="V34" s="64">
        <v>0</v>
      </c>
      <c r="W34" s="24"/>
      <c r="X34" s="65">
        <f t="shared" si="6"/>
        <v>0</v>
      </c>
      <c r="Y34" s="64">
        <v>0</v>
      </c>
      <c r="Z34" s="24"/>
      <c r="AA34" s="65">
        <f t="shared" si="7"/>
        <v>0</v>
      </c>
      <c r="AB34" s="64">
        <v>0</v>
      </c>
      <c r="AC34" s="24"/>
      <c r="AD34" s="65">
        <f t="shared" si="8"/>
        <v>0</v>
      </c>
      <c r="AE34" s="64">
        <v>218.1</v>
      </c>
      <c r="AF34" s="24">
        <v>2062.4216763068985</v>
      </c>
      <c r="AG34" s="65">
        <f t="shared" si="9"/>
        <v>-1844.32</v>
      </c>
    </row>
    <row r="35" spans="3:33" ht="16" outlineLevel="1" x14ac:dyDescent="0.2">
      <c r="C35" s="17" t="s">
        <v>48</v>
      </c>
      <c r="D35" s="22" t="s">
        <v>628</v>
      </c>
      <c r="E35" s="23" t="s">
        <v>627</v>
      </c>
      <c r="F35" s="63">
        <f t="shared" si="0"/>
        <v>900.5</v>
      </c>
      <c r="G35" s="331">
        <f t="shared" si="1"/>
        <v>1160.81</v>
      </c>
      <c r="H35" s="398">
        <v>5138.7451000000001</v>
      </c>
      <c r="I35" s="399">
        <f>ROUND(H35*'INDEX ICOCIV'!$R$85,0)</f>
        <v>6989</v>
      </c>
      <c r="J35" s="324">
        <v>186.6</v>
      </c>
      <c r="K35" s="24"/>
      <c r="L35" s="65">
        <f t="shared" si="2"/>
        <v>186.6</v>
      </c>
      <c r="M35" s="64">
        <v>248.9</v>
      </c>
      <c r="N35" s="24">
        <v>300.68994860243214</v>
      </c>
      <c r="O35" s="65">
        <f t="shared" si="3"/>
        <v>-51.79</v>
      </c>
      <c r="P35" s="64">
        <v>320</v>
      </c>
      <c r="Q35" s="24"/>
      <c r="R35" s="65">
        <f t="shared" si="4"/>
        <v>320</v>
      </c>
      <c r="S35" s="64">
        <v>453.3</v>
      </c>
      <c r="T35" s="24">
        <v>16.286077314868177</v>
      </c>
      <c r="U35" s="65">
        <f t="shared" si="5"/>
        <v>437.01</v>
      </c>
      <c r="V35" s="64">
        <v>124.4</v>
      </c>
      <c r="W35" s="24">
        <v>51.599951902654212</v>
      </c>
      <c r="X35" s="65">
        <f t="shared" si="6"/>
        <v>72.8</v>
      </c>
      <c r="Y35" s="64">
        <v>160</v>
      </c>
      <c r="Z35" s="24">
        <v>292.98008963316744</v>
      </c>
      <c r="AA35" s="65">
        <f t="shared" si="7"/>
        <v>-132.97999999999999</v>
      </c>
      <c r="AB35" s="64">
        <v>186.6</v>
      </c>
      <c r="AC35" s="24">
        <v>262.14006995598982</v>
      </c>
      <c r="AD35" s="65">
        <f t="shared" si="8"/>
        <v>-75.540000000000006</v>
      </c>
      <c r="AE35" s="64">
        <v>144.4</v>
      </c>
      <c r="AF35" s="24"/>
      <c r="AG35" s="65">
        <f t="shared" si="9"/>
        <v>144.4</v>
      </c>
    </row>
    <row r="36" spans="3:33" ht="28" outlineLevel="1" x14ac:dyDescent="0.2">
      <c r="C36" s="17" t="s">
        <v>49</v>
      </c>
      <c r="D36" s="22" t="s">
        <v>629</v>
      </c>
      <c r="E36" s="23" t="s">
        <v>188</v>
      </c>
      <c r="F36" s="63">
        <f t="shared" si="0"/>
        <v>2777.1</v>
      </c>
      <c r="G36" s="331">
        <f t="shared" si="1"/>
        <v>2777.1000000000004</v>
      </c>
      <c r="H36" s="398">
        <v>6817.7789999999995</v>
      </c>
      <c r="I36" s="399">
        <f>ROUND(H36*'INDEX ICOCIV'!$R$85,0)</f>
        <v>9272</v>
      </c>
      <c r="J36" s="324">
        <v>486.6</v>
      </c>
      <c r="K36" s="24"/>
      <c r="L36" s="65">
        <f t="shared" si="2"/>
        <v>486.6</v>
      </c>
      <c r="M36" s="64">
        <v>431.8</v>
      </c>
      <c r="N36" s="24"/>
      <c r="O36" s="65">
        <f t="shared" si="3"/>
        <v>431.8</v>
      </c>
      <c r="P36" s="64">
        <v>652.29999999999995</v>
      </c>
      <c r="Q36" s="24"/>
      <c r="R36" s="65">
        <f t="shared" si="4"/>
        <v>652.29999999999995</v>
      </c>
      <c r="S36" s="64">
        <v>388.3</v>
      </c>
      <c r="T36" s="24"/>
      <c r="U36" s="65">
        <f t="shared" si="5"/>
        <v>388.3</v>
      </c>
      <c r="V36" s="64">
        <v>233.8</v>
      </c>
      <c r="W36" s="24"/>
      <c r="X36" s="65">
        <f t="shared" si="6"/>
        <v>233.8</v>
      </c>
      <c r="Y36" s="64">
        <v>339.4</v>
      </c>
      <c r="Z36" s="24"/>
      <c r="AA36" s="65">
        <f t="shared" si="7"/>
        <v>339.4</v>
      </c>
      <c r="AB36" s="64">
        <v>244.9</v>
      </c>
      <c r="AC36" s="24"/>
      <c r="AD36" s="65">
        <f t="shared" si="8"/>
        <v>244.9</v>
      </c>
      <c r="AE36" s="64">
        <v>0</v>
      </c>
      <c r="AF36" s="24"/>
      <c r="AG36" s="65">
        <f t="shared" si="9"/>
        <v>0</v>
      </c>
    </row>
    <row r="37" spans="3:33" ht="21" customHeight="1" x14ac:dyDescent="0.2">
      <c r="C37" s="27">
        <v>3</v>
      </c>
      <c r="D37" s="28" t="s">
        <v>50</v>
      </c>
      <c r="E37" s="29"/>
      <c r="F37" s="30" t="str">
        <f t="shared" si="0"/>
        <v/>
      </c>
      <c r="G37" s="330"/>
      <c r="H37" s="400"/>
      <c r="I37" s="400"/>
      <c r="J37" s="325"/>
      <c r="K37" s="14"/>
      <c r="L37" s="67"/>
      <c r="M37" s="66"/>
      <c r="N37" s="14"/>
      <c r="O37" s="67"/>
      <c r="P37" s="66"/>
      <c r="Q37" s="14"/>
      <c r="R37" s="67"/>
      <c r="S37" s="66"/>
      <c r="T37" s="14" t="s">
        <v>302</v>
      </c>
      <c r="U37" s="67"/>
      <c r="V37" s="66"/>
      <c r="W37" s="14" t="s">
        <v>302</v>
      </c>
      <c r="X37" s="67"/>
      <c r="Y37" s="66"/>
      <c r="Z37" s="14" t="s">
        <v>302</v>
      </c>
      <c r="AA37" s="67"/>
      <c r="AB37" s="66"/>
      <c r="AC37" s="14"/>
      <c r="AD37" s="67"/>
      <c r="AE37" s="66"/>
      <c r="AF37" s="14"/>
      <c r="AG37" s="67"/>
    </row>
    <row r="38" spans="3:33" ht="28" outlineLevel="1" x14ac:dyDescent="0.2">
      <c r="C38" s="17" t="s">
        <v>51</v>
      </c>
      <c r="D38" s="22" t="s">
        <v>630</v>
      </c>
      <c r="E38" s="23" t="s">
        <v>611</v>
      </c>
      <c r="F38" s="63">
        <f t="shared" si="0"/>
        <v>305.76</v>
      </c>
      <c r="G38" s="331">
        <f t="shared" si="1"/>
        <v>305.76</v>
      </c>
      <c r="H38" s="398">
        <v>45956.241399999999</v>
      </c>
      <c r="I38" s="399">
        <f>ROUND(H38*'INDEX ICOCIV'!$R$85,0)</f>
        <v>62500</v>
      </c>
      <c r="J38" s="324">
        <v>63.9</v>
      </c>
      <c r="K38" s="24"/>
      <c r="L38" s="65">
        <f t="shared" si="2"/>
        <v>63.9</v>
      </c>
      <c r="M38" s="64">
        <v>50.1</v>
      </c>
      <c r="N38" s="24">
        <v>46.460007746412444</v>
      </c>
      <c r="O38" s="65">
        <f t="shared" si="3"/>
        <v>3.64</v>
      </c>
      <c r="P38" s="64">
        <v>63.7</v>
      </c>
      <c r="Q38" s="24"/>
      <c r="R38" s="65">
        <f t="shared" si="4"/>
        <v>63.7</v>
      </c>
      <c r="S38" s="64">
        <v>58.6</v>
      </c>
      <c r="T38" s="24"/>
      <c r="U38" s="65">
        <f t="shared" si="5"/>
        <v>58.6</v>
      </c>
      <c r="V38" s="64">
        <v>19.5</v>
      </c>
      <c r="W38" s="24"/>
      <c r="X38" s="65">
        <f t="shared" si="6"/>
        <v>19.5</v>
      </c>
      <c r="Y38" s="64">
        <v>32.200000000000003</v>
      </c>
      <c r="Z38" s="24">
        <v>28.579991748411352</v>
      </c>
      <c r="AA38" s="65">
        <f t="shared" si="7"/>
        <v>3.62</v>
      </c>
      <c r="AB38" s="64">
        <v>30.6</v>
      </c>
      <c r="AC38" s="24">
        <v>24.600010043467133</v>
      </c>
      <c r="AD38" s="65">
        <f t="shared" si="8"/>
        <v>6</v>
      </c>
      <c r="AE38" s="64">
        <v>86.8</v>
      </c>
      <c r="AF38" s="24"/>
      <c r="AG38" s="65">
        <f t="shared" si="9"/>
        <v>86.8</v>
      </c>
    </row>
    <row r="39" spans="3:33" ht="28" outlineLevel="1" x14ac:dyDescent="0.2">
      <c r="C39" s="17" t="s">
        <v>52</v>
      </c>
      <c r="D39" s="22" t="s">
        <v>631</v>
      </c>
      <c r="E39" s="23" t="s">
        <v>611</v>
      </c>
      <c r="F39" s="63">
        <f t="shared" si="0"/>
        <v>103.74</v>
      </c>
      <c r="G39" s="331">
        <f t="shared" si="1"/>
        <v>193.93</v>
      </c>
      <c r="H39" s="398">
        <v>44708.712500000001</v>
      </c>
      <c r="I39" s="399">
        <f>ROUND(H39*'INDEX ICOCIV'!$R$85,0)</f>
        <v>60804</v>
      </c>
      <c r="J39" s="324">
        <v>49.5</v>
      </c>
      <c r="K39" s="24"/>
      <c r="L39" s="65">
        <f t="shared" si="2"/>
        <v>49.5</v>
      </c>
      <c r="M39" s="64">
        <v>48.7</v>
      </c>
      <c r="N39" s="24">
        <v>17.250002183578871</v>
      </c>
      <c r="O39" s="65">
        <f t="shared" si="3"/>
        <v>31.45</v>
      </c>
      <c r="P39" s="64">
        <v>29.5</v>
      </c>
      <c r="Q39" s="24"/>
      <c r="R39" s="65">
        <f t="shared" si="4"/>
        <v>29.5</v>
      </c>
      <c r="S39" s="64">
        <v>56</v>
      </c>
      <c r="T39" s="24">
        <v>9.6000080521218312</v>
      </c>
      <c r="U39" s="65">
        <f t="shared" si="5"/>
        <v>46.4</v>
      </c>
      <c r="V39" s="64">
        <v>10.5</v>
      </c>
      <c r="W39" s="24">
        <v>12.999994128661164</v>
      </c>
      <c r="X39" s="65">
        <f t="shared" si="6"/>
        <v>-2.5</v>
      </c>
      <c r="Y39" s="64">
        <v>13.7</v>
      </c>
      <c r="Z39" s="24">
        <v>65.11001630834258</v>
      </c>
      <c r="AA39" s="65">
        <f t="shared" si="7"/>
        <v>-51.41</v>
      </c>
      <c r="AB39" s="64">
        <v>23</v>
      </c>
      <c r="AC39" s="24">
        <v>59.280011697943664</v>
      </c>
      <c r="AD39" s="65">
        <f t="shared" si="8"/>
        <v>-36.28</v>
      </c>
      <c r="AE39" s="64">
        <v>40.799999999999997</v>
      </c>
      <c r="AF39" s="24">
        <v>3.72</v>
      </c>
      <c r="AG39" s="65">
        <f t="shared" si="9"/>
        <v>37.08</v>
      </c>
    </row>
    <row r="40" spans="3:33" ht="70" outlineLevel="1" x14ac:dyDescent="0.2">
      <c r="C40" s="17" t="s">
        <v>53</v>
      </c>
      <c r="D40" s="22" t="s">
        <v>632</v>
      </c>
      <c r="E40" s="23" t="s">
        <v>188</v>
      </c>
      <c r="F40" s="63">
        <f t="shared" si="0"/>
        <v>0</v>
      </c>
      <c r="G40" s="331">
        <f t="shared" si="1"/>
        <v>0</v>
      </c>
      <c r="H40" s="398">
        <v>114085.1275</v>
      </c>
      <c r="I40" s="399">
        <f>ROUND(H40*'INDEX ICOCIV'!$R$85,0)</f>
        <v>155156</v>
      </c>
      <c r="J40" s="324">
        <v>0</v>
      </c>
      <c r="K40" s="24"/>
      <c r="L40" s="65">
        <f t="shared" si="2"/>
        <v>0</v>
      </c>
      <c r="M40" s="64">
        <v>0</v>
      </c>
      <c r="N40" s="24"/>
      <c r="O40" s="65">
        <f t="shared" si="3"/>
        <v>0</v>
      </c>
      <c r="P40" s="64">
        <v>0</v>
      </c>
      <c r="Q40" s="24"/>
      <c r="R40" s="65">
        <f t="shared" si="4"/>
        <v>0</v>
      </c>
      <c r="S40" s="64">
        <v>0</v>
      </c>
      <c r="T40" s="24"/>
      <c r="U40" s="65">
        <f t="shared" si="5"/>
        <v>0</v>
      </c>
      <c r="V40" s="64">
        <v>0</v>
      </c>
      <c r="W40" s="24"/>
      <c r="X40" s="65">
        <f t="shared" si="6"/>
        <v>0</v>
      </c>
      <c r="Y40" s="64">
        <v>0</v>
      </c>
      <c r="Z40" s="24"/>
      <c r="AA40" s="65">
        <f t="shared" si="7"/>
        <v>0</v>
      </c>
      <c r="AB40" s="64">
        <v>0</v>
      </c>
      <c r="AC40" s="24"/>
      <c r="AD40" s="65">
        <f t="shared" si="8"/>
        <v>0</v>
      </c>
      <c r="AE40" s="64">
        <v>0</v>
      </c>
      <c r="AF40" s="24"/>
      <c r="AG40" s="65">
        <f t="shared" si="9"/>
        <v>0</v>
      </c>
    </row>
    <row r="41" spans="3:33" ht="28" outlineLevel="1" x14ac:dyDescent="0.2">
      <c r="C41" s="17" t="s">
        <v>54</v>
      </c>
      <c r="D41" s="22" t="s">
        <v>55</v>
      </c>
      <c r="E41" s="23" t="s">
        <v>611</v>
      </c>
      <c r="F41" s="63">
        <f t="shared" si="0"/>
        <v>0</v>
      </c>
      <c r="G41" s="331">
        <f t="shared" si="1"/>
        <v>0</v>
      </c>
      <c r="H41" s="398">
        <v>53039.635699999999</v>
      </c>
      <c r="I41" s="399">
        <f>ROUND(H41*'INDEX ICOCIV'!$R$85,0)</f>
        <v>72134</v>
      </c>
      <c r="J41" s="324">
        <v>0</v>
      </c>
      <c r="K41" s="24"/>
      <c r="L41" s="65">
        <f t="shared" si="2"/>
        <v>0</v>
      </c>
      <c r="M41" s="64">
        <v>0</v>
      </c>
      <c r="N41" s="24"/>
      <c r="O41" s="65">
        <f t="shared" si="3"/>
        <v>0</v>
      </c>
      <c r="P41" s="64">
        <v>0</v>
      </c>
      <c r="Q41" s="24"/>
      <c r="R41" s="65">
        <f t="shared" si="4"/>
        <v>0</v>
      </c>
      <c r="S41" s="64">
        <v>0</v>
      </c>
      <c r="T41" s="24"/>
      <c r="U41" s="65">
        <f t="shared" si="5"/>
        <v>0</v>
      </c>
      <c r="V41" s="64">
        <v>0</v>
      </c>
      <c r="W41" s="24"/>
      <c r="X41" s="65">
        <f t="shared" si="6"/>
        <v>0</v>
      </c>
      <c r="Y41" s="64">
        <v>0</v>
      </c>
      <c r="Z41" s="24"/>
      <c r="AA41" s="65">
        <f t="shared" si="7"/>
        <v>0</v>
      </c>
      <c r="AB41" s="64">
        <v>0</v>
      </c>
      <c r="AC41" s="24"/>
      <c r="AD41" s="65">
        <f t="shared" si="8"/>
        <v>0</v>
      </c>
      <c r="AE41" s="64">
        <v>0</v>
      </c>
      <c r="AF41" s="24"/>
      <c r="AG41" s="65">
        <f t="shared" si="9"/>
        <v>0</v>
      </c>
    </row>
    <row r="42" spans="3:33" ht="42" outlineLevel="1" x14ac:dyDescent="0.2">
      <c r="C42" s="17" t="s">
        <v>56</v>
      </c>
      <c r="D42" s="22" t="s">
        <v>57</v>
      </c>
      <c r="E42" s="23" t="s">
        <v>188</v>
      </c>
      <c r="F42" s="63">
        <f t="shared" si="0"/>
        <v>45.2</v>
      </c>
      <c r="G42" s="331">
        <f t="shared" si="1"/>
        <v>45.2</v>
      </c>
      <c r="H42" s="398">
        <v>68420.391699999993</v>
      </c>
      <c r="I42" s="399">
        <f>ROUND(H42*'INDEX ICOCIV'!$R$85,0)</f>
        <v>93052</v>
      </c>
      <c r="J42" s="324">
        <v>6.7</v>
      </c>
      <c r="K42" s="24"/>
      <c r="L42" s="65">
        <f t="shared" si="2"/>
        <v>6.7</v>
      </c>
      <c r="M42" s="64">
        <v>9.4</v>
      </c>
      <c r="N42" s="24"/>
      <c r="O42" s="65">
        <f t="shared" si="3"/>
        <v>9.4</v>
      </c>
      <c r="P42" s="64">
        <v>7.6</v>
      </c>
      <c r="Q42" s="24"/>
      <c r="R42" s="65">
        <f t="shared" si="4"/>
        <v>7.6</v>
      </c>
      <c r="S42" s="64">
        <v>4.9000000000000004</v>
      </c>
      <c r="T42" s="24"/>
      <c r="U42" s="65">
        <f t="shared" si="5"/>
        <v>4.9000000000000004</v>
      </c>
      <c r="V42" s="64">
        <v>4.7</v>
      </c>
      <c r="W42" s="24"/>
      <c r="X42" s="65">
        <f t="shared" si="6"/>
        <v>4.7</v>
      </c>
      <c r="Y42" s="64">
        <v>6</v>
      </c>
      <c r="Z42" s="24"/>
      <c r="AA42" s="65">
        <f t="shared" si="7"/>
        <v>6</v>
      </c>
      <c r="AB42" s="64">
        <v>5.9</v>
      </c>
      <c r="AC42" s="24"/>
      <c r="AD42" s="65">
        <f t="shared" si="8"/>
        <v>5.9</v>
      </c>
      <c r="AE42" s="64">
        <v>0</v>
      </c>
      <c r="AF42" s="24"/>
      <c r="AG42" s="65">
        <f t="shared" si="9"/>
        <v>0</v>
      </c>
    </row>
    <row r="43" spans="3:33" ht="16" outlineLevel="1" x14ac:dyDescent="0.2">
      <c r="C43" s="17" t="s">
        <v>58</v>
      </c>
      <c r="D43" s="22" t="s">
        <v>59</v>
      </c>
      <c r="E43" s="23" t="s">
        <v>188</v>
      </c>
      <c r="F43" s="63">
        <f t="shared" si="0"/>
        <v>48.98</v>
      </c>
      <c r="G43" s="331">
        <f t="shared" si="1"/>
        <v>48.980000000000004</v>
      </c>
      <c r="H43" s="398">
        <v>69898.056599999996</v>
      </c>
      <c r="I43" s="399">
        <f>ROUND(H43*'INDEX ICOCIV'!$R$85,0)</f>
        <v>95061</v>
      </c>
      <c r="J43" s="324">
        <v>10.728999999999999</v>
      </c>
      <c r="K43" s="24"/>
      <c r="L43" s="65">
        <f t="shared" si="2"/>
        <v>10.73</v>
      </c>
      <c r="M43" s="64">
        <v>5.5700000000000012</v>
      </c>
      <c r="N43" s="24"/>
      <c r="O43" s="65">
        <f t="shared" si="3"/>
        <v>5.57</v>
      </c>
      <c r="P43" s="64">
        <v>2.88</v>
      </c>
      <c r="Q43" s="24"/>
      <c r="R43" s="65">
        <f t="shared" si="4"/>
        <v>2.88</v>
      </c>
      <c r="S43" s="64">
        <v>9</v>
      </c>
      <c r="T43" s="24"/>
      <c r="U43" s="65">
        <f t="shared" si="5"/>
        <v>9</v>
      </c>
      <c r="V43" s="64">
        <v>2.64</v>
      </c>
      <c r="W43" s="24"/>
      <c r="X43" s="65">
        <f t="shared" si="6"/>
        <v>2.64</v>
      </c>
      <c r="Y43" s="64">
        <v>6.0200000000000005</v>
      </c>
      <c r="Z43" s="24"/>
      <c r="AA43" s="65">
        <f t="shared" si="7"/>
        <v>6.02</v>
      </c>
      <c r="AB43" s="64">
        <v>5.78</v>
      </c>
      <c r="AC43" s="24"/>
      <c r="AD43" s="65">
        <f t="shared" si="8"/>
        <v>5.78</v>
      </c>
      <c r="AE43" s="64">
        <v>6.3616000000000001</v>
      </c>
      <c r="AF43" s="24"/>
      <c r="AG43" s="65">
        <f t="shared" si="9"/>
        <v>6.36</v>
      </c>
    </row>
    <row r="44" spans="3:33" ht="42" outlineLevel="1" x14ac:dyDescent="0.2">
      <c r="C44" s="17" t="s">
        <v>60</v>
      </c>
      <c r="D44" s="22" t="s">
        <v>633</v>
      </c>
      <c r="E44" s="23" t="s">
        <v>188</v>
      </c>
      <c r="F44" s="63">
        <f t="shared" si="0"/>
        <v>1251.2</v>
      </c>
      <c r="G44" s="331">
        <f t="shared" si="1"/>
        <v>1251.2</v>
      </c>
      <c r="H44" s="398">
        <v>67936.147200000007</v>
      </c>
      <c r="I44" s="399">
        <f>ROUND(H44*'INDEX ICOCIV'!$R$85,0)</f>
        <v>92393</v>
      </c>
      <c r="J44" s="324">
        <v>228.28</v>
      </c>
      <c r="K44" s="24"/>
      <c r="L44" s="65">
        <f t="shared" si="2"/>
        <v>228.28</v>
      </c>
      <c r="M44" s="64">
        <v>73.599999999999994</v>
      </c>
      <c r="N44" s="24"/>
      <c r="O44" s="65">
        <f t="shared" si="3"/>
        <v>73.599999999999994</v>
      </c>
      <c r="P44" s="64">
        <v>207.61</v>
      </c>
      <c r="Q44" s="24"/>
      <c r="R44" s="65">
        <f t="shared" si="4"/>
        <v>207.61</v>
      </c>
      <c r="S44" s="64">
        <v>388.3</v>
      </c>
      <c r="T44" s="24"/>
      <c r="U44" s="65">
        <f t="shared" si="5"/>
        <v>388.3</v>
      </c>
      <c r="V44" s="64">
        <v>65.730999999999995</v>
      </c>
      <c r="W44" s="24"/>
      <c r="X44" s="65">
        <f t="shared" si="6"/>
        <v>65.73</v>
      </c>
      <c r="Y44" s="64">
        <v>111.4</v>
      </c>
      <c r="Z44" s="24"/>
      <c r="AA44" s="65">
        <f t="shared" si="7"/>
        <v>111.4</v>
      </c>
      <c r="AB44" s="64">
        <v>68.19</v>
      </c>
      <c r="AC44" s="24"/>
      <c r="AD44" s="65">
        <f t="shared" si="8"/>
        <v>68.19</v>
      </c>
      <c r="AE44" s="64">
        <v>108.0949</v>
      </c>
      <c r="AF44" s="24"/>
      <c r="AG44" s="65">
        <f t="shared" si="9"/>
        <v>108.09</v>
      </c>
    </row>
    <row r="45" spans="3:33" ht="56" outlineLevel="1" x14ac:dyDescent="0.2">
      <c r="C45" s="17" t="s">
        <v>61</v>
      </c>
      <c r="D45" s="22" t="s">
        <v>62</v>
      </c>
      <c r="E45" s="23" t="s">
        <v>183</v>
      </c>
      <c r="F45" s="63">
        <f t="shared" si="0"/>
        <v>97.95</v>
      </c>
      <c r="G45" s="331">
        <f t="shared" si="1"/>
        <v>97.95</v>
      </c>
      <c r="H45" s="398">
        <v>584445.71439999994</v>
      </c>
      <c r="I45" s="399">
        <f>ROUND(H45*'INDEX ICOCIV'!$R$85,0)</f>
        <v>794846</v>
      </c>
      <c r="J45" s="324">
        <v>19.211819999999999</v>
      </c>
      <c r="K45" s="24"/>
      <c r="L45" s="65">
        <f t="shared" si="2"/>
        <v>19.21</v>
      </c>
      <c r="M45" s="64">
        <v>2.7325200000000001</v>
      </c>
      <c r="N45" s="24"/>
      <c r="O45" s="65">
        <f t="shared" si="3"/>
        <v>2.73</v>
      </c>
      <c r="P45" s="64">
        <v>8.6200799999999997</v>
      </c>
      <c r="Q45" s="24"/>
      <c r="R45" s="65">
        <f t="shared" si="4"/>
        <v>8.6199999999999992</v>
      </c>
      <c r="S45" s="64">
        <v>7.2263699999999993</v>
      </c>
      <c r="T45" s="24"/>
      <c r="U45" s="65">
        <f t="shared" si="5"/>
        <v>7.23</v>
      </c>
      <c r="V45" s="64">
        <v>4.7667600000000006</v>
      </c>
      <c r="W45" s="24"/>
      <c r="X45" s="65">
        <f t="shared" si="6"/>
        <v>4.7699999999999996</v>
      </c>
      <c r="Y45" s="64">
        <v>2.7134999999999998</v>
      </c>
      <c r="Z45" s="24"/>
      <c r="AA45" s="65">
        <f t="shared" si="7"/>
        <v>2.71</v>
      </c>
      <c r="AB45" s="64">
        <v>2.9527199999999998</v>
      </c>
      <c r="AC45" s="24"/>
      <c r="AD45" s="65">
        <f t="shared" si="8"/>
        <v>2.95</v>
      </c>
      <c r="AE45" s="64">
        <v>49.73037343243243</v>
      </c>
      <c r="AF45" s="24"/>
      <c r="AG45" s="65">
        <f t="shared" si="9"/>
        <v>49.73</v>
      </c>
    </row>
    <row r="46" spans="3:33" ht="28" outlineLevel="1" x14ac:dyDescent="0.2">
      <c r="C46" s="17" t="s">
        <v>63</v>
      </c>
      <c r="D46" s="22" t="s">
        <v>626</v>
      </c>
      <c r="E46" s="23" t="s">
        <v>627</v>
      </c>
      <c r="F46" s="63">
        <f t="shared" si="0"/>
        <v>0</v>
      </c>
      <c r="G46" s="331">
        <f t="shared" si="1"/>
        <v>4382.75</v>
      </c>
      <c r="H46" s="398">
        <v>5276.8266999999996</v>
      </c>
      <c r="I46" s="399">
        <f>ROUND(H46*'INDEX ICOCIV'!$R$85,0)</f>
        <v>7176</v>
      </c>
      <c r="J46" s="324">
        <v>702.1089361702127</v>
      </c>
      <c r="K46" s="24">
        <v>5564.0205125553966</v>
      </c>
      <c r="L46" s="65">
        <f t="shared" si="2"/>
        <v>-4861.91</v>
      </c>
      <c r="M46" s="64">
        <v>94.791914893617033</v>
      </c>
      <c r="N46" s="24">
        <v>349.29401793695445</v>
      </c>
      <c r="O46" s="65">
        <f t="shared" si="3"/>
        <v>-254.5</v>
      </c>
      <c r="P46" s="64">
        <v>311.76808510638296</v>
      </c>
      <c r="Q46" s="24">
        <v>1104.4400984402237</v>
      </c>
      <c r="R46" s="65">
        <f t="shared" si="4"/>
        <v>-792.67</v>
      </c>
      <c r="S46" s="64">
        <v>260.04702127659573</v>
      </c>
      <c r="T46" s="24">
        <v>2354.5055970854605</v>
      </c>
      <c r="U46" s="65">
        <f t="shared" si="5"/>
        <v>-2094.46</v>
      </c>
      <c r="V46" s="64">
        <v>169.7604255319149</v>
      </c>
      <c r="W46" s="24">
        <v>59.340019637180809</v>
      </c>
      <c r="X46" s="65">
        <f t="shared" si="6"/>
        <v>110.42</v>
      </c>
      <c r="Y46" s="64">
        <v>97.314893617021269</v>
      </c>
      <c r="Z46" s="24"/>
      <c r="AA46" s="65">
        <f t="shared" si="7"/>
        <v>97.31</v>
      </c>
      <c r="AB46" s="64">
        <v>103.80255319148935</v>
      </c>
      <c r="AC46" s="24"/>
      <c r="AD46" s="65">
        <f t="shared" si="8"/>
        <v>103.8</v>
      </c>
      <c r="AE46" s="64">
        <v>5379.4168544961185</v>
      </c>
      <c r="AF46" s="24">
        <v>1308.1996799326384</v>
      </c>
      <c r="AG46" s="65">
        <f t="shared" si="9"/>
        <v>4071.22</v>
      </c>
    </row>
    <row r="47" spans="3:33" ht="16" outlineLevel="1" x14ac:dyDescent="0.2">
      <c r="C47" s="17" t="s">
        <v>64</v>
      </c>
      <c r="D47" s="22" t="s">
        <v>65</v>
      </c>
      <c r="E47" s="23" t="s">
        <v>188</v>
      </c>
      <c r="F47" s="63">
        <f t="shared" si="0"/>
        <v>355.61</v>
      </c>
      <c r="G47" s="331">
        <f t="shared" si="1"/>
        <v>355.61</v>
      </c>
      <c r="H47" s="398">
        <v>73313.6584</v>
      </c>
      <c r="I47" s="399">
        <f>ROUND(H47*'INDEX ICOCIV'!$R$85,0)</f>
        <v>99707</v>
      </c>
      <c r="J47" s="324">
        <v>116.88</v>
      </c>
      <c r="K47" s="24"/>
      <c r="L47" s="65">
        <f t="shared" si="2"/>
        <v>116.88</v>
      </c>
      <c r="M47" s="64">
        <v>15.780000000000001</v>
      </c>
      <c r="N47" s="24"/>
      <c r="O47" s="65">
        <f t="shared" si="3"/>
        <v>15.78</v>
      </c>
      <c r="P47" s="64">
        <v>51.899999999999991</v>
      </c>
      <c r="Q47" s="24"/>
      <c r="R47" s="65">
        <f t="shared" si="4"/>
        <v>51.9</v>
      </c>
      <c r="S47" s="64">
        <v>43.289999999999992</v>
      </c>
      <c r="T47" s="24"/>
      <c r="U47" s="65">
        <f t="shared" si="5"/>
        <v>43.29</v>
      </c>
      <c r="V47" s="64">
        <v>28.259999999999998</v>
      </c>
      <c r="W47" s="24"/>
      <c r="X47" s="65">
        <f t="shared" si="6"/>
        <v>28.26</v>
      </c>
      <c r="Y47" s="64">
        <v>16.2</v>
      </c>
      <c r="Z47" s="24"/>
      <c r="AA47" s="65">
        <f t="shared" si="7"/>
        <v>16.2</v>
      </c>
      <c r="AB47" s="64">
        <v>17.28</v>
      </c>
      <c r="AC47" s="24"/>
      <c r="AD47" s="65">
        <f t="shared" si="8"/>
        <v>17.28</v>
      </c>
      <c r="AE47" s="64">
        <v>66.014999999999986</v>
      </c>
      <c r="AF47" s="24"/>
      <c r="AG47" s="65">
        <f t="shared" si="9"/>
        <v>66.02</v>
      </c>
    </row>
    <row r="48" spans="3:33" ht="28" outlineLevel="1" x14ac:dyDescent="0.2">
      <c r="C48" s="17" t="s">
        <v>66</v>
      </c>
      <c r="D48" s="22" t="s">
        <v>634</v>
      </c>
      <c r="E48" s="23" t="s">
        <v>611</v>
      </c>
      <c r="F48" s="63">
        <f t="shared" si="0"/>
        <v>1692.6</v>
      </c>
      <c r="G48" s="331">
        <f t="shared" si="1"/>
        <v>1692.6</v>
      </c>
      <c r="H48" s="398">
        <v>10072.285599999999</v>
      </c>
      <c r="I48" s="399">
        <f>ROUND(H48*'INDEX ICOCIV'!$R$85,0)</f>
        <v>13698</v>
      </c>
      <c r="J48" s="324">
        <v>319.5</v>
      </c>
      <c r="K48" s="24"/>
      <c r="L48" s="65">
        <f t="shared" si="2"/>
        <v>319.5</v>
      </c>
      <c r="M48" s="64">
        <v>220.1</v>
      </c>
      <c r="N48" s="24"/>
      <c r="O48" s="65">
        <f t="shared" si="3"/>
        <v>220.1</v>
      </c>
      <c r="P48" s="64">
        <v>338</v>
      </c>
      <c r="Q48" s="24"/>
      <c r="R48" s="65">
        <f t="shared" si="4"/>
        <v>338</v>
      </c>
      <c r="S48" s="64">
        <v>302.8</v>
      </c>
      <c r="T48" s="24"/>
      <c r="U48" s="65">
        <f t="shared" si="5"/>
        <v>302.8</v>
      </c>
      <c r="V48" s="64">
        <v>112</v>
      </c>
      <c r="W48" s="24"/>
      <c r="X48" s="65">
        <f t="shared" si="6"/>
        <v>112</v>
      </c>
      <c r="Y48" s="64">
        <v>163.6</v>
      </c>
      <c r="Z48" s="24"/>
      <c r="AA48" s="65">
        <f t="shared" si="7"/>
        <v>163.6</v>
      </c>
      <c r="AB48" s="64">
        <v>158.30000000000001</v>
      </c>
      <c r="AC48" s="24"/>
      <c r="AD48" s="65">
        <f t="shared" si="8"/>
        <v>158.30000000000001</v>
      </c>
      <c r="AE48" s="64">
        <v>78.3</v>
      </c>
      <c r="AF48" s="24"/>
      <c r="AG48" s="65">
        <f t="shared" si="9"/>
        <v>78.3</v>
      </c>
    </row>
    <row r="49" spans="3:33" ht="28" outlineLevel="1" x14ac:dyDescent="0.2">
      <c r="C49" s="17" t="s">
        <v>67</v>
      </c>
      <c r="D49" s="22" t="s">
        <v>635</v>
      </c>
      <c r="E49" s="23" t="s">
        <v>188</v>
      </c>
      <c r="F49" s="63">
        <f t="shared" si="0"/>
        <v>0</v>
      </c>
      <c r="G49" s="331">
        <f t="shared" si="1"/>
        <v>0</v>
      </c>
      <c r="H49" s="398">
        <v>9934.2039999999997</v>
      </c>
      <c r="I49" s="399">
        <f>ROUND(H49*'INDEX ICOCIV'!$R$85,0)</f>
        <v>13511</v>
      </c>
      <c r="J49" s="324">
        <v>0</v>
      </c>
      <c r="K49" s="24"/>
      <c r="L49" s="65">
        <f t="shared" si="2"/>
        <v>0</v>
      </c>
      <c r="M49" s="64">
        <v>0</v>
      </c>
      <c r="N49" s="24"/>
      <c r="O49" s="65">
        <f t="shared" si="3"/>
        <v>0</v>
      </c>
      <c r="P49" s="64">
        <v>0</v>
      </c>
      <c r="Q49" s="24"/>
      <c r="R49" s="65">
        <f t="shared" si="4"/>
        <v>0</v>
      </c>
      <c r="S49" s="64">
        <v>0</v>
      </c>
      <c r="T49" s="24"/>
      <c r="U49" s="65">
        <f t="shared" si="5"/>
        <v>0</v>
      </c>
      <c r="V49" s="64">
        <v>0</v>
      </c>
      <c r="W49" s="24"/>
      <c r="X49" s="65">
        <f t="shared" si="6"/>
        <v>0</v>
      </c>
      <c r="Y49" s="64">
        <v>0</v>
      </c>
      <c r="Z49" s="24"/>
      <c r="AA49" s="65">
        <f t="shared" si="7"/>
        <v>0</v>
      </c>
      <c r="AB49" s="64">
        <v>0</v>
      </c>
      <c r="AC49" s="24"/>
      <c r="AD49" s="65">
        <f t="shared" si="8"/>
        <v>0</v>
      </c>
      <c r="AE49" s="64">
        <v>0</v>
      </c>
      <c r="AF49" s="24"/>
      <c r="AG49" s="65">
        <f t="shared" si="9"/>
        <v>0</v>
      </c>
    </row>
    <row r="50" spans="3:33" ht="28" outlineLevel="1" x14ac:dyDescent="0.2">
      <c r="C50" s="17" t="s">
        <v>68</v>
      </c>
      <c r="D50" s="22" t="s">
        <v>636</v>
      </c>
      <c r="E50" s="23" t="s">
        <v>183</v>
      </c>
      <c r="F50" s="63">
        <f t="shared" si="0"/>
        <v>0</v>
      </c>
      <c r="G50" s="331">
        <f t="shared" si="1"/>
        <v>0</v>
      </c>
      <c r="H50" s="398">
        <v>117005.9369</v>
      </c>
      <c r="I50" s="399">
        <f>ROUND(H50*'INDEX ICOCIV'!$R$85,0)</f>
        <v>159128</v>
      </c>
      <c r="J50" s="324">
        <v>0</v>
      </c>
      <c r="K50" s="24"/>
      <c r="L50" s="65">
        <f t="shared" si="2"/>
        <v>0</v>
      </c>
      <c r="M50" s="64">
        <v>0</v>
      </c>
      <c r="N50" s="24"/>
      <c r="O50" s="65">
        <f t="shared" si="3"/>
        <v>0</v>
      </c>
      <c r="P50" s="64">
        <v>0</v>
      </c>
      <c r="Q50" s="24"/>
      <c r="R50" s="65">
        <f t="shared" si="4"/>
        <v>0</v>
      </c>
      <c r="S50" s="64">
        <v>0</v>
      </c>
      <c r="T50" s="24"/>
      <c r="U50" s="65">
        <f t="shared" si="5"/>
        <v>0</v>
      </c>
      <c r="V50" s="64">
        <v>0</v>
      </c>
      <c r="W50" s="24"/>
      <c r="X50" s="65">
        <f t="shared" si="6"/>
        <v>0</v>
      </c>
      <c r="Y50" s="64">
        <v>0</v>
      </c>
      <c r="Z50" s="24"/>
      <c r="AA50" s="65">
        <f t="shared" si="7"/>
        <v>0</v>
      </c>
      <c r="AB50" s="64">
        <v>0</v>
      </c>
      <c r="AC50" s="24"/>
      <c r="AD50" s="65">
        <f t="shared" si="8"/>
        <v>0</v>
      </c>
      <c r="AE50" s="64">
        <v>0</v>
      </c>
      <c r="AF50" s="24"/>
      <c r="AG50" s="65">
        <f t="shared" si="9"/>
        <v>0</v>
      </c>
    </row>
    <row r="51" spans="3:33" ht="16" outlineLevel="1" x14ac:dyDescent="0.2">
      <c r="C51" s="17" t="s">
        <v>69</v>
      </c>
      <c r="D51" s="22" t="s">
        <v>637</v>
      </c>
      <c r="E51" s="23" t="s">
        <v>171</v>
      </c>
      <c r="F51" s="63">
        <f t="shared" si="0"/>
        <v>0</v>
      </c>
      <c r="G51" s="331">
        <f t="shared" si="1"/>
        <v>0</v>
      </c>
      <c r="H51" s="398">
        <v>57444.8223</v>
      </c>
      <c r="I51" s="399">
        <f>ROUND(H51*'INDEX ICOCIV'!$R$85,0)</f>
        <v>78125</v>
      </c>
      <c r="J51" s="324">
        <v>0</v>
      </c>
      <c r="K51" s="24"/>
      <c r="L51" s="65">
        <f t="shared" si="2"/>
        <v>0</v>
      </c>
      <c r="M51" s="64">
        <v>0</v>
      </c>
      <c r="N51" s="24"/>
      <c r="O51" s="65">
        <f t="shared" si="3"/>
        <v>0</v>
      </c>
      <c r="P51" s="64">
        <v>0</v>
      </c>
      <c r="Q51" s="24"/>
      <c r="R51" s="65">
        <f t="shared" si="4"/>
        <v>0</v>
      </c>
      <c r="S51" s="64">
        <v>0</v>
      </c>
      <c r="T51" s="24"/>
      <c r="U51" s="65">
        <f t="shared" si="5"/>
        <v>0</v>
      </c>
      <c r="V51" s="64">
        <v>0</v>
      </c>
      <c r="W51" s="24"/>
      <c r="X51" s="65">
        <f t="shared" si="6"/>
        <v>0</v>
      </c>
      <c r="Y51" s="64">
        <v>0</v>
      </c>
      <c r="Z51" s="24"/>
      <c r="AA51" s="65">
        <f t="shared" si="7"/>
        <v>0</v>
      </c>
      <c r="AB51" s="64">
        <v>0</v>
      </c>
      <c r="AC51" s="24"/>
      <c r="AD51" s="65">
        <f t="shared" si="8"/>
        <v>0</v>
      </c>
      <c r="AE51" s="64">
        <v>0</v>
      </c>
      <c r="AF51" s="24"/>
      <c r="AG51" s="65">
        <f t="shared" si="9"/>
        <v>0</v>
      </c>
    </row>
    <row r="52" spans="3:33" ht="28" outlineLevel="1" x14ac:dyDescent="0.2">
      <c r="C52" s="17" t="s">
        <v>70</v>
      </c>
      <c r="D52" s="22" t="s">
        <v>638</v>
      </c>
      <c r="E52" s="23" t="s">
        <v>627</v>
      </c>
      <c r="F52" s="63">
        <f t="shared" si="0"/>
        <v>542.64</v>
      </c>
      <c r="G52" s="331">
        <f t="shared" si="1"/>
        <v>2660.03</v>
      </c>
      <c r="H52" s="398">
        <v>3292.8625999999999</v>
      </c>
      <c r="I52" s="399">
        <f>ROUND(H52*'INDEX ICOCIV'!$R$85,0)</f>
        <v>4478</v>
      </c>
      <c r="J52" s="324">
        <v>1091.2475757575758</v>
      </c>
      <c r="K52" s="24">
        <v>750.62010838229332</v>
      </c>
      <c r="L52" s="65">
        <f t="shared" si="2"/>
        <v>340.63</v>
      </c>
      <c r="M52" s="64">
        <v>351.83030303030307</v>
      </c>
      <c r="N52" s="24">
        <v>654.37683309349131</v>
      </c>
      <c r="O52" s="65">
        <f t="shared" si="3"/>
        <v>-302.55</v>
      </c>
      <c r="P52" s="64">
        <v>992.43871212121235</v>
      </c>
      <c r="Q52" s="24"/>
      <c r="R52" s="65">
        <f t="shared" si="4"/>
        <v>992.44</v>
      </c>
      <c r="S52" s="64">
        <v>1856.1916666666668</v>
      </c>
      <c r="T52" s="24">
        <v>529.23240477267416</v>
      </c>
      <c r="U52" s="65">
        <f t="shared" si="5"/>
        <v>1326.96</v>
      </c>
      <c r="V52" s="64">
        <v>314.21409848484853</v>
      </c>
      <c r="W52" s="24">
        <v>498.53978116183771</v>
      </c>
      <c r="X52" s="65">
        <f t="shared" si="6"/>
        <v>-184.33</v>
      </c>
      <c r="Y52" s="64">
        <v>532.52575757575767</v>
      </c>
      <c r="Z52" s="24">
        <v>1147.4505495613453</v>
      </c>
      <c r="AA52" s="65">
        <f t="shared" si="7"/>
        <v>-614.91999999999996</v>
      </c>
      <c r="AB52" s="64">
        <v>325.96886363636372</v>
      </c>
      <c r="AC52" s="24">
        <v>932.60678413973301</v>
      </c>
      <c r="AD52" s="65">
        <f t="shared" si="8"/>
        <v>-606.64</v>
      </c>
      <c r="AE52" s="64">
        <v>547.13675378787877</v>
      </c>
      <c r="AF52" s="24">
        <v>956.0884446560267</v>
      </c>
      <c r="AG52" s="65">
        <f t="shared" si="9"/>
        <v>-408.95</v>
      </c>
    </row>
    <row r="53" spans="3:33" ht="21" customHeight="1" x14ac:dyDescent="0.2">
      <c r="C53" s="27">
        <v>4</v>
      </c>
      <c r="D53" s="28" t="s">
        <v>71</v>
      </c>
      <c r="E53" s="29"/>
      <c r="F53" s="30" t="str">
        <f t="shared" si="0"/>
        <v/>
      </c>
      <c r="G53" s="330"/>
      <c r="H53" s="400"/>
      <c r="I53" s="400"/>
      <c r="J53" s="325"/>
      <c r="K53" s="14"/>
      <c r="L53" s="67"/>
      <c r="M53" s="66"/>
      <c r="N53" s="14"/>
      <c r="O53" s="67"/>
      <c r="P53" s="66"/>
      <c r="Q53" s="14"/>
      <c r="R53" s="67"/>
      <c r="S53" s="66"/>
      <c r="T53" s="14"/>
      <c r="U53" s="67"/>
      <c r="V53" s="66"/>
      <c r="W53" s="14"/>
      <c r="X53" s="67"/>
      <c r="Y53" s="66"/>
      <c r="Z53" s="14"/>
      <c r="AA53" s="67"/>
      <c r="AB53" s="66"/>
      <c r="AC53" s="14"/>
      <c r="AD53" s="67"/>
      <c r="AE53" s="66"/>
      <c r="AF53" s="14"/>
      <c r="AG53" s="67"/>
    </row>
    <row r="54" spans="3:33" ht="98" outlineLevel="1" x14ac:dyDescent="0.2">
      <c r="C54" s="17" t="s">
        <v>72</v>
      </c>
      <c r="D54" s="22" t="s">
        <v>639</v>
      </c>
      <c r="E54" s="23" t="s">
        <v>611</v>
      </c>
      <c r="F54" s="63">
        <f t="shared" si="0"/>
        <v>33.9</v>
      </c>
      <c r="G54" s="331">
        <f t="shared" si="1"/>
        <v>33.9</v>
      </c>
      <c r="H54" s="398">
        <v>1720577.2836</v>
      </c>
      <c r="I54" s="399">
        <f>ROUND(H54*'INDEX ICOCIV'!$R$85,0)</f>
        <v>2339985</v>
      </c>
      <c r="J54" s="324">
        <v>5.0999999999999996</v>
      </c>
      <c r="K54" s="24"/>
      <c r="L54" s="65">
        <f t="shared" si="2"/>
        <v>5.0999999999999996</v>
      </c>
      <c r="M54" s="64">
        <v>0</v>
      </c>
      <c r="N54" s="24"/>
      <c r="O54" s="65">
        <f t="shared" si="3"/>
        <v>0</v>
      </c>
      <c r="P54" s="64">
        <v>0</v>
      </c>
      <c r="Q54" s="24"/>
      <c r="R54" s="65">
        <f t="shared" si="4"/>
        <v>0</v>
      </c>
      <c r="S54" s="64">
        <v>26.4</v>
      </c>
      <c r="T54" s="24"/>
      <c r="U54" s="65">
        <f t="shared" si="5"/>
        <v>26.4</v>
      </c>
      <c r="V54" s="64">
        <v>0</v>
      </c>
      <c r="W54" s="24"/>
      <c r="X54" s="65">
        <f t="shared" si="6"/>
        <v>0</v>
      </c>
      <c r="Y54" s="64">
        <v>0</v>
      </c>
      <c r="Z54" s="24"/>
      <c r="AA54" s="65">
        <f t="shared" si="7"/>
        <v>0</v>
      </c>
      <c r="AB54" s="64">
        <v>0</v>
      </c>
      <c r="AC54" s="24"/>
      <c r="AD54" s="65">
        <f t="shared" si="8"/>
        <v>0</v>
      </c>
      <c r="AE54" s="64">
        <v>2.4</v>
      </c>
      <c r="AF54" s="24"/>
      <c r="AG54" s="65">
        <f t="shared" si="9"/>
        <v>2.4</v>
      </c>
    </row>
    <row r="55" spans="3:33" ht="98" outlineLevel="1" x14ac:dyDescent="0.2">
      <c r="C55" s="17" t="s">
        <v>73</v>
      </c>
      <c r="D55" s="22" t="s">
        <v>640</v>
      </c>
      <c r="E55" s="23" t="s">
        <v>611</v>
      </c>
      <c r="F55" s="63">
        <f t="shared" si="0"/>
        <v>50.5</v>
      </c>
      <c r="G55" s="331">
        <f t="shared" si="1"/>
        <v>50.5</v>
      </c>
      <c r="H55" s="398">
        <v>1368834.5445000001</v>
      </c>
      <c r="I55" s="399">
        <f>ROUND(H55*'INDEX ICOCIV'!$R$85,0)</f>
        <v>1861615</v>
      </c>
      <c r="J55" s="324">
        <v>14.3</v>
      </c>
      <c r="K55" s="24"/>
      <c r="L55" s="65">
        <f t="shared" si="2"/>
        <v>14.3</v>
      </c>
      <c r="M55" s="64">
        <v>11.5</v>
      </c>
      <c r="N55" s="24"/>
      <c r="O55" s="65">
        <f t="shared" si="3"/>
        <v>11.5</v>
      </c>
      <c r="P55" s="64">
        <v>0</v>
      </c>
      <c r="Q55" s="24"/>
      <c r="R55" s="65">
        <f t="shared" si="4"/>
        <v>0</v>
      </c>
      <c r="S55" s="64">
        <v>13.8</v>
      </c>
      <c r="T55" s="24"/>
      <c r="U55" s="65">
        <f t="shared" si="5"/>
        <v>13.8</v>
      </c>
      <c r="V55" s="64">
        <v>0</v>
      </c>
      <c r="W55" s="24"/>
      <c r="X55" s="65">
        <f t="shared" si="6"/>
        <v>0</v>
      </c>
      <c r="Y55" s="64">
        <v>0</v>
      </c>
      <c r="Z55" s="24"/>
      <c r="AA55" s="65">
        <f t="shared" si="7"/>
        <v>0</v>
      </c>
      <c r="AB55" s="64">
        <v>3.8</v>
      </c>
      <c r="AC55" s="24"/>
      <c r="AD55" s="65">
        <f t="shared" si="8"/>
        <v>3.8</v>
      </c>
      <c r="AE55" s="64">
        <v>7.1</v>
      </c>
      <c r="AF55" s="24"/>
      <c r="AG55" s="65">
        <f t="shared" si="9"/>
        <v>7.1</v>
      </c>
    </row>
    <row r="56" spans="3:33" ht="98" outlineLevel="1" x14ac:dyDescent="0.2">
      <c r="C56" s="17" t="s">
        <v>74</v>
      </c>
      <c r="D56" s="22" t="s">
        <v>641</v>
      </c>
      <c r="E56" s="23" t="s">
        <v>611</v>
      </c>
      <c r="F56" s="63">
        <f t="shared" si="0"/>
        <v>128.47999999999999</v>
      </c>
      <c r="G56" s="331">
        <f t="shared" si="1"/>
        <v>137.19999999999999</v>
      </c>
      <c r="H56" s="398">
        <v>1114585.0862</v>
      </c>
      <c r="I56" s="399">
        <f>ROUND(H56*'INDEX ICOCIV'!$R$85,0)</f>
        <v>1515836</v>
      </c>
      <c r="J56" s="324">
        <v>33.200000000000003</v>
      </c>
      <c r="K56" s="24"/>
      <c r="L56" s="65">
        <f t="shared" si="2"/>
        <v>33.200000000000003</v>
      </c>
      <c r="M56" s="64">
        <v>8.6999999999999993</v>
      </c>
      <c r="N56" s="24"/>
      <c r="O56" s="65">
        <f t="shared" si="3"/>
        <v>8.6999999999999993</v>
      </c>
      <c r="P56" s="64">
        <v>12.8</v>
      </c>
      <c r="Q56" s="24"/>
      <c r="R56" s="65">
        <f t="shared" si="4"/>
        <v>12.8</v>
      </c>
      <c r="S56" s="64">
        <v>65</v>
      </c>
      <c r="T56" s="24"/>
      <c r="U56" s="65">
        <f t="shared" si="5"/>
        <v>65</v>
      </c>
      <c r="V56" s="64">
        <v>9.3000000000000007</v>
      </c>
      <c r="W56" s="24">
        <v>18.020000669913859</v>
      </c>
      <c r="X56" s="65">
        <f t="shared" si="6"/>
        <v>-8.7200000000000006</v>
      </c>
      <c r="Y56" s="64">
        <v>0</v>
      </c>
      <c r="Z56" s="24"/>
      <c r="AA56" s="65">
        <f t="shared" si="7"/>
        <v>0</v>
      </c>
      <c r="AB56" s="64">
        <v>0</v>
      </c>
      <c r="AC56" s="24"/>
      <c r="AD56" s="65">
        <f t="shared" si="8"/>
        <v>0</v>
      </c>
      <c r="AE56" s="64">
        <v>17.5</v>
      </c>
      <c r="AF56" s="24"/>
      <c r="AG56" s="65">
        <f t="shared" si="9"/>
        <v>17.5</v>
      </c>
    </row>
    <row r="57" spans="3:33" ht="84" outlineLevel="1" x14ac:dyDescent="0.2">
      <c r="C57" s="17" t="s">
        <v>75</v>
      </c>
      <c r="D57" s="22" t="s">
        <v>642</v>
      </c>
      <c r="E57" s="23" t="s">
        <v>611</v>
      </c>
      <c r="F57" s="63">
        <f t="shared" si="0"/>
        <v>242.79</v>
      </c>
      <c r="G57" s="331">
        <f t="shared" si="1"/>
        <v>249.07999999999998</v>
      </c>
      <c r="H57" s="398">
        <v>843851.17799999996</v>
      </c>
      <c r="I57" s="399">
        <f>ROUND(H57*'INDEX ICOCIV'!$R$85,0)</f>
        <v>1147638</v>
      </c>
      <c r="J57" s="324">
        <v>43.8</v>
      </c>
      <c r="K57" s="24"/>
      <c r="L57" s="65">
        <f t="shared" si="2"/>
        <v>43.8</v>
      </c>
      <c r="M57" s="64">
        <v>20.9</v>
      </c>
      <c r="N57" s="24">
        <v>27.19</v>
      </c>
      <c r="O57" s="65">
        <f t="shared" si="3"/>
        <v>-6.29</v>
      </c>
      <c r="P57" s="64">
        <v>34.700000000000003</v>
      </c>
      <c r="Q57" s="24"/>
      <c r="R57" s="65">
        <f t="shared" si="4"/>
        <v>34.700000000000003</v>
      </c>
      <c r="S57" s="64">
        <v>106.1</v>
      </c>
      <c r="T57" s="24"/>
      <c r="U57" s="65">
        <f t="shared" si="5"/>
        <v>106.1</v>
      </c>
      <c r="V57" s="64">
        <v>23</v>
      </c>
      <c r="W57" s="24">
        <v>5.7199896449039507</v>
      </c>
      <c r="X57" s="65">
        <f t="shared" si="6"/>
        <v>17.28</v>
      </c>
      <c r="Y57" s="64">
        <v>10.7</v>
      </c>
      <c r="Z57" s="24"/>
      <c r="AA57" s="65">
        <f t="shared" si="7"/>
        <v>10.7</v>
      </c>
      <c r="AB57" s="64">
        <v>25</v>
      </c>
      <c r="AC57" s="24"/>
      <c r="AD57" s="65">
        <f t="shared" si="8"/>
        <v>25</v>
      </c>
      <c r="AE57" s="64">
        <v>11.5</v>
      </c>
      <c r="AF57" s="24"/>
      <c r="AG57" s="65">
        <f t="shared" si="9"/>
        <v>11.5</v>
      </c>
    </row>
    <row r="58" spans="3:33" ht="84" outlineLevel="1" x14ac:dyDescent="0.2">
      <c r="C58" s="17" t="s">
        <v>76</v>
      </c>
      <c r="D58" s="22" t="s">
        <v>643</v>
      </c>
      <c r="E58" s="23" t="s">
        <v>611</v>
      </c>
      <c r="F58" s="63">
        <f t="shared" si="0"/>
        <v>75.599999999999994</v>
      </c>
      <c r="G58" s="331">
        <f t="shared" si="1"/>
        <v>75.599999999999994</v>
      </c>
      <c r="H58" s="398">
        <v>504624.00170000002</v>
      </c>
      <c r="I58" s="399">
        <f>ROUND(H58*'INDEX ICOCIV'!$R$85,0)</f>
        <v>686289</v>
      </c>
      <c r="J58" s="324">
        <v>15.8</v>
      </c>
      <c r="K58" s="24"/>
      <c r="L58" s="65">
        <f t="shared" si="2"/>
        <v>15.8</v>
      </c>
      <c r="M58" s="64">
        <v>21.9</v>
      </c>
      <c r="N58" s="24">
        <v>6.7</v>
      </c>
      <c r="O58" s="65">
        <f t="shared" si="3"/>
        <v>15.2</v>
      </c>
      <c r="P58" s="64">
        <v>24.8</v>
      </c>
      <c r="Q58" s="24"/>
      <c r="R58" s="65">
        <f t="shared" si="4"/>
        <v>24.8</v>
      </c>
      <c r="S58" s="64">
        <v>4.7</v>
      </c>
      <c r="T58" s="24"/>
      <c r="U58" s="65">
        <f t="shared" si="5"/>
        <v>4.7</v>
      </c>
      <c r="V58" s="64">
        <v>0</v>
      </c>
      <c r="W58" s="24"/>
      <c r="X58" s="65">
        <f t="shared" si="6"/>
        <v>0</v>
      </c>
      <c r="Y58" s="64">
        <v>5</v>
      </c>
      <c r="Z58" s="24"/>
      <c r="AA58" s="65">
        <f t="shared" si="7"/>
        <v>5</v>
      </c>
      <c r="AB58" s="64">
        <v>0</v>
      </c>
      <c r="AC58" s="24"/>
      <c r="AD58" s="65">
        <f t="shared" si="8"/>
        <v>0</v>
      </c>
      <c r="AE58" s="64">
        <v>10.1</v>
      </c>
      <c r="AF58" s="24"/>
      <c r="AG58" s="65">
        <f t="shared" si="9"/>
        <v>10.1</v>
      </c>
    </row>
    <row r="59" spans="3:33" ht="84" outlineLevel="1" x14ac:dyDescent="0.2">
      <c r="C59" s="17" t="s">
        <v>77</v>
      </c>
      <c r="D59" s="22" t="s">
        <v>644</v>
      </c>
      <c r="E59" s="23" t="s">
        <v>611</v>
      </c>
      <c r="F59" s="63">
        <f t="shared" si="0"/>
        <v>86</v>
      </c>
      <c r="G59" s="331">
        <f t="shared" si="1"/>
        <v>109.8</v>
      </c>
      <c r="H59" s="398">
        <v>486925.58439999999</v>
      </c>
      <c r="I59" s="399">
        <f>ROUND(H59*'INDEX ICOCIV'!$R$85,0)</f>
        <v>662219</v>
      </c>
      <c r="J59" s="324">
        <v>24.3</v>
      </c>
      <c r="K59" s="24"/>
      <c r="L59" s="65">
        <f t="shared" si="2"/>
        <v>24.3</v>
      </c>
      <c r="M59" s="64">
        <v>0</v>
      </c>
      <c r="N59" s="24">
        <v>15</v>
      </c>
      <c r="O59" s="65">
        <f t="shared" si="3"/>
        <v>-15</v>
      </c>
      <c r="P59" s="64">
        <v>52.3</v>
      </c>
      <c r="Q59" s="24"/>
      <c r="R59" s="65">
        <f t="shared" si="4"/>
        <v>52.3</v>
      </c>
      <c r="S59" s="64">
        <v>0</v>
      </c>
      <c r="T59" s="24"/>
      <c r="U59" s="65">
        <f t="shared" si="5"/>
        <v>0</v>
      </c>
      <c r="V59" s="64">
        <v>0</v>
      </c>
      <c r="W59" s="24">
        <v>8.7999997068956635</v>
      </c>
      <c r="X59" s="65">
        <f t="shared" si="6"/>
        <v>-8.8000000000000007</v>
      </c>
      <c r="Y59" s="64">
        <v>12</v>
      </c>
      <c r="Z59" s="24"/>
      <c r="AA59" s="65">
        <f t="shared" si="7"/>
        <v>12</v>
      </c>
      <c r="AB59" s="64">
        <v>16</v>
      </c>
      <c r="AC59" s="24"/>
      <c r="AD59" s="65">
        <f t="shared" si="8"/>
        <v>16</v>
      </c>
      <c r="AE59" s="64">
        <v>5.2</v>
      </c>
      <c r="AF59" s="24"/>
      <c r="AG59" s="65">
        <f t="shared" si="9"/>
        <v>5.2</v>
      </c>
    </row>
    <row r="60" spans="3:33" ht="84" outlineLevel="1" x14ac:dyDescent="0.2">
      <c r="C60" s="17" t="s">
        <v>78</v>
      </c>
      <c r="D60" s="22" t="s">
        <v>645</v>
      </c>
      <c r="E60" s="23" t="s">
        <v>611</v>
      </c>
      <c r="F60" s="63">
        <f t="shared" si="0"/>
        <v>93</v>
      </c>
      <c r="G60" s="331">
        <f t="shared" si="1"/>
        <v>93</v>
      </c>
      <c r="H60" s="398">
        <v>370252.38579999999</v>
      </c>
      <c r="I60" s="399">
        <f>ROUND(H60*'INDEX ICOCIV'!$R$85,0)</f>
        <v>503543</v>
      </c>
      <c r="J60" s="324">
        <v>8.8000000000000007</v>
      </c>
      <c r="K60" s="24"/>
      <c r="L60" s="65">
        <f t="shared" si="2"/>
        <v>8.8000000000000007</v>
      </c>
      <c r="M60" s="64">
        <v>0</v>
      </c>
      <c r="N60" s="24"/>
      <c r="O60" s="65">
        <f t="shared" si="3"/>
        <v>0</v>
      </c>
      <c r="P60" s="64">
        <v>20.2</v>
      </c>
      <c r="Q60" s="24"/>
      <c r="R60" s="65">
        <f t="shared" si="4"/>
        <v>20.2</v>
      </c>
      <c r="S60" s="64">
        <v>0</v>
      </c>
      <c r="T60" s="24"/>
      <c r="U60" s="65">
        <f t="shared" si="5"/>
        <v>0</v>
      </c>
      <c r="V60" s="64">
        <v>0</v>
      </c>
      <c r="W60" s="24"/>
      <c r="X60" s="65">
        <f t="shared" si="6"/>
        <v>0</v>
      </c>
      <c r="Y60" s="64">
        <v>35.9</v>
      </c>
      <c r="Z60" s="24"/>
      <c r="AA60" s="65">
        <f t="shared" si="7"/>
        <v>35.9</v>
      </c>
      <c r="AB60" s="64">
        <v>24.1</v>
      </c>
      <c r="AC60" s="24"/>
      <c r="AD60" s="65">
        <f t="shared" si="8"/>
        <v>24.1</v>
      </c>
      <c r="AE60" s="64">
        <v>4</v>
      </c>
      <c r="AF60" s="24"/>
      <c r="AG60" s="65">
        <f t="shared" si="9"/>
        <v>4</v>
      </c>
    </row>
    <row r="61" spans="3:33" ht="84" outlineLevel="1" x14ac:dyDescent="0.2">
      <c r="C61" s="17" t="s">
        <v>79</v>
      </c>
      <c r="D61" s="22" t="s">
        <v>646</v>
      </c>
      <c r="E61" s="23" t="s">
        <v>611</v>
      </c>
      <c r="F61" s="63">
        <f t="shared" si="0"/>
        <v>18.5</v>
      </c>
      <c r="G61" s="331">
        <f t="shared" si="1"/>
        <v>18.5</v>
      </c>
      <c r="H61" s="398">
        <v>329860.64110000001</v>
      </c>
      <c r="I61" s="399">
        <f>ROUND(H61*'INDEX ICOCIV'!$R$85,0)</f>
        <v>448610</v>
      </c>
      <c r="J61" s="324">
        <v>0</v>
      </c>
      <c r="K61" s="24"/>
      <c r="L61" s="65">
        <f t="shared" si="2"/>
        <v>0</v>
      </c>
      <c r="M61" s="64">
        <v>0</v>
      </c>
      <c r="N61" s="24"/>
      <c r="O61" s="65">
        <f t="shared" si="3"/>
        <v>0</v>
      </c>
      <c r="P61" s="64">
        <v>18.5</v>
      </c>
      <c r="Q61" s="24"/>
      <c r="R61" s="65">
        <f t="shared" si="4"/>
        <v>18.5</v>
      </c>
      <c r="S61" s="64">
        <v>0</v>
      </c>
      <c r="T61" s="24"/>
      <c r="U61" s="65">
        <f t="shared" si="5"/>
        <v>0</v>
      </c>
      <c r="V61" s="64">
        <v>0</v>
      </c>
      <c r="W61" s="24"/>
      <c r="X61" s="65">
        <f t="shared" si="6"/>
        <v>0</v>
      </c>
      <c r="Y61" s="64">
        <v>0</v>
      </c>
      <c r="Z61" s="24"/>
      <c r="AA61" s="65">
        <f t="shared" si="7"/>
        <v>0</v>
      </c>
      <c r="AB61" s="64">
        <v>0</v>
      </c>
      <c r="AC61" s="24"/>
      <c r="AD61" s="65">
        <f t="shared" si="8"/>
        <v>0</v>
      </c>
      <c r="AE61" s="64">
        <v>0</v>
      </c>
      <c r="AF61" s="24"/>
      <c r="AG61" s="65">
        <f t="shared" si="9"/>
        <v>0</v>
      </c>
    </row>
    <row r="62" spans="3:33" ht="42" outlineLevel="1" x14ac:dyDescent="0.2">
      <c r="C62" s="17" t="s">
        <v>80</v>
      </c>
      <c r="D62" s="22" t="s">
        <v>647</v>
      </c>
      <c r="E62" s="23" t="s">
        <v>183</v>
      </c>
      <c r="F62" s="63">
        <f t="shared" si="0"/>
        <v>0</v>
      </c>
      <c r="G62" s="331">
        <f t="shared" si="1"/>
        <v>0</v>
      </c>
      <c r="H62" s="398">
        <v>717353</v>
      </c>
      <c r="I62" s="399">
        <f>ROUND(H62*'INDEX ICOCIV'!$R$85,0)</f>
        <v>975600</v>
      </c>
      <c r="J62" s="324">
        <v>0</v>
      </c>
      <c r="K62" s="24"/>
      <c r="L62" s="65">
        <f t="shared" si="2"/>
        <v>0</v>
      </c>
      <c r="M62" s="64">
        <v>0</v>
      </c>
      <c r="N62" s="24"/>
      <c r="O62" s="65">
        <f t="shared" si="3"/>
        <v>0</v>
      </c>
      <c r="P62" s="64">
        <v>0</v>
      </c>
      <c r="Q62" s="24"/>
      <c r="R62" s="65">
        <f t="shared" si="4"/>
        <v>0</v>
      </c>
      <c r="S62" s="64">
        <v>0</v>
      </c>
      <c r="T62" s="24"/>
      <c r="U62" s="65">
        <f t="shared" si="5"/>
        <v>0</v>
      </c>
      <c r="V62" s="64">
        <v>0</v>
      </c>
      <c r="W62" s="24"/>
      <c r="X62" s="65">
        <f t="shared" si="6"/>
        <v>0</v>
      </c>
      <c r="Y62" s="64">
        <v>0</v>
      </c>
      <c r="Z62" s="24"/>
      <c r="AA62" s="65">
        <f t="shared" si="7"/>
        <v>0</v>
      </c>
      <c r="AB62" s="64">
        <v>0</v>
      </c>
      <c r="AC62" s="24"/>
      <c r="AD62" s="65">
        <f t="shared" si="8"/>
        <v>0</v>
      </c>
      <c r="AE62" s="64">
        <v>0</v>
      </c>
      <c r="AF62" s="24"/>
      <c r="AG62" s="65">
        <f t="shared" si="9"/>
        <v>0</v>
      </c>
    </row>
    <row r="63" spans="3:33" ht="28" outlineLevel="1" x14ac:dyDescent="0.2">
      <c r="C63" s="17" t="s">
        <v>81</v>
      </c>
      <c r="D63" s="22" t="s">
        <v>626</v>
      </c>
      <c r="E63" s="23" t="s">
        <v>627</v>
      </c>
      <c r="F63" s="63">
        <f t="shared" si="0"/>
        <v>0</v>
      </c>
      <c r="G63" s="331">
        <f t="shared" si="1"/>
        <v>0</v>
      </c>
      <c r="H63" s="398">
        <v>2514</v>
      </c>
      <c r="I63" s="399">
        <f>ROUND(H63*'INDEX ICOCIV'!$R$85,0)</f>
        <v>3419</v>
      </c>
      <c r="J63" s="324">
        <v>0</v>
      </c>
      <c r="K63" s="24"/>
      <c r="L63" s="65">
        <f t="shared" si="2"/>
        <v>0</v>
      </c>
      <c r="M63" s="64">
        <v>0</v>
      </c>
      <c r="N63" s="24"/>
      <c r="O63" s="65">
        <f t="shared" si="3"/>
        <v>0</v>
      </c>
      <c r="P63" s="64">
        <v>0</v>
      </c>
      <c r="Q63" s="24"/>
      <c r="R63" s="65">
        <f t="shared" si="4"/>
        <v>0</v>
      </c>
      <c r="S63" s="64">
        <v>0</v>
      </c>
      <c r="T63" s="24"/>
      <c r="U63" s="65">
        <f t="shared" si="5"/>
        <v>0</v>
      </c>
      <c r="V63" s="64">
        <v>0</v>
      </c>
      <c r="W63" s="24"/>
      <c r="X63" s="65">
        <f t="shared" si="6"/>
        <v>0</v>
      </c>
      <c r="Y63" s="64">
        <v>0</v>
      </c>
      <c r="Z63" s="24"/>
      <c r="AA63" s="65">
        <f t="shared" si="7"/>
        <v>0</v>
      </c>
      <c r="AB63" s="64">
        <v>0</v>
      </c>
      <c r="AC63" s="24"/>
      <c r="AD63" s="65">
        <f t="shared" si="8"/>
        <v>0</v>
      </c>
      <c r="AE63" s="64">
        <v>0</v>
      </c>
      <c r="AF63" s="24"/>
      <c r="AG63" s="65">
        <f t="shared" si="9"/>
        <v>0</v>
      </c>
    </row>
    <row r="64" spans="3:33" ht="16" outlineLevel="1" x14ac:dyDescent="0.2">
      <c r="C64" s="17" t="s">
        <v>82</v>
      </c>
      <c r="D64" s="22" t="s">
        <v>648</v>
      </c>
      <c r="E64" s="23" t="s">
        <v>188</v>
      </c>
      <c r="F64" s="63">
        <f t="shared" si="0"/>
        <v>0</v>
      </c>
      <c r="G64" s="331">
        <f t="shared" si="1"/>
        <v>0</v>
      </c>
      <c r="H64" s="398">
        <v>1363</v>
      </c>
      <c r="I64" s="399">
        <f>ROUND(H64*'INDEX ICOCIV'!$R$85,0)</f>
        <v>1854</v>
      </c>
      <c r="J64" s="324">
        <v>0</v>
      </c>
      <c r="K64" s="24"/>
      <c r="L64" s="65">
        <f t="shared" si="2"/>
        <v>0</v>
      </c>
      <c r="M64" s="64">
        <v>0</v>
      </c>
      <c r="N64" s="24"/>
      <c r="O64" s="65">
        <f t="shared" si="3"/>
        <v>0</v>
      </c>
      <c r="P64" s="64">
        <v>0</v>
      </c>
      <c r="Q64" s="24"/>
      <c r="R64" s="65">
        <f t="shared" si="4"/>
        <v>0</v>
      </c>
      <c r="S64" s="64">
        <v>0</v>
      </c>
      <c r="T64" s="24"/>
      <c r="U64" s="65">
        <f t="shared" si="5"/>
        <v>0</v>
      </c>
      <c r="V64" s="64">
        <v>0</v>
      </c>
      <c r="W64" s="24"/>
      <c r="X64" s="65">
        <f t="shared" si="6"/>
        <v>0</v>
      </c>
      <c r="Y64" s="64">
        <v>0</v>
      </c>
      <c r="Z64" s="24"/>
      <c r="AA64" s="65">
        <f t="shared" si="7"/>
        <v>0</v>
      </c>
      <c r="AB64" s="64">
        <v>0</v>
      </c>
      <c r="AC64" s="24"/>
      <c r="AD64" s="65">
        <f t="shared" si="8"/>
        <v>0</v>
      </c>
      <c r="AE64" s="64">
        <v>0</v>
      </c>
      <c r="AF64" s="24"/>
      <c r="AG64" s="65">
        <f t="shared" si="9"/>
        <v>0</v>
      </c>
    </row>
    <row r="65" spans="3:33" ht="28" outlineLevel="1" x14ac:dyDescent="0.2">
      <c r="C65" s="17" t="s">
        <v>83</v>
      </c>
      <c r="D65" s="22" t="s">
        <v>649</v>
      </c>
      <c r="E65" s="23" t="s">
        <v>183</v>
      </c>
      <c r="F65" s="63">
        <f t="shared" si="0"/>
        <v>0</v>
      </c>
      <c r="G65" s="331">
        <f t="shared" si="1"/>
        <v>0</v>
      </c>
      <c r="H65" s="398">
        <v>283846</v>
      </c>
      <c r="I65" s="399">
        <f>ROUND(H65*'INDEX ICOCIV'!$R$85,0)</f>
        <v>386031</v>
      </c>
      <c r="J65" s="324">
        <v>0</v>
      </c>
      <c r="K65" s="24"/>
      <c r="L65" s="65">
        <f t="shared" si="2"/>
        <v>0</v>
      </c>
      <c r="M65" s="64">
        <v>0</v>
      </c>
      <c r="N65" s="24"/>
      <c r="O65" s="65">
        <f t="shared" si="3"/>
        <v>0</v>
      </c>
      <c r="P65" s="64">
        <v>0</v>
      </c>
      <c r="Q65" s="24"/>
      <c r="R65" s="65">
        <f t="shared" si="4"/>
        <v>0</v>
      </c>
      <c r="S65" s="64">
        <v>0</v>
      </c>
      <c r="T65" s="24"/>
      <c r="U65" s="65">
        <f t="shared" si="5"/>
        <v>0</v>
      </c>
      <c r="V65" s="64">
        <v>0</v>
      </c>
      <c r="W65" s="24"/>
      <c r="X65" s="65">
        <f t="shared" si="6"/>
        <v>0</v>
      </c>
      <c r="Y65" s="64">
        <v>0</v>
      </c>
      <c r="Z65" s="24"/>
      <c r="AA65" s="65">
        <f t="shared" si="7"/>
        <v>0</v>
      </c>
      <c r="AB65" s="64">
        <v>0</v>
      </c>
      <c r="AC65" s="24"/>
      <c r="AD65" s="65">
        <f t="shared" si="8"/>
        <v>0</v>
      </c>
      <c r="AE65" s="64">
        <v>0</v>
      </c>
      <c r="AF65" s="24"/>
      <c r="AG65" s="65">
        <f t="shared" si="9"/>
        <v>0</v>
      </c>
    </row>
    <row r="66" spans="3:33" ht="16" outlineLevel="1" x14ac:dyDescent="0.2">
      <c r="C66" s="17" t="s">
        <v>84</v>
      </c>
      <c r="D66" s="22" t="s">
        <v>85</v>
      </c>
      <c r="E66" s="23" t="s">
        <v>171</v>
      </c>
      <c r="F66" s="63">
        <f t="shared" si="0"/>
        <v>0</v>
      </c>
      <c r="G66" s="331">
        <f t="shared" si="1"/>
        <v>0</v>
      </c>
      <c r="H66" s="398">
        <v>27733</v>
      </c>
      <c r="I66" s="399">
        <f>ROUND(H66*'INDEX ICOCIV'!$R$85,0)</f>
        <v>37717</v>
      </c>
      <c r="J66" s="324">
        <v>0</v>
      </c>
      <c r="K66" s="24"/>
      <c r="L66" s="65">
        <f t="shared" si="2"/>
        <v>0</v>
      </c>
      <c r="M66" s="64">
        <v>0</v>
      </c>
      <c r="N66" s="24"/>
      <c r="O66" s="65">
        <f t="shared" si="3"/>
        <v>0</v>
      </c>
      <c r="P66" s="64">
        <v>0</v>
      </c>
      <c r="Q66" s="24"/>
      <c r="R66" s="65">
        <f t="shared" si="4"/>
        <v>0</v>
      </c>
      <c r="S66" s="64">
        <v>0</v>
      </c>
      <c r="T66" s="24"/>
      <c r="U66" s="65">
        <f t="shared" si="5"/>
        <v>0</v>
      </c>
      <c r="V66" s="64">
        <v>0</v>
      </c>
      <c r="W66" s="24"/>
      <c r="X66" s="65">
        <f t="shared" si="6"/>
        <v>0</v>
      </c>
      <c r="Y66" s="64">
        <v>0</v>
      </c>
      <c r="Z66" s="24"/>
      <c r="AA66" s="65">
        <f t="shared" si="7"/>
        <v>0</v>
      </c>
      <c r="AB66" s="64">
        <v>0</v>
      </c>
      <c r="AC66" s="24"/>
      <c r="AD66" s="65">
        <f t="shared" si="8"/>
        <v>0</v>
      </c>
      <c r="AE66" s="64">
        <v>0</v>
      </c>
      <c r="AF66" s="24"/>
      <c r="AG66" s="65">
        <f t="shared" si="9"/>
        <v>0</v>
      </c>
    </row>
    <row r="67" spans="3:33" ht="28" outlineLevel="1" x14ac:dyDescent="0.2">
      <c r="C67" s="17" t="s">
        <v>86</v>
      </c>
      <c r="D67" s="22" t="s">
        <v>650</v>
      </c>
      <c r="E67" s="23" t="s">
        <v>171</v>
      </c>
      <c r="F67" s="63">
        <f t="shared" si="0"/>
        <v>0</v>
      </c>
      <c r="G67" s="331">
        <f t="shared" si="1"/>
        <v>0</v>
      </c>
      <c r="H67" s="398">
        <v>24040</v>
      </c>
      <c r="I67" s="399">
        <f>ROUND(H67*'INDEX ICOCIV'!$R$85,0)</f>
        <v>32694</v>
      </c>
      <c r="J67" s="324">
        <v>0</v>
      </c>
      <c r="K67" s="24"/>
      <c r="L67" s="65">
        <f t="shared" si="2"/>
        <v>0</v>
      </c>
      <c r="M67" s="64">
        <v>0</v>
      </c>
      <c r="N67" s="24"/>
      <c r="O67" s="65">
        <f t="shared" si="3"/>
        <v>0</v>
      </c>
      <c r="P67" s="64">
        <v>0</v>
      </c>
      <c r="Q67" s="24"/>
      <c r="R67" s="65">
        <f t="shared" si="4"/>
        <v>0</v>
      </c>
      <c r="S67" s="64">
        <v>0</v>
      </c>
      <c r="T67" s="24"/>
      <c r="U67" s="65">
        <f t="shared" si="5"/>
        <v>0</v>
      </c>
      <c r="V67" s="64">
        <v>0</v>
      </c>
      <c r="W67" s="24"/>
      <c r="X67" s="65">
        <f t="shared" si="6"/>
        <v>0</v>
      </c>
      <c r="Y67" s="64">
        <v>0</v>
      </c>
      <c r="Z67" s="24"/>
      <c r="AA67" s="65">
        <f t="shared" si="7"/>
        <v>0</v>
      </c>
      <c r="AB67" s="64">
        <v>0</v>
      </c>
      <c r="AC67" s="24"/>
      <c r="AD67" s="65">
        <f t="shared" si="8"/>
        <v>0</v>
      </c>
      <c r="AE67" s="64">
        <v>0</v>
      </c>
      <c r="AF67" s="24"/>
      <c r="AG67" s="65">
        <f t="shared" si="9"/>
        <v>0</v>
      </c>
    </row>
    <row r="68" spans="3:33" ht="28" outlineLevel="1" x14ac:dyDescent="0.2">
      <c r="C68" s="17" t="s">
        <v>87</v>
      </c>
      <c r="D68" s="22" t="s">
        <v>651</v>
      </c>
      <c r="E68" s="23" t="s">
        <v>171</v>
      </c>
      <c r="F68" s="63">
        <f t="shared" si="0"/>
        <v>0</v>
      </c>
      <c r="G68" s="331">
        <f t="shared" si="1"/>
        <v>0</v>
      </c>
      <c r="H68" s="398">
        <v>9962</v>
      </c>
      <c r="I68" s="399">
        <f>ROUND(H68*'INDEX ICOCIV'!$R$85,0)</f>
        <v>13548</v>
      </c>
      <c r="J68" s="324">
        <v>0</v>
      </c>
      <c r="K68" s="24"/>
      <c r="L68" s="65">
        <f t="shared" si="2"/>
        <v>0</v>
      </c>
      <c r="M68" s="64">
        <v>0</v>
      </c>
      <c r="N68" s="24"/>
      <c r="O68" s="65">
        <f t="shared" si="3"/>
        <v>0</v>
      </c>
      <c r="P68" s="64">
        <v>0</v>
      </c>
      <c r="Q68" s="24"/>
      <c r="R68" s="65">
        <f t="shared" si="4"/>
        <v>0</v>
      </c>
      <c r="S68" s="64">
        <v>0</v>
      </c>
      <c r="T68" s="24"/>
      <c r="U68" s="65">
        <f t="shared" si="5"/>
        <v>0</v>
      </c>
      <c r="V68" s="64">
        <v>0</v>
      </c>
      <c r="W68" s="24"/>
      <c r="X68" s="65">
        <f t="shared" si="6"/>
        <v>0</v>
      </c>
      <c r="Y68" s="64">
        <v>0</v>
      </c>
      <c r="Z68" s="24"/>
      <c r="AA68" s="65">
        <f t="shared" si="7"/>
        <v>0</v>
      </c>
      <c r="AB68" s="64">
        <v>0</v>
      </c>
      <c r="AC68" s="24"/>
      <c r="AD68" s="65">
        <f t="shared" si="8"/>
        <v>0</v>
      </c>
      <c r="AE68" s="64">
        <v>0</v>
      </c>
      <c r="AF68" s="24"/>
      <c r="AG68" s="65">
        <f t="shared" si="9"/>
        <v>0</v>
      </c>
    </row>
    <row r="69" spans="3:33" ht="21" customHeight="1" x14ac:dyDescent="0.2">
      <c r="C69" s="27">
        <v>5</v>
      </c>
      <c r="D69" s="28" t="s">
        <v>88</v>
      </c>
      <c r="E69" s="29"/>
      <c r="F69" s="30" t="str">
        <f t="shared" si="0"/>
        <v/>
      </c>
      <c r="G69" s="330"/>
      <c r="H69" s="400"/>
      <c r="I69" s="400"/>
      <c r="J69" s="325"/>
      <c r="K69" s="14"/>
      <c r="L69" s="67"/>
      <c r="M69" s="66"/>
      <c r="N69" s="14"/>
      <c r="O69" s="67"/>
      <c r="P69" s="66"/>
      <c r="Q69" s="14"/>
      <c r="R69" s="67"/>
      <c r="S69" s="66"/>
      <c r="T69" s="14"/>
      <c r="U69" s="67"/>
      <c r="V69" s="66"/>
      <c r="W69" s="14"/>
      <c r="X69" s="67"/>
      <c r="Y69" s="66"/>
      <c r="Z69" s="14"/>
      <c r="AA69" s="67"/>
      <c r="AB69" s="66"/>
      <c r="AC69" s="14"/>
      <c r="AD69" s="67"/>
      <c r="AE69" s="66"/>
      <c r="AF69" s="14"/>
      <c r="AG69" s="67"/>
    </row>
    <row r="70" spans="3:33" ht="28" outlineLevel="1" x14ac:dyDescent="0.2">
      <c r="C70" s="17" t="s">
        <v>89</v>
      </c>
      <c r="D70" s="22" t="s">
        <v>652</v>
      </c>
      <c r="E70" s="23" t="s">
        <v>611</v>
      </c>
      <c r="F70" s="63">
        <f t="shared" si="0"/>
        <v>819.4</v>
      </c>
      <c r="G70" s="331">
        <f t="shared" si="1"/>
        <v>819.4</v>
      </c>
      <c r="H70" s="398">
        <v>218193.85939999999</v>
      </c>
      <c r="I70" s="399">
        <f>ROUND(H70*'INDEX ICOCIV'!$R$85,0)</f>
        <v>296744</v>
      </c>
      <c r="J70" s="324">
        <v>145.30000000000001</v>
      </c>
      <c r="K70" s="24"/>
      <c r="L70" s="65">
        <f t="shared" si="2"/>
        <v>145.30000000000001</v>
      </c>
      <c r="M70" s="64">
        <v>63</v>
      </c>
      <c r="N70" s="24"/>
      <c r="O70" s="65">
        <f t="shared" si="3"/>
        <v>63</v>
      </c>
      <c r="P70" s="64">
        <v>163.30000000000001</v>
      </c>
      <c r="Q70" s="24"/>
      <c r="R70" s="65">
        <f t="shared" si="4"/>
        <v>163.30000000000001</v>
      </c>
      <c r="S70" s="64">
        <v>216</v>
      </c>
      <c r="T70" s="24"/>
      <c r="U70" s="65">
        <f t="shared" si="5"/>
        <v>216</v>
      </c>
      <c r="V70" s="64">
        <v>41.3</v>
      </c>
      <c r="W70" s="24"/>
      <c r="X70" s="65">
        <f t="shared" si="6"/>
        <v>41.3</v>
      </c>
      <c r="Y70" s="64">
        <v>63.7</v>
      </c>
      <c r="Z70" s="24"/>
      <c r="AA70" s="65">
        <f t="shared" si="7"/>
        <v>63.7</v>
      </c>
      <c r="AB70" s="64">
        <v>68.900000000000006</v>
      </c>
      <c r="AC70" s="24"/>
      <c r="AD70" s="65">
        <f t="shared" si="8"/>
        <v>68.900000000000006</v>
      </c>
      <c r="AE70" s="64">
        <v>57.9</v>
      </c>
      <c r="AF70" s="24"/>
      <c r="AG70" s="65">
        <f t="shared" si="9"/>
        <v>57.9</v>
      </c>
    </row>
    <row r="71" spans="3:33" ht="42" outlineLevel="1" x14ac:dyDescent="0.2">
      <c r="C71" s="17" t="s">
        <v>90</v>
      </c>
      <c r="D71" s="22" t="s">
        <v>91</v>
      </c>
      <c r="E71" s="23" t="s">
        <v>176</v>
      </c>
      <c r="F71" s="63">
        <f t="shared" si="0"/>
        <v>1</v>
      </c>
      <c r="G71" s="331">
        <f t="shared" si="1"/>
        <v>1</v>
      </c>
      <c r="H71" s="398">
        <v>147594.8469</v>
      </c>
      <c r="I71" s="399">
        <f>ROUND(H71*'INDEX ICOCIV'!$R$85,0)</f>
        <v>200729</v>
      </c>
      <c r="J71" s="324">
        <v>0</v>
      </c>
      <c r="K71" s="24"/>
      <c r="L71" s="65">
        <f t="shared" si="2"/>
        <v>0</v>
      </c>
      <c r="M71" s="64">
        <v>0</v>
      </c>
      <c r="N71" s="24"/>
      <c r="O71" s="65">
        <f t="shared" si="3"/>
        <v>0</v>
      </c>
      <c r="P71" s="64">
        <v>1</v>
      </c>
      <c r="Q71" s="24"/>
      <c r="R71" s="65">
        <f t="shared" si="4"/>
        <v>1</v>
      </c>
      <c r="S71" s="64">
        <v>0</v>
      </c>
      <c r="T71" s="24"/>
      <c r="U71" s="65">
        <f t="shared" si="5"/>
        <v>0</v>
      </c>
      <c r="V71" s="64">
        <v>0</v>
      </c>
      <c r="W71" s="24"/>
      <c r="X71" s="65">
        <f t="shared" si="6"/>
        <v>0</v>
      </c>
      <c r="Y71" s="64">
        <v>0</v>
      </c>
      <c r="Z71" s="24"/>
      <c r="AA71" s="65">
        <f t="shared" si="7"/>
        <v>0</v>
      </c>
      <c r="AB71" s="64">
        <v>0</v>
      </c>
      <c r="AC71" s="24"/>
      <c r="AD71" s="65">
        <f t="shared" si="8"/>
        <v>0</v>
      </c>
      <c r="AE71" s="64">
        <v>0</v>
      </c>
      <c r="AF71" s="24"/>
      <c r="AG71" s="65">
        <f t="shared" si="9"/>
        <v>0</v>
      </c>
    </row>
    <row r="72" spans="3:33" ht="28" outlineLevel="1" x14ac:dyDescent="0.2">
      <c r="C72" s="17" t="s">
        <v>92</v>
      </c>
      <c r="D72" s="22" t="s">
        <v>653</v>
      </c>
      <c r="E72" s="23" t="s">
        <v>176</v>
      </c>
      <c r="F72" s="63">
        <f t="shared" si="0"/>
        <v>0</v>
      </c>
      <c r="G72" s="331">
        <f t="shared" si="1"/>
        <v>0</v>
      </c>
      <c r="H72" s="398">
        <v>147961.14670000001</v>
      </c>
      <c r="I72" s="399">
        <f>ROUND(H72*'INDEX ICOCIV'!$R$85,0)</f>
        <v>201227</v>
      </c>
      <c r="J72" s="324">
        <v>0</v>
      </c>
      <c r="K72" s="24"/>
      <c r="L72" s="65">
        <f t="shared" si="2"/>
        <v>0</v>
      </c>
      <c r="M72" s="64">
        <v>0</v>
      </c>
      <c r="N72" s="24"/>
      <c r="O72" s="65">
        <f t="shared" si="3"/>
        <v>0</v>
      </c>
      <c r="P72" s="64">
        <v>0</v>
      </c>
      <c r="Q72" s="24"/>
      <c r="R72" s="65">
        <f t="shared" si="4"/>
        <v>0</v>
      </c>
      <c r="S72" s="64">
        <v>0</v>
      </c>
      <c r="T72" s="24"/>
      <c r="U72" s="65">
        <f t="shared" si="5"/>
        <v>0</v>
      </c>
      <c r="V72" s="64">
        <v>0</v>
      </c>
      <c r="W72" s="24"/>
      <c r="X72" s="65">
        <f t="shared" si="6"/>
        <v>0</v>
      </c>
      <c r="Y72" s="64">
        <v>0</v>
      </c>
      <c r="Z72" s="24"/>
      <c r="AA72" s="65">
        <f t="shared" si="7"/>
        <v>0</v>
      </c>
      <c r="AB72" s="64">
        <v>0</v>
      </c>
      <c r="AC72" s="24"/>
      <c r="AD72" s="65">
        <f t="shared" si="8"/>
        <v>0</v>
      </c>
      <c r="AE72" s="64">
        <v>0</v>
      </c>
      <c r="AF72" s="24"/>
      <c r="AG72" s="65">
        <f t="shared" si="9"/>
        <v>0</v>
      </c>
    </row>
    <row r="73" spans="3:33" ht="42" outlineLevel="1" x14ac:dyDescent="0.2">
      <c r="C73" s="17" t="s">
        <v>93</v>
      </c>
      <c r="D73" s="22" t="s">
        <v>94</v>
      </c>
      <c r="E73" s="23" t="s">
        <v>176</v>
      </c>
      <c r="F73" s="63">
        <f t="shared" ref="F73:F136" si="10">IF(E73="","",MAX(0,ROUND(SUM(L73,O73,R73,U73,X73,AA73,AD73,AG73),2)))</f>
        <v>1</v>
      </c>
      <c r="G73" s="331">
        <f t="shared" ref="G73:G136" si="11">IF($E73="","",SUM(MAX($L73,0),MAX($O73,0),MAX($R73,0),MAX($U73,0),MAX($X73,0),MAX($AA73,0),MAX($AD73,0),MAX($AG73,0)))</f>
        <v>1</v>
      </c>
      <c r="H73" s="398">
        <v>529077.86950000003</v>
      </c>
      <c r="I73" s="399">
        <f>ROUND(H73*'INDEX ICOCIV'!$R$85,0)</f>
        <v>719546</v>
      </c>
      <c r="J73" s="324">
        <v>0</v>
      </c>
      <c r="K73" s="24"/>
      <c r="L73" s="65">
        <f t="shared" si="2"/>
        <v>0</v>
      </c>
      <c r="M73" s="64">
        <v>0</v>
      </c>
      <c r="N73" s="24"/>
      <c r="O73" s="65">
        <f t="shared" si="3"/>
        <v>0</v>
      </c>
      <c r="P73" s="64">
        <v>0</v>
      </c>
      <c r="Q73" s="24"/>
      <c r="R73" s="65">
        <f t="shared" si="4"/>
        <v>0</v>
      </c>
      <c r="S73" s="64">
        <v>0</v>
      </c>
      <c r="T73" s="24"/>
      <c r="U73" s="65">
        <f t="shared" si="5"/>
        <v>0</v>
      </c>
      <c r="V73" s="64">
        <v>0</v>
      </c>
      <c r="W73" s="24"/>
      <c r="X73" s="65">
        <f t="shared" si="6"/>
        <v>0</v>
      </c>
      <c r="Y73" s="64">
        <v>0</v>
      </c>
      <c r="Z73" s="24"/>
      <c r="AA73" s="65">
        <f t="shared" si="7"/>
        <v>0</v>
      </c>
      <c r="AB73" s="64">
        <v>0</v>
      </c>
      <c r="AC73" s="24"/>
      <c r="AD73" s="65">
        <f t="shared" si="8"/>
        <v>0</v>
      </c>
      <c r="AE73" s="64">
        <v>1</v>
      </c>
      <c r="AF73" s="24"/>
      <c r="AG73" s="65">
        <f t="shared" si="9"/>
        <v>1</v>
      </c>
    </row>
    <row r="74" spans="3:33" ht="56" outlineLevel="1" x14ac:dyDescent="0.2">
      <c r="C74" s="17" t="s">
        <v>95</v>
      </c>
      <c r="D74" s="22" t="s">
        <v>96</v>
      </c>
      <c r="E74" s="23" t="s">
        <v>188</v>
      </c>
      <c r="F74" s="63">
        <f t="shared" si="10"/>
        <v>0</v>
      </c>
      <c r="G74" s="331">
        <f t="shared" si="11"/>
        <v>0</v>
      </c>
      <c r="H74" s="398">
        <v>618142.41929999995</v>
      </c>
      <c r="I74" s="399">
        <f>ROUND(H74*'INDEX ICOCIV'!$R$85,0)</f>
        <v>840674</v>
      </c>
      <c r="J74" s="324">
        <v>0</v>
      </c>
      <c r="K74" s="24"/>
      <c r="L74" s="65">
        <f t="shared" ref="L74:L137" si="12">+ROUND(J74-K74,2)</f>
        <v>0</v>
      </c>
      <c r="M74" s="64">
        <v>0</v>
      </c>
      <c r="N74" s="24"/>
      <c r="O74" s="65">
        <f t="shared" ref="O74:O137" si="13">+ROUND(M74-N74,2)</f>
        <v>0</v>
      </c>
      <c r="P74" s="64">
        <v>0</v>
      </c>
      <c r="Q74" s="24"/>
      <c r="R74" s="65">
        <f t="shared" ref="R74:R137" si="14">+ROUND(P74-Q74,2)</f>
        <v>0</v>
      </c>
      <c r="S74" s="64">
        <v>0</v>
      </c>
      <c r="T74" s="24"/>
      <c r="U74" s="65">
        <f t="shared" ref="U74:U137" si="15">+ROUND(S74-T74,2)</f>
        <v>0</v>
      </c>
      <c r="V74" s="64">
        <v>0</v>
      </c>
      <c r="W74" s="24"/>
      <c r="X74" s="65">
        <f t="shared" ref="X74:X137" si="16">+ROUND(V74-W74,2)</f>
        <v>0</v>
      </c>
      <c r="Y74" s="64">
        <v>0</v>
      </c>
      <c r="Z74" s="24"/>
      <c r="AA74" s="65">
        <f t="shared" ref="AA74:AA137" si="17">+ROUND(Y74-Z74,2)</f>
        <v>0</v>
      </c>
      <c r="AB74" s="64">
        <v>0</v>
      </c>
      <c r="AC74" s="24"/>
      <c r="AD74" s="65">
        <f t="shared" ref="AD74:AD137" si="18">+ROUND(AB74-AC74,2)</f>
        <v>0</v>
      </c>
      <c r="AE74" s="64">
        <v>0</v>
      </c>
      <c r="AF74" s="24"/>
      <c r="AG74" s="65">
        <f t="shared" ref="AG74:AG137" si="19">+ROUND(AE74-AF74,2)</f>
        <v>0</v>
      </c>
    </row>
    <row r="75" spans="3:33" ht="42" outlineLevel="1" x14ac:dyDescent="0.2">
      <c r="C75" s="17" t="s">
        <v>97</v>
      </c>
      <c r="D75" s="22" t="s">
        <v>98</v>
      </c>
      <c r="E75" s="23" t="s">
        <v>611</v>
      </c>
      <c r="F75" s="63">
        <f t="shared" si="10"/>
        <v>0</v>
      </c>
      <c r="G75" s="331">
        <f t="shared" si="11"/>
        <v>0</v>
      </c>
      <c r="H75" s="398">
        <v>27576.046200000001</v>
      </c>
      <c r="I75" s="399">
        <f>ROUND(H75*'INDEX ICOCIV'!$R$85,0)</f>
        <v>37503</v>
      </c>
      <c r="J75" s="324">
        <v>0</v>
      </c>
      <c r="K75" s="24"/>
      <c r="L75" s="65">
        <f t="shared" si="12"/>
        <v>0</v>
      </c>
      <c r="M75" s="64">
        <v>0</v>
      </c>
      <c r="N75" s="24"/>
      <c r="O75" s="65">
        <f t="shared" si="13"/>
        <v>0</v>
      </c>
      <c r="P75" s="64">
        <v>0</v>
      </c>
      <c r="Q75" s="24"/>
      <c r="R75" s="65">
        <f t="shared" si="14"/>
        <v>0</v>
      </c>
      <c r="S75" s="64">
        <v>0</v>
      </c>
      <c r="T75" s="24"/>
      <c r="U75" s="65">
        <f t="shared" si="15"/>
        <v>0</v>
      </c>
      <c r="V75" s="64">
        <v>0</v>
      </c>
      <c r="W75" s="24"/>
      <c r="X75" s="65">
        <f t="shared" si="16"/>
        <v>0</v>
      </c>
      <c r="Y75" s="64">
        <v>0</v>
      </c>
      <c r="Z75" s="24"/>
      <c r="AA75" s="65">
        <f t="shared" si="17"/>
        <v>0</v>
      </c>
      <c r="AB75" s="64">
        <v>0</v>
      </c>
      <c r="AC75" s="24"/>
      <c r="AD75" s="65">
        <f t="shared" si="18"/>
        <v>0</v>
      </c>
      <c r="AE75" s="64">
        <v>0</v>
      </c>
      <c r="AF75" s="24"/>
      <c r="AG75" s="65">
        <f t="shared" si="19"/>
        <v>0</v>
      </c>
    </row>
    <row r="76" spans="3:33" ht="28" outlineLevel="1" x14ac:dyDescent="0.2">
      <c r="C76" s="17" t="s">
        <v>99</v>
      </c>
      <c r="D76" s="22" t="s">
        <v>100</v>
      </c>
      <c r="E76" s="23" t="s">
        <v>183</v>
      </c>
      <c r="F76" s="63">
        <f t="shared" si="10"/>
        <v>1</v>
      </c>
      <c r="G76" s="331">
        <f t="shared" si="11"/>
        <v>1</v>
      </c>
      <c r="H76" s="398">
        <v>32422.326799999999</v>
      </c>
      <c r="I76" s="399">
        <f>ROUND(H76*'INDEX ICOCIV'!$R$85,0)</f>
        <v>44094</v>
      </c>
      <c r="J76" s="324">
        <v>0</v>
      </c>
      <c r="K76" s="24"/>
      <c r="L76" s="65">
        <f t="shared" si="12"/>
        <v>0</v>
      </c>
      <c r="M76" s="64">
        <v>0</v>
      </c>
      <c r="N76" s="24"/>
      <c r="O76" s="65">
        <f t="shared" si="13"/>
        <v>0</v>
      </c>
      <c r="P76" s="64">
        <v>0</v>
      </c>
      <c r="Q76" s="24"/>
      <c r="R76" s="65">
        <f t="shared" si="14"/>
        <v>0</v>
      </c>
      <c r="S76" s="64">
        <v>0</v>
      </c>
      <c r="T76" s="24"/>
      <c r="U76" s="65">
        <f t="shared" si="15"/>
        <v>0</v>
      </c>
      <c r="V76" s="64">
        <v>0</v>
      </c>
      <c r="W76" s="24"/>
      <c r="X76" s="65">
        <f t="shared" si="16"/>
        <v>0</v>
      </c>
      <c r="Y76" s="64">
        <v>0</v>
      </c>
      <c r="Z76" s="24"/>
      <c r="AA76" s="65">
        <f t="shared" si="17"/>
        <v>0</v>
      </c>
      <c r="AB76" s="64">
        <v>0</v>
      </c>
      <c r="AC76" s="24"/>
      <c r="AD76" s="65">
        <f t="shared" si="18"/>
        <v>0</v>
      </c>
      <c r="AE76" s="64">
        <v>1</v>
      </c>
      <c r="AF76" s="24"/>
      <c r="AG76" s="65">
        <f t="shared" si="19"/>
        <v>1</v>
      </c>
    </row>
    <row r="77" spans="3:33" ht="42" outlineLevel="1" x14ac:dyDescent="0.2">
      <c r="C77" s="17" t="s">
        <v>101</v>
      </c>
      <c r="D77" s="22" t="s">
        <v>654</v>
      </c>
      <c r="E77" s="23" t="s">
        <v>176</v>
      </c>
      <c r="F77" s="63">
        <f t="shared" si="10"/>
        <v>0</v>
      </c>
      <c r="G77" s="331">
        <f t="shared" si="11"/>
        <v>0</v>
      </c>
      <c r="H77" s="398">
        <v>218273.44810000001</v>
      </c>
      <c r="I77" s="399">
        <f>ROUND(H77*'INDEX ICOCIV'!$R$85,0)</f>
        <v>296852</v>
      </c>
      <c r="J77" s="324">
        <v>0</v>
      </c>
      <c r="K77" s="24"/>
      <c r="L77" s="65">
        <f t="shared" si="12"/>
        <v>0</v>
      </c>
      <c r="M77" s="64">
        <v>0</v>
      </c>
      <c r="N77" s="24"/>
      <c r="O77" s="65">
        <f t="shared" si="13"/>
        <v>0</v>
      </c>
      <c r="P77" s="64">
        <v>0</v>
      </c>
      <c r="Q77" s="24"/>
      <c r="R77" s="65">
        <f t="shared" si="14"/>
        <v>0</v>
      </c>
      <c r="S77" s="64">
        <v>0</v>
      </c>
      <c r="T77" s="24"/>
      <c r="U77" s="65">
        <f t="shared" si="15"/>
        <v>0</v>
      </c>
      <c r="V77" s="64">
        <v>0</v>
      </c>
      <c r="W77" s="24"/>
      <c r="X77" s="65">
        <f t="shared" si="16"/>
        <v>0</v>
      </c>
      <c r="Y77" s="64">
        <v>0</v>
      </c>
      <c r="Z77" s="24"/>
      <c r="AA77" s="65">
        <f t="shared" si="17"/>
        <v>0</v>
      </c>
      <c r="AB77" s="64">
        <v>0</v>
      </c>
      <c r="AC77" s="24"/>
      <c r="AD77" s="65">
        <f t="shared" si="18"/>
        <v>0</v>
      </c>
      <c r="AE77" s="64">
        <v>0</v>
      </c>
      <c r="AF77" s="24"/>
      <c r="AG77" s="65">
        <f t="shared" si="19"/>
        <v>0</v>
      </c>
    </row>
    <row r="78" spans="3:33" ht="42" outlineLevel="1" x14ac:dyDescent="0.2">
      <c r="C78" s="17" t="s">
        <v>102</v>
      </c>
      <c r="D78" s="22" t="s">
        <v>655</v>
      </c>
      <c r="E78" s="23" t="s">
        <v>176</v>
      </c>
      <c r="F78" s="63">
        <f t="shared" si="10"/>
        <v>0</v>
      </c>
      <c r="G78" s="331">
        <f t="shared" si="11"/>
        <v>0</v>
      </c>
      <c r="H78" s="398">
        <v>211951.4204</v>
      </c>
      <c r="I78" s="399">
        <f>ROUND(H78*'INDEX ICOCIV'!$R$85,0)</f>
        <v>288254</v>
      </c>
      <c r="J78" s="324">
        <v>0</v>
      </c>
      <c r="K78" s="24"/>
      <c r="L78" s="65">
        <f t="shared" si="12"/>
        <v>0</v>
      </c>
      <c r="M78" s="64">
        <v>0</v>
      </c>
      <c r="N78" s="24"/>
      <c r="O78" s="65">
        <f t="shared" si="13"/>
        <v>0</v>
      </c>
      <c r="P78" s="64">
        <v>0</v>
      </c>
      <c r="Q78" s="24"/>
      <c r="R78" s="65">
        <f t="shared" si="14"/>
        <v>0</v>
      </c>
      <c r="S78" s="64">
        <v>0</v>
      </c>
      <c r="T78" s="24"/>
      <c r="U78" s="65">
        <f t="shared" si="15"/>
        <v>0</v>
      </c>
      <c r="V78" s="64">
        <v>0</v>
      </c>
      <c r="W78" s="24"/>
      <c r="X78" s="65">
        <f t="shared" si="16"/>
        <v>0</v>
      </c>
      <c r="Y78" s="64">
        <v>0</v>
      </c>
      <c r="Z78" s="24"/>
      <c r="AA78" s="65">
        <f t="shared" si="17"/>
        <v>0</v>
      </c>
      <c r="AB78" s="64">
        <v>0</v>
      </c>
      <c r="AC78" s="24"/>
      <c r="AD78" s="65">
        <f t="shared" si="18"/>
        <v>0</v>
      </c>
      <c r="AE78" s="64">
        <v>0</v>
      </c>
      <c r="AF78" s="24"/>
      <c r="AG78" s="65">
        <f t="shared" si="19"/>
        <v>0</v>
      </c>
    </row>
    <row r="79" spans="3:33" ht="42" outlineLevel="1" x14ac:dyDescent="0.2">
      <c r="C79" s="17" t="s">
        <v>103</v>
      </c>
      <c r="D79" s="22" t="s">
        <v>104</v>
      </c>
      <c r="E79" s="23" t="s">
        <v>176</v>
      </c>
      <c r="F79" s="63">
        <f t="shared" si="10"/>
        <v>0</v>
      </c>
      <c r="G79" s="331">
        <f t="shared" si="11"/>
        <v>0</v>
      </c>
      <c r="H79" s="398">
        <v>211952.3793</v>
      </c>
      <c r="I79" s="399">
        <f>ROUND(H79*'INDEX ICOCIV'!$R$85,0)</f>
        <v>288255</v>
      </c>
      <c r="J79" s="324">
        <v>0</v>
      </c>
      <c r="K79" s="24"/>
      <c r="L79" s="65">
        <f t="shared" si="12"/>
        <v>0</v>
      </c>
      <c r="M79" s="64">
        <v>0</v>
      </c>
      <c r="N79" s="24"/>
      <c r="O79" s="65">
        <f t="shared" si="13"/>
        <v>0</v>
      </c>
      <c r="P79" s="64">
        <v>0</v>
      </c>
      <c r="Q79" s="24"/>
      <c r="R79" s="65">
        <f t="shared" si="14"/>
        <v>0</v>
      </c>
      <c r="S79" s="64">
        <v>0</v>
      </c>
      <c r="T79" s="24"/>
      <c r="U79" s="65">
        <f t="shared" si="15"/>
        <v>0</v>
      </c>
      <c r="V79" s="64">
        <v>0</v>
      </c>
      <c r="W79" s="24"/>
      <c r="X79" s="65">
        <f t="shared" si="16"/>
        <v>0</v>
      </c>
      <c r="Y79" s="64">
        <v>0</v>
      </c>
      <c r="Z79" s="24"/>
      <c r="AA79" s="65">
        <f t="shared" si="17"/>
        <v>0</v>
      </c>
      <c r="AB79" s="64">
        <v>0</v>
      </c>
      <c r="AC79" s="24"/>
      <c r="AD79" s="65">
        <f t="shared" si="18"/>
        <v>0</v>
      </c>
      <c r="AE79" s="64">
        <v>0</v>
      </c>
      <c r="AF79" s="24"/>
      <c r="AG79" s="65">
        <f t="shared" si="19"/>
        <v>0</v>
      </c>
    </row>
    <row r="80" spans="3:33" ht="16" outlineLevel="1" x14ac:dyDescent="0.2">
      <c r="C80" s="17" t="s">
        <v>105</v>
      </c>
      <c r="D80" s="22" t="s">
        <v>106</v>
      </c>
      <c r="E80" s="23" t="s">
        <v>188</v>
      </c>
      <c r="F80" s="63">
        <f t="shared" si="10"/>
        <v>5</v>
      </c>
      <c r="G80" s="331">
        <f t="shared" si="11"/>
        <v>5</v>
      </c>
      <c r="H80" s="398">
        <v>43926.250099999997</v>
      </c>
      <c r="I80" s="399">
        <f>ROUND(H80*'INDEX ICOCIV'!$R$85,0)</f>
        <v>59740</v>
      </c>
      <c r="J80" s="324">
        <v>0</v>
      </c>
      <c r="K80" s="24"/>
      <c r="L80" s="65">
        <f t="shared" si="12"/>
        <v>0</v>
      </c>
      <c r="M80" s="64">
        <v>0</v>
      </c>
      <c r="N80" s="24"/>
      <c r="O80" s="65">
        <f t="shared" si="13"/>
        <v>0</v>
      </c>
      <c r="P80" s="64">
        <v>0</v>
      </c>
      <c r="Q80" s="24"/>
      <c r="R80" s="65">
        <f t="shared" si="14"/>
        <v>0</v>
      </c>
      <c r="S80" s="64">
        <v>0</v>
      </c>
      <c r="T80" s="24"/>
      <c r="U80" s="65">
        <f t="shared" si="15"/>
        <v>0</v>
      </c>
      <c r="V80" s="64">
        <v>0</v>
      </c>
      <c r="W80" s="24"/>
      <c r="X80" s="65">
        <f t="shared" si="16"/>
        <v>0</v>
      </c>
      <c r="Y80" s="64">
        <v>0</v>
      </c>
      <c r="Z80" s="24"/>
      <c r="AA80" s="65">
        <f t="shared" si="17"/>
        <v>0</v>
      </c>
      <c r="AB80" s="64">
        <v>0</v>
      </c>
      <c r="AC80" s="24"/>
      <c r="AD80" s="65">
        <f t="shared" si="18"/>
        <v>0</v>
      </c>
      <c r="AE80" s="64">
        <v>5</v>
      </c>
      <c r="AF80" s="24"/>
      <c r="AG80" s="65">
        <f t="shared" si="19"/>
        <v>5</v>
      </c>
    </row>
    <row r="81" spans="3:33" ht="21" customHeight="1" x14ac:dyDescent="0.2">
      <c r="C81" s="27">
        <v>6</v>
      </c>
      <c r="D81" s="28" t="s">
        <v>107</v>
      </c>
      <c r="E81" s="29"/>
      <c r="F81" s="30" t="str">
        <f t="shared" si="10"/>
        <v/>
      </c>
      <c r="G81" s="330"/>
      <c r="H81" s="400"/>
      <c r="I81" s="400"/>
      <c r="J81" s="325"/>
      <c r="K81" s="14"/>
      <c r="L81" s="67"/>
      <c r="M81" s="66"/>
      <c r="N81" s="14"/>
      <c r="O81" s="67"/>
      <c r="P81" s="66"/>
      <c r="Q81" s="14"/>
      <c r="R81" s="67"/>
      <c r="S81" s="66"/>
      <c r="T81" s="14"/>
      <c r="U81" s="67"/>
      <c r="V81" s="66"/>
      <c r="W81" s="14"/>
      <c r="X81" s="67"/>
      <c r="Y81" s="66"/>
      <c r="Z81" s="14"/>
      <c r="AA81" s="67"/>
      <c r="AB81" s="66"/>
      <c r="AC81" s="14"/>
      <c r="AD81" s="67"/>
      <c r="AE81" s="66"/>
      <c r="AF81" s="14"/>
      <c r="AG81" s="67"/>
    </row>
    <row r="82" spans="3:33" ht="42" outlineLevel="1" x14ac:dyDescent="0.2">
      <c r="C82" s="17" t="s">
        <v>108</v>
      </c>
      <c r="D82" s="22" t="s">
        <v>656</v>
      </c>
      <c r="E82" s="23" t="s">
        <v>176</v>
      </c>
      <c r="F82" s="63">
        <f t="shared" si="10"/>
        <v>39.6</v>
      </c>
      <c r="G82" s="331">
        <f t="shared" si="11"/>
        <v>44.599999999999994</v>
      </c>
      <c r="H82" s="398">
        <v>331564.60639999999</v>
      </c>
      <c r="I82" s="399">
        <f>ROUND(H82*'INDEX ICOCIV'!$R$85,0)</f>
        <v>450928</v>
      </c>
      <c r="J82" s="324">
        <v>15</v>
      </c>
      <c r="K82" s="24">
        <v>6.000001090586851</v>
      </c>
      <c r="L82" s="65">
        <f t="shared" si="12"/>
        <v>9</v>
      </c>
      <c r="M82" s="64">
        <v>8</v>
      </c>
      <c r="N82" s="24">
        <v>4.9999999034878897</v>
      </c>
      <c r="O82" s="65">
        <f t="shared" si="13"/>
        <v>3</v>
      </c>
      <c r="P82" s="64">
        <v>15</v>
      </c>
      <c r="Q82" s="24">
        <v>0.7</v>
      </c>
      <c r="R82" s="65">
        <f t="shared" si="14"/>
        <v>14.3</v>
      </c>
      <c r="S82" s="64">
        <v>14</v>
      </c>
      <c r="T82" s="24">
        <v>4.9999999034878897</v>
      </c>
      <c r="U82" s="65">
        <f t="shared" si="15"/>
        <v>9</v>
      </c>
      <c r="V82" s="64">
        <v>4</v>
      </c>
      <c r="W82" s="24">
        <v>1.0000011870989618</v>
      </c>
      <c r="X82" s="65">
        <f t="shared" si="16"/>
        <v>3</v>
      </c>
      <c r="Y82" s="64">
        <v>3</v>
      </c>
      <c r="Z82" s="24">
        <v>7.9999974327778558</v>
      </c>
      <c r="AA82" s="65">
        <f t="shared" si="17"/>
        <v>-5</v>
      </c>
      <c r="AB82" s="64">
        <v>7</v>
      </c>
      <c r="AC82" s="24">
        <v>4.7000010553599303</v>
      </c>
      <c r="AD82" s="65">
        <f t="shared" si="18"/>
        <v>2.2999999999999998</v>
      </c>
      <c r="AE82" s="64">
        <v>12</v>
      </c>
      <c r="AF82" s="24">
        <v>8.0000004487813143</v>
      </c>
      <c r="AG82" s="65">
        <f t="shared" si="19"/>
        <v>4</v>
      </c>
    </row>
    <row r="83" spans="3:33" ht="56" outlineLevel="1" x14ac:dyDescent="0.2">
      <c r="C83" s="17" t="s">
        <v>109</v>
      </c>
      <c r="D83" s="22" t="s">
        <v>657</v>
      </c>
      <c r="E83" s="23" t="s">
        <v>176</v>
      </c>
      <c r="F83" s="63">
        <f t="shared" si="10"/>
        <v>60</v>
      </c>
      <c r="G83" s="331">
        <f t="shared" si="11"/>
        <v>60</v>
      </c>
      <c r="H83" s="398">
        <v>246192.78049999999</v>
      </c>
      <c r="I83" s="399">
        <f>ROUND(H83*'INDEX ICOCIV'!$R$85,0)</f>
        <v>334822</v>
      </c>
      <c r="J83" s="324">
        <v>16</v>
      </c>
      <c r="K83" s="24">
        <v>6.0000012876088382</v>
      </c>
      <c r="L83" s="65">
        <f t="shared" si="12"/>
        <v>10</v>
      </c>
      <c r="M83" s="64">
        <v>9</v>
      </c>
      <c r="N83" s="24">
        <v>5.0000003960311092</v>
      </c>
      <c r="O83" s="65">
        <f t="shared" si="13"/>
        <v>4</v>
      </c>
      <c r="P83" s="64">
        <v>19</v>
      </c>
      <c r="Q83" s="24"/>
      <c r="R83" s="65">
        <f t="shared" si="14"/>
        <v>19</v>
      </c>
      <c r="S83" s="64">
        <v>17</v>
      </c>
      <c r="T83" s="24">
        <v>3.9999995044533811</v>
      </c>
      <c r="U83" s="65">
        <f t="shared" si="15"/>
        <v>13</v>
      </c>
      <c r="V83" s="64">
        <v>4</v>
      </c>
      <c r="W83" s="24">
        <v>1.9999999959381425</v>
      </c>
      <c r="X83" s="65">
        <f t="shared" si="16"/>
        <v>2</v>
      </c>
      <c r="Y83" s="64">
        <v>3</v>
      </c>
      <c r="Z83" s="24">
        <v>2.0000017831554571</v>
      </c>
      <c r="AA83" s="65">
        <f t="shared" si="17"/>
        <v>1</v>
      </c>
      <c r="AB83" s="64">
        <v>7</v>
      </c>
      <c r="AC83" s="24">
        <v>2.0000017831554571</v>
      </c>
      <c r="AD83" s="65">
        <f t="shared" si="18"/>
        <v>5</v>
      </c>
      <c r="AE83" s="64">
        <v>12</v>
      </c>
      <c r="AF83" s="24">
        <v>6.0000012876088382</v>
      </c>
      <c r="AG83" s="65">
        <f t="shared" si="19"/>
        <v>6</v>
      </c>
    </row>
    <row r="84" spans="3:33" ht="42" outlineLevel="1" x14ac:dyDescent="0.2">
      <c r="C84" s="17" t="s">
        <v>110</v>
      </c>
      <c r="D84" s="22" t="s">
        <v>111</v>
      </c>
      <c r="E84" s="23" t="s">
        <v>176</v>
      </c>
      <c r="F84" s="63">
        <f t="shared" si="10"/>
        <v>9</v>
      </c>
      <c r="G84" s="331">
        <f t="shared" si="11"/>
        <v>9</v>
      </c>
      <c r="H84" s="398">
        <v>2916246.9537999998</v>
      </c>
      <c r="I84" s="399">
        <f>ROUND(H84*'INDEX ICOCIV'!$R$85,0)</f>
        <v>3966096</v>
      </c>
      <c r="J84" s="324">
        <v>7</v>
      </c>
      <c r="K84" s="24"/>
      <c r="L84" s="65">
        <f t="shared" si="12"/>
        <v>7</v>
      </c>
      <c r="M84" s="64">
        <v>0</v>
      </c>
      <c r="N84" s="24"/>
      <c r="O84" s="65">
        <f t="shared" si="13"/>
        <v>0</v>
      </c>
      <c r="P84" s="64">
        <v>0</v>
      </c>
      <c r="Q84" s="24"/>
      <c r="R84" s="65">
        <f t="shared" si="14"/>
        <v>0</v>
      </c>
      <c r="S84" s="64">
        <v>1</v>
      </c>
      <c r="T84" s="24"/>
      <c r="U84" s="65">
        <f t="shared" si="15"/>
        <v>1</v>
      </c>
      <c r="V84" s="64">
        <v>0</v>
      </c>
      <c r="W84" s="24"/>
      <c r="X84" s="65">
        <f t="shared" si="16"/>
        <v>0</v>
      </c>
      <c r="Y84" s="64">
        <v>0</v>
      </c>
      <c r="Z84" s="24"/>
      <c r="AA84" s="65">
        <f t="shared" si="17"/>
        <v>0</v>
      </c>
      <c r="AB84" s="64">
        <v>0</v>
      </c>
      <c r="AC84" s="24"/>
      <c r="AD84" s="65">
        <f t="shared" si="18"/>
        <v>0</v>
      </c>
      <c r="AE84" s="64">
        <v>1</v>
      </c>
      <c r="AF84" s="24"/>
      <c r="AG84" s="65">
        <f t="shared" si="19"/>
        <v>1</v>
      </c>
    </row>
    <row r="85" spans="3:33" ht="42" outlineLevel="1" x14ac:dyDescent="0.2">
      <c r="C85" s="17" t="s">
        <v>112</v>
      </c>
      <c r="D85" s="22" t="s">
        <v>658</v>
      </c>
      <c r="E85" s="23" t="s">
        <v>176</v>
      </c>
      <c r="F85" s="63">
        <f t="shared" si="10"/>
        <v>6</v>
      </c>
      <c r="G85" s="331">
        <f t="shared" si="11"/>
        <v>9</v>
      </c>
      <c r="H85" s="398">
        <v>1240107.9728999999</v>
      </c>
      <c r="I85" s="399">
        <f>ROUND(H85*'INDEX ICOCIV'!$R$85,0)</f>
        <v>1686547</v>
      </c>
      <c r="J85" s="324">
        <v>7</v>
      </c>
      <c r="K85" s="24"/>
      <c r="L85" s="65">
        <f t="shared" si="12"/>
        <v>7</v>
      </c>
      <c r="M85" s="64">
        <v>0</v>
      </c>
      <c r="N85" s="24">
        <v>1.0000000218529359</v>
      </c>
      <c r="O85" s="65">
        <f t="shared" si="13"/>
        <v>-1</v>
      </c>
      <c r="P85" s="64">
        <v>0</v>
      </c>
      <c r="Q85" s="24"/>
      <c r="R85" s="65">
        <f t="shared" si="14"/>
        <v>0</v>
      </c>
      <c r="S85" s="64">
        <v>1</v>
      </c>
      <c r="T85" s="24"/>
      <c r="U85" s="65">
        <f t="shared" si="15"/>
        <v>1</v>
      </c>
      <c r="V85" s="64">
        <v>0</v>
      </c>
      <c r="W85" s="24">
        <v>1.0000000218529359</v>
      </c>
      <c r="X85" s="65">
        <f t="shared" si="16"/>
        <v>-1</v>
      </c>
      <c r="Y85" s="64">
        <v>0</v>
      </c>
      <c r="Z85" s="24"/>
      <c r="AA85" s="65">
        <f t="shared" si="17"/>
        <v>0</v>
      </c>
      <c r="AB85" s="64">
        <v>0</v>
      </c>
      <c r="AC85" s="24">
        <v>1.0000000218529359</v>
      </c>
      <c r="AD85" s="65">
        <f t="shared" si="18"/>
        <v>-1</v>
      </c>
      <c r="AE85" s="64">
        <v>1</v>
      </c>
      <c r="AF85" s="24"/>
      <c r="AG85" s="65">
        <f t="shared" si="19"/>
        <v>1</v>
      </c>
    </row>
    <row r="86" spans="3:33" ht="16" outlineLevel="1" x14ac:dyDescent="0.2">
      <c r="C86" s="17" t="s">
        <v>113</v>
      </c>
      <c r="D86" s="22" t="s">
        <v>114</v>
      </c>
      <c r="E86" s="23" t="s">
        <v>176</v>
      </c>
      <c r="F86" s="63">
        <f t="shared" si="10"/>
        <v>8</v>
      </c>
      <c r="G86" s="331">
        <f t="shared" si="11"/>
        <v>8</v>
      </c>
      <c r="H86" s="398">
        <v>5537763.5268999999</v>
      </c>
      <c r="I86" s="399">
        <f>ROUND(H86*'INDEX ICOCIV'!$R$85,0)</f>
        <v>7531358</v>
      </c>
      <c r="J86" s="324">
        <v>2</v>
      </c>
      <c r="K86" s="24"/>
      <c r="L86" s="65">
        <f t="shared" si="12"/>
        <v>2</v>
      </c>
      <c r="M86" s="64">
        <v>1</v>
      </c>
      <c r="N86" s="24"/>
      <c r="O86" s="65">
        <f t="shared" si="13"/>
        <v>1</v>
      </c>
      <c r="P86" s="64">
        <v>1</v>
      </c>
      <c r="Q86" s="24"/>
      <c r="R86" s="65">
        <f t="shared" si="14"/>
        <v>1</v>
      </c>
      <c r="S86" s="64">
        <v>1</v>
      </c>
      <c r="T86" s="24"/>
      <c r="U86" s="65">
        <f t="shared" si="15"/>
        <v>1</v>
      </c>
      <c r="V86" s="64">
        <v>1</v>
      </c>
      <c r="W86" s="24"/>
      <c r="X86" s="65">
        <f t="shared" si="16"/>
        <v>1</v>
      </c>
      <c r="Y86" s="64">
        <v>1</v>
      </c>
      <c r="Z86" s="24"/>
      <c r="AA86" s="65">
        <f t="shared" si="17"/>
        <v>1</v>
      </c>
      <c r="AB86" s="64">
        <v>1</v>
      </c>
      <c r="AC86" s="24"/>
      <c r="AD86" s="65">
        <f t="shared" si="18"/>
        <v>1</v>
      </c>
      <c r="AE86" s="64">
        <v>0</v>
      </c>
      <c r="AF86" s="24"/>
      <c r="AG86" s="65">
        <f t="shared" si="19"/>
        <v>0</v>
      </c>
    </row>
    <row r="87" spans="3:33" ht="42" outlineLevel="1" x14ac:dyDescent="0.2">
      <c r="C87" s="17" t="s">
        <v>115</v>
      </c>
      <c r="D87" s="22" t="s">
        <v>659</v>
      </c>
      <c r="E87" s="23" t="s">
        <v>611</v>
      </c>
      <c r="F87" s="63">
        <f t="shared" si="10"/>
        <v>0</v>
      </c>
      <c r="G87" s="331">
        <f t="shared" si="11"/>
        <v>0</v>
      </c>
      <c r="H87" s="398">
        <v>174771.0318</v>
      </c>
      <c r="I87" s="399">
        <f>ROUND(H87*'INDEX ICOCIV'!$R$85,0)</f>
        <v>237689</v>
      </c>
      <c r="J87" s="324">
        <v>0</v>
      </c>
      <c r="K87" s="24"/>
      <c r="L87" s="65">
        <f t="shared" si="12"/>
        <v>0</v>
      </c>
      <c r="M87" s="64">
        <v>0</v>
      </c>
      <c r="N87" s="24"/>
      <c r="O87" s="65">
        <f t="shared" si="13"/>
        <v>0</v>
      </c>
      <c r="P87" s="64">
        <v>0</v>
      </c>
      <c r="Q87" s="24"/>
      <c r="R87" s="65">
        <f t="shared" si="14"/>
        <v>0</v>
      </c>
      <c r="S87" s="64">
        <v>0</v>
      </c>
      <c r="T87" s="24"/>
      <c r="U87" s="65">
        <f t="shared" si="15"/>
        <v>0</v>
      </c>
      <c r="V87" s="64">
        <v>0</v>
      </c>
      <c r="W87" s="24"/>
      <c r="X87" s="65">
        <f t="shared" si="16"/>
        <v>0</v>
      </c>
      <c r="Y87" s="64">
        <v>0</v>
      </c>
      <c r="Z87" s="24"/>
      <c r="AA87" s="65">
        <f t="shared" si="17"/>
        <v>0</v>
      </c>
      <c r="AB87" s="64">
        <v>0</v>
      </c>
      <c r="AC87" s="24"/>
      <c r="AD87" s="65">
        <f t="shared" si="18"/>
        <v>0</v>
      </c>
      <c r="AE87" s="64">
        <v>0</v>
      </c>
      <c r="AF87" s="24"/>
      <c r="AG87" s="65">
        <f t="shared" si="19"/>
        <v>0</v>
      </c>
    </row>
    <row r="88" spans="3:33" ht="16" outlineLevel="1" x14ac:dyDescent="0.2">
      <c r="C88" s="17" t="s">
        <v>116</v>
      </c>
      <c r="D88" s="22" t="s">
        <v>117</v>
      </c>
      <c r="E88" s="23" t="s">
        <v>183</v>
      </c>
      <c r="F88" s="63">
        <f t="shared" si="10"/>
        <v>0</v>
      </c>
      <c r="G88" s="331">
        <f t="shared" si="11"/>
        <v>0</v>
      </c>
      <c r="H88" s="398">
        <v>598917.43319999997</v>
      </c>
      <c r="I88" s="399">
        <f>ROUND(H88*'INDEX ICOCIV'!$R$85,0)</f>
        <v>814528</v>
      </c>
      <c r="J88" s="324">
        <v>0</v>
      </c>
      <c r="K88" s="24"/>
      <c r="L88" s="65">
        <f t="shared" si="12"/>
        <v>0</v>
      </c>
      <c r="M88" s="64">
        <v>0</v>
      </c>
      <c r="N88" s="24"/>
      <c r="O88" s="65">
        <f t="shared" si="13"/>
        <v>0</v>
      </c>
      <c r="P88" s="64">
        <v>0</v>
      </c>
      <c r="Q88" s="24"/>
      <c r="R88" s="65">
        <f t="shared" si="14"/>
        <v>0</v>
      </c>
      <c r="S88" s="64">
        <v>0</v>
      </c>
      <c r="T88" s="24"/>
      <c r="U88" s="65">
        <f t="shared" si="15"/>
        <v>0</v>
      </c>
      <c r="V88" s="64">
        <v>0</v>
      </c>
      <c r="W88" s="24"/>
      <c r="X88" s="65">
        <f t="shared" si="16"/>
        <v>0</v>
      </c>
      <c r="Y88" s="64">
        <v>0</v>
      </c>
      <c r="Z88" s="24"/>
      <c r="AA88" s="65">
        <f t="shared" si="17"/>
        <v>0</v>
      </c>
      <c r="AB88" s="64">
        <v>0</v>
      </c>
      <c r="AC88" s="24"/>
      <c r="AD88" s="65">
        <f t="shared" si="18"/>
        <v>0</v>
      </c>
      <c r="AE88" s="64">
        <v>0</v>
      </c>
      <c r="AF88" s="24"/>
      <c r="AG88" s="65">
        <f t="shared" si="19"/>
        <v>0</v>
      </c>
    </row>
    <row r="89" spans="3:33" ht="28" outlineLevel="1" x14ac:dyDescent="0.2">
      <c r="C89" s="17" t="s">
        <v>118</v>
      </c>
      <c r="D89" s="22" t="s">
        <v>660</v>
      </c>
      <c r="E89" s="23" t="s">
        <v>183</v>
      </c>
      <c r="F89" s="63">
        <f t="shared" si="10"/>
        <v>28.11</v>
      </c>
      <c r="G89" s="331">
        <f t="shared" si="11"/>
        <v>60</v>
      </c>
      <c r="H89" s="398">
        <v>4852.0339999999997</v>
      </c>
      <c r="I89" s="399">
        <f>ROUND(H89*'INDEX ICOCIV'!$R$85,0)</f>
        <v>6599</v>
      </c>
      <c r="J89" s="324">
        <v>0</v>
      </c>
      <c r="K89" s="24"/>
      <c r="L89" s="65">
        <f t="shared" si="12"/>
        <v>0</v>
      </c>
      <c r="M89" s="64">
        <v>0</v>
      </c>
      <c r="N89" s="24">
        <v>31.89</v>
      </c>
      <c r="O89" s="65">
        <f t="shared" si="13"/>
        <v>-31.89</v>
      </c>
      <c r="P89" s="64">
        <v>0</v>
      </c>
      <c r="Q89" s="24"/>
      <c r="R89" s="65">
        <f t="shared" si="14"/>
        <v>0</v>
      </c>
      <c r="S89" s="64">
        <v>0</v>
      </c>
      <c r="T89" s="24"/>
      <c r="U89" s="65">
        <f t="shared" si="15"/>
        <v>0</v>
      </c>
      <c r="V89" s="64">
        <v>0</v>
      </c>
      <c r="W89" s="24"/>
      <c r="X89" s="65">
        <f t="shared" si="16"/>
        <v>0</v>
      </c>
      <c r="Y89" s="64">
        <v>0</v>
      </c>
      <c r="Z89" s="24"/>
      <c r="AA89" s="65">
        <f t="shared" si="17"/>
        <v>0</v>
      </c>
      <c r="AB89" s="64">
        <v>0</v>
      </c>
      <c r="AC89" s="24"/>
      <c r="AD89" s="65">
        <f t="shared" si="18"/>
        <v>0</v>
      </c>
      <c r="AE89" s="64">
        <v>60</v>
      </c>
      <c r="AF89" s="24"/>
      <c r="AG89" s="65">
        <f t="shared" si="19"/>
        <v>60</v>
      </c>
    </row>
    <row r="90" spans="3:33" ht="42" outlineLevel="1" x14ac:dyDescent="0.2">
      <c r="C90" s="17" t="s">
        <v>119</v>
      </c>
      <c r="D90" s="22" t="s">
        <v>661</v>
      </c>
      <c r="E90" s="23" t="s">
        <v>183</v>
      </c>
      <c r="F90" s="63">
        <f t="shared" si="10"/>
        <v>0</v>
      </c>
      <c r="G90" s="331">
        <f t="shared" si="11"/>
        <v>50.47</v>
      </c>
      <c r="H90" s="398">
        <v>67202.588699999993</v>
      </c>
      <c r="I90" s="399">
        <f>ROUND(H90*'INDEX ICOCIV'!$R$85,0)</f>
        <v>91396</v>
      </c>
      <c r="J90" s="324">
        <v>0</v>
      </c>
      <c r="K90" s="24"/>
      <c r="L90" s="65">
        <f t="shared" si="12"/>
        <v>0</v>
      </c>
      <c r="M90" s="64">
        <v>0</v>
      </c>
      <c r="N90" s="24">
        <v>68.78999885907669</v>
      </c>
      <c r="O90" s="65">
        <f t="shared" si="13"/>
        <v>-68.790000000000006</v>
      </c>
      <c r="P90" s="64">
        <v>0</v>
      </c>
      <c r="Q90" s="24"/>
      <c r="R90" s="65">
        <f t="shared" si="14"/>
        <v>0</v>
      </c>
      <c r="S90" s="64">
        <v>0</v>
      </c>
      <c r="T90" s="24"/>
      <c r="U90" s="65">
        <f t="shared" si="15"/>
        <v>0</v>
      </c>
      <c r="V90" s="64">
        <v>0</v>
      </c>
      <c r="W90" s="24"/>
      <c r="X90" s="65">
        <f t="shared" si="16"/>
        <v>0</v>
      </c>
      <c r="Y90" s="64">
        <v>0</v>
      </c>
      <c r="Z90" s="24">
        <v>2.2079953000381964</v>
      </c>
      <c r="AA90" s="65">
        <f t="shared" si="17"/>
        <v>-2.21</v>
      </c>
      <c r="AB90" s="64">
        <v>0</v>
      </c>
      <c r="AC90" s="24"/>
      <c r="AD90" s="65">
        <f t="shared" si="18"/>
        <v>0</v>
      </c>
      <c r="AE90" s="64">
        <v>57.879420000000003</v>
      </c>
      <c r="AF90" s="24">
        <v>7.41</v>
      </c>
      <c r="AG90" s="65">
        <f t="shared" si="19"/>
        <v>50.47</v>
      </c>
    </row>
    <row r="91" spans="3:33" ht="56" outlineLevel="1" x14ac:dyDescent="0.2">
      <c r="C91" s="17" t="s">
        <v>120</v>
      </c>
      <c r="D91" s="22" t="s">
        <v>121</v>
      </c>
      <c r="E91" s="23" t="s">
        <v>183</v>
      </c>
      <c r="F91" s="63">
        <f t="shared" si="10"/>
        <v>0</v>
      </c>
      <c r="G91" s="331">
        <f t="shared" si="11"/>
        <v>0</v>
      </c>
      <c r="H91" s="398">
        <v>100695.04790000001</v>
      </c>
      <c r="I91" s="399">
        <f>ROUND(H91*'INDEX ICOCIV'!$R$85,0)</f>
        <v>136945</v>
      </c>
      <c r="J91" s="324">
        <v>0</v>
      </c>
      <c r="K91" s="24"/>
      <c r="L91" s="65">
        <f t="shared" si="12"/>
        <v>0</v>
      </c>
      <c r="M91" s="64">
        <v>0</v>
      </c>
      <c r="N91" s="24"/>
      <c r="O91" s="65">
        <f t="shared" si="13"/>
        <v>0</v>
      </c>
      <c r="P91" s="64">
        <v>0</v>
      </c>
      <c r="Q91" s="24"/>
      <c r="R91" s="65">
        <f t="shared" si="14"/>
        <v>0</v>
      </c>
      <c r="S91" s="64">
        <v>0</v>
      </c>
      <c r="T91" s="24"/>
      <c r="U91" s="65">
        <f t="shared" si="15"/>
        <v>0</v>
      </c>
      <c r="V91" s="64">
        <v>0</v>
      </c>
      <c r="W91" s="24"/>
      <c r="X91" s="65">
        <f t="shared" si="16"/>
        <v>0</v>
      </c>
      <c r="Y91" s="64">
        <v>0</v>
      </c>
      <c r="Z91" s="24"/>
      <c r="AA91" s="65">
        <f t="shared" si="17"/>
        <v>0</v>
      </c>
      <c r="AB91" s="64">
        <v>0</v>
      </c>
      <c r="AC91" s="24"/>
      <c r="AD91" s="65">
        <f t="shared" si="18"/>
        <v>0</v>
      </c>
      <c r="AE91" s="64">
        <v>0</v>
      </c>
      <c r="AF91" s="24"/>
      <c r="AG91" s="65">
        <f t="shared" si="19"/>
        <v>0</v>
      </c>
    </row>
    <row r="92" spans="3:33" ht="42" outlineLevel="1" x14ac:dyDescent="0.2">
      <c r="C92" s="17" t="s">
        <v>122</v>
      </c>
      <c r="D92" s="22" t="s">
        <v>662</v>
      </c>
      <c r="E92" s="23" t="s">
        <v>183</v>
      </c>
      <c r="F92" s="63">
        <f t="shared" si="10"/>
        <v>7.5</v>
      </c>
      <c r="G92" s="331">
        <f t="shared" si="11"/>
        <v>7.5</v>
      </c>
      <c r="H92" s="398">
        <v>129145.6109</v>
      </c>
      <c r="I92" s="399">
        <f>ROUND(H92*'INDEX ICOCIV'!$R$85,0)</f>
        <v>175638</v>
      </c>
      <c r="J92" s="324">
        <v>0</v>
      </c>
      <c r="K92" s="24"/>
      <c r="L92" s="65">
        <f t="shared" si="12"/>
        <v>0</v>
      </c>
      <c r="M92" s="64">
        <v>0</v>
      </c>
      <c r="N92" s="24"/>
      <c r="O92" s="65">
        <f t="shared" si="13"/>
        <v>0</v>
      </c>
      <c r="P92" s="64">
        <v>0</v>
      </c>
      <c r="Q92" s="24"/>
      <c r="R92" s="65">
        <f t="shared" si="14"/>
        <v>0</v>
      </c>
      <c r="S92" s="64">
        <v>0</v>
      </c>
      <c r="T92" s="24"/>
      <c r="U92" s="65">
        <f t="shared" si="15"/>
        <v>0</v>
      </c>
      <c r="V92" s="64">
        <v>0</v>
      </c>
      <c r="W92" s="24"/>
      <c r="X92" s="65">
        <f t="shared" si="16"/>
        <v>0</v>
      </c>
      <c r="Y92" s="64">
        <v>0</v>
      </c>
      <c r="Z92" s="24"/>
      <c r="AA92" s="65">
        <f t="shared" si="17"/>
        <v>0</v>
      </c>
      <c r="AB92" s="64">
        <v>0</v>
      </c>
      <c r="AC92" s="24"/>
      <c r="AD92" s="65">
        <f t="shared" si="18"/>
        <v>0</v>
      </c>
      <c r="AE92" s="64">
        <v>7.5</v>
      </c>
      <c r="AF92" s="24"/>
      <c r="AG92" s="65">
        <f t="shared" si="19"/>
        <v>7.5</v>
      </c>
    </row>
    <row r="93" spans="3:33" ht="42" outlineLevel="1" x14ac:dyDescent="0.2">
      <c r="C93" s="17" t="s">
        <v>123</v>
      </c>
      <c r="D93" s="22" t="s">
        <v>124</v>
      </c>
      <c r="E93" s="23" t="s">
        <v>188</v>
      </c>
      <c r="F93" s="63">
        <f t="shared" si="10"/>
        <v>0</v>
      </c>
      <c r="G93" s="331">
        <f t="shared" si="11"/>
        <v>0</v>
      </c>
      <c r="H93" s="398">
        <v>52047.174200000001</v>
      </c>
      <c r="I93" s="399">
        <f>ROUND(H93*'INDEX ICOCIV'!$R$85,0)</f>
        <v>70784</v>
      </c>
      <c r="J93" s="324">
        <v>0</v>
      </c>
      <c r="K93" s="24"/>
      <c r="L93" s="65">
        <f t="shared" si="12"/>
        <v>0</v>
      </c>
      <c r="M93" s="64">
        <v>0</v>
      </c>
      <c r="N93" s="24">
        <v>4.5999999999999996</v>
      </c>
      <c r="O93" s="65">
        <f t="shared" si="13"/>
        <v>-4.5999999999999996</v>
      </c>
      <c r="P93" s="64">
        <v>0</v>
      </c>
      <c r="Q93" s="24"/>
      <c r="R93" s="65">
        <f t="shared" si="14"/>
        <v>0</v>
      </c>
      <c r="S93" s="64">
        <v>0</v>
      </c>
      <c r="T93" s="24">
        <v>28.611005744092829</v>
      </c>
      <c r="U93" s="65">
        <f t="shared" si="15"/>
        <v>-28.61</v>
      </c>
      <c r="V93" s="64">
        <v>0</v>
      </c>
      <c r="W93" s="24"/>
      <c r="X93" s="65">
        <f t="shared" si="16"/>
        <v>0</v>
      </c>
      <c r="Y93" s="64">
        <v>0</v>
      </c>
      <c r="Z93" s="24"/>
      <c r="AA93" s="65">
        <f t="shared" si="17"/>
        <v>0</v>
      </c>
      <c r="AB93" s="64">
        <v>0</v>
      </c>
      <c r="AC93" s="24"/>
      <c r="AD93" s="65">
        <f t="shared" si="18"/>
        <v>0</v>
      </c>
      <c r="AE93" s="64">
        <v>0</v>
      </c>
      <c r="AF93" s="24"/>
      <c r="AG93" s="65">
        <f t="shared" si="19"/>
        <v>0</v>
      </c>
    </row>
    <row r="94" spans="3:33" ht="28" outlineLevel="1" x14ac:dyDescent="0.2">
      <c r="C94" s="17" t="s">
        <v>125</v>
      </c>
      <c r="D94" s="22" t="s">
        <v>663</v>
      </c>
      <c r="E94" s="23" t="s">
        <v>611</v>
      </c>
      <c r="F94" s="63">
        <f t="shared" si="10"/>
        <v>0</v>
      </c>
      <c r="G94" s="331">
        <f t="shared" si="11"/>
        <v>0</v>
      </c>
      <c r="H94" s="398">
        <v>43766.113799999999</v>
      </c>
      <c r="I94" s="399">
        <f>ROUND(H94*'INDEX ICOCIV'!$R$85,0)</f>
        <v>59522</v>
      </c>
      <c r="J94" s="324">
        <v>0</v>
      </c>
      <c r="K94" s="24"/>
      <c r="L94" s="65">
        <f t="shared" si="12"/>
        <v>0</v>
      </c>
      <c r="M94" s="64">
        <v>0</v>
      </c>
      <c r="N94" s="24">
        <v>41.800010125641997</v>
      </c>
      <c r="O94" s="65">
        <f t="shared" si="13"/>
        <v>-41.8</v>
      </c>
      <c r="P94" s="64">
        <v>0</v>
      </c>
      <c r="Q94" s="24"/>
      <c r="R94" s="65">
        <f t="shared" si="14"/>
        <v>0</v>
      </c>
      <c r="S94" s="64">
        <v>0</v>
      </c>
      <c r="T94" s="24"/>
      <c r="U94" s="65">
        <f t="shared" si="15"/>
        <v>0</v>
      </c>
      <c r="V94" s="64">
        <v>0</v>
      </c>
      <c r="W94" s="24"/>
      <c r="X94" s="65">
        <f t="shared" si="16"/>
        <v>0</v>
      </c>
      <c r="Y94" s="64">
        <v>0</v>
      </c>
      <c r="Z94" s="24"/>
      <c r="AA94" s="65">
        <f t="shared" si="17"/>
        <v>0</v>
      </c>
      <c r="AB94" s="64">
        <v>0</v>
      </c>
      <c r="AC94" s="24"/>
      <c r="AD94" s="65">
        <f t="shared" si="18"/>
        <v>0</v>
      </c>
      <c r="AE94" s="64">
        <v>0</v>
      </c>
      <c r="AF94" s="24"/>
      <c r="AG94" s="65">
        <f t="shared" si="19"/>
        <v>0</v>
      </c>
    </row>
    <row r="95" spans="3:33" ht="28" outlineLevel="1" x14ac:dyDescent="0.2">
      <c r="C95" s="17" t="s">
        <v>126</v>
      </c>
      <c r="D95" s="22" t="s">
        <v>664</v>
      </c>
      <c r="E95" s="23" t="s">
        <v>611</v>
      </c>
      <c r="F95" s="63">
        <f t="shared" si="10"/>
        <v>29.6</v>
      </c>
      <c r="G95" s="331">
        <f t="shared" si="11"/>
        <v>30</v>
      </c>
      <c r="H95" s="398">
        <v>51428.683700000001</v>
      </c>
      <c r="I95" s="399">
        <f>ROUND(H95*'INDEX ICOCIV'!$R$85,0)</f>
        <v>69943</v>
      </c>
      <c r="J95" s="324">
        <v>0</v>
      </c>
      <c r="K95" s="24"/>
      <c r="L95" s="65">
        <f t="shared" si="12"/>
        <v>0</v>
      </c>
      <c r="M95" s="64">
        <v>0</v>
      </c>
      <c r="N95" s="24"/>
      <c r="O95" s="65">
        <f t="shared" si="13"/>
        <v>0</v>
      </c>
      <c r="P95" s="64">
        <v>0</v>
      </c>
      <c r="Q95" s="24"/>
      <c r="R95" s="65">
        <f t="shared" si="14"/>
        <v>0</v>
      </c>
      <c r="S95" s="64">
        <v>0</v>
      </c>
      <c r="T95" s="24"/>
      <c r="U95" s="65">
        <f t="shared" si="15"/>
        <v>0</v>
      </c>
      <c r="V95" s="64">
        <v>0</v>
      </c>
      <c r="W95" s="24"/>
      <c r="X95" s="65">
        <f t="shared" si="16"/>
        <v>0</v>
      </c>
      <c r="Y95" s="64">
        <v>0</v>
      </c>
      <c r="Z95" s="24">
        <v>0.3999907934645428</v>
      </c>
      <c r="AA95" s="65">
        <f t="shared" si="17"/>
        <v>-0.4</v>
      </c>
      <c r="AB95" s="64">
        <v>0</v>
      </c>
      <c r="AC95" s="24"/>
      <c r="AD95" s="65">
        <f t="shared" si="18"/>
        <v>0</v>
      </c>
      <c r="AE95" s="64">
        <v>30</v>
      </c>
      <c r="AF95" s="24"/>
      <c r="AG95" s="65">
        <f t="shared" si="19"/>
        <v>30</v>
      </c>
    </row>
    <row r="96" spans="3:33" ht="28" outlineLevel="1" x14ac:dyDescent="0.2">
      <c r="C96" s="17" t="s">
        <v>127</v>
      </c>
      <c r="D96" s="22" t="s">
        <v>665</v>
      </c>
      <c r="E96" s="23" t="s">
        <v>611</v>
      </c>
      <c r="F96" s="63">
        <f t="shared" si="10"/>
        <v>0</v>
      </c>
      <c r="G96" s="331">
        <f t="shared" si="11"/>
        <v>0</v>
      </c>
      <c r="H96" s="398">
        <v>85259.634600000005</v>
      </c>
      <c r="I96" s="399">
        <f>ROUND(H96*'INDEX ICOCIV'!$R$85,0)</f>
        <v>115953</v>
      </c>
      <c r="J96" s="324">
        <v>0</v>
      </c>
      <c r="K96" s="24"/>
      <c r="L96" s="65">
        <f t="shared" si="12"/>
        <v>0</v>
      </c>
      <c r="M96" s="64">
        <v>0</v>
      </c>
      <c r="N96" s="24"/>
      <c r="O96" s="65">
        <f t="shared" si="13"/>
        <v>0</v>
      </c>
      <c r="P96" s="64">
        <v>0</v>
      </c>
      <c r="Q96" s="24"/>
      <c r="R96" s="65">
        <f t="shared" si="14"/>
        <v>0</v>
      </c>
      <c r="S96" s="64">
        <v>0</v>
      </c>
      <c r="T96" s="24"/>
      <c r="U96" s="65">
        <f t="shared" si="15"/>
        <v>0</v>
      </c>
      <c r="V96" s="64">
        <v>0</v>
      </c>
      <c r="W96" s="24"/>
      <c r="X96" s="65">
        <f t="shared" si="16"/>
        <v>0</v>
      </c>
      <c r="Y96" s="64">
        <v>0</v>
      </c>
      <c r="Z96" s="24">
        <v>1.000004285732653</v>
      </c>
      <c r="AA96" s="65">
        <f t="shared" si="17"/>
        <v>-1</v>
      </c>
      <c r="AB96" s="64">
        <v>0</v>
      </c>
      <c r="AC96" s="24"/>
      <c r="AD96" s="65">
        <f t="shared" si="18"/>
        <v>0</v>
      </c>
      <c r="AE96" s="64">
        <v>0</v>
      </c>
      <c r="AF96" s="24"/>
      <c r="AG96" s="65">
        <f t="shared" si="19"/>
        <v>0</v>
      </c>
    </row>
    <row r="97" spans="3:33" ht="28" outlineLevel="1" x14ac:dyDescent="0.2">
      <c r="C97" s="17" t="s">
        <v>128</v>
      </c>
      <c r="D97" s="22" t="s">
        <v>666</v>
      </c>
      <c r="E97" s="23" t="s">
        <v>611</v>
      </c>
      <c r="F97" s="63">
        <f t="shared" si="10"/>
        <v>0</v>
      </c>
      <c r="G97" s="331">
        <f t="shared" si="11"/>
        <v>0</v>
      </c>
      <c r="H97" s="398">
        <v>115168.6845</v>
      </c>
      <c r="I97" s="399">
        <f>ROUND(H97*'INDEX ICOCIV'!$R$85,0)</f>
        <v>156629</v>
      </c>
      <c r="J97" s="324">
        <v>0</v>
      </c>
      <c r="K97" s="24"/>
      <c r="L97" s="65">
        <f t="shared" si="12"/>
        <v>0</v>
      </c>
      <c r="M97" s="64">
        <v>0</v>
      </c>
      <c r="N97" s="24"/>
      <c r="O97" s="65">
        <f t="shared" si="13"/>
        <v>0</v>
      </c>
      <c r="P97" s="64">
        <v>0</v>
      </c>
      <c r="Q97" s="24"/>
      <c r="R97" s="65">
        <f t="shared" si="14"/>
        <v>0</v>
      </c>
      <c r="S97" s="64">
        <v>0</v>
      </c>
      <c r="T97" s="24"/>
      <c r="U97" s="65">
        <f t="shared" si="15"/>
        <v>0</v>
      </c>
      <c r="V97" s="64">
        <v>0</v>
      </c>
      <c r="W97" s="24"/>
      <c r="X97" s="65">
        <f t="shared" si="16"/>
        <v>0</v>
      </c>
      <c r="Y97" s="64">
        <v>0</v>
      </c>
      <c r="Z97" s="24"/>
      <c r="AA97" s="65">
        <f t="shared" si="17"/>
        <v>0</v>
      </c>
      <c r="AB97" s="64">
        <v>0</v>
      </c>
      <c r="AC97" s="24"/>
      <c r="AD97" s="65">
        <f t="shared" si="18"/>
        <v>0</v>
      </c>
      <c r="AE97" s="64">
        <v>0</v>
      </c>
      <c r="AF97" s="24"/>
      <c r="AG97" s="65">
        <f t="shared" si="19"/>
        <v>0</v>
      </c>
    </row>
    <row r="98" spans="3:33" ht="28" outlineLevel="1" x14ac:dyDescent="0.2">
      <c r="C98" s="17" t="s">
        <v>129</v>
      </c>
      <c r="D98" s="22" t="s">
        <v>667</v>
      </c>
      <c r="E98" s="23" t="s">
        <v>611</v>
      </c>
      <c r="F98" s="63">
        <f t="shared" si="10"/>
        <v>0</v>
      </c>
      <c r="G98" s="331">
        <f t="shared" si="11"/>
        <v>0</v>
      </c>
      <c r="H98" s="398">
        <v>129086.1591</v>
      </c>
      <c r="I98" s="399">
        <f>ROUND(H98*'INDEX ICOCIV'!$R$85,0)</f>
        <v>175557</v>
      </c>
      <c r="J98" s="324">
        <v>0</v>
      </c>
      <c r="K98" s="24"/>
      <c r="L98" s="65">
        <f t="shared" si="12"/>
        <v>0</v>
      </c>
      <c r="M98" s="64">
        <v>0</v>
      </c>
      <c r="N98" s="24"/>
      <c r="O98" s="65">
        <f t="shared" si="13"/>
        <v>0</v>
      </c>
      <c r="P98" s="64">
        <v>0</v>
      </c>
      <c r="Q98" s="24"/>
      <c r="R98" s="65">
        <f t="shared" si="14"/>
        <v>0</v>
      </c>
      <c r="S98" s="64">
        <v>0</v>
      </c>
      <c r="T98" s="24"/>
      <c r="U98" s="65">
        <f t="shared" si="15"/>
        <v>0</v>
      </c>
      <c r="V98" s="64">
        <v>0</v>
      </c>
      <c r="W98" s="24"/>
      <c r="X98" s="65">
        <f t="shared" si="16"/>
        <v>0</v>
      </c>
      <c r="Y98" s="64">
        <v>0</v>
      </c>
      <c r="Z98" s="24">
        <v>4.5999974291589254</v>
      </c>
      <c r="AA98" s="65">
        <f t="shared" si="17"/>
        <v>-4.5999999999999996</v>
      </c>
      <c r="AB98" s="64">
        <v>0</v>
      </c>
      <c r="AC98" s="24"/>
      <c r="AD98" s="65">
        <f t="shared" si="18"/>
        <v>0</v>
      </c>
      <c r="AE98" s="64">
        <v>0</v>
      </c>
      <c r="AF98" s="24"/>
      <c r="AG98" s="65">
        <f t="shared" si="19"/>
        <v>0</v>
      </c>
    </row>
    <row r="99" spans="3:33" ht="28" outlineLevel="1" x14ac:dyDescent="0.2">
      <c r="C99" s="17" t="s">
        <v>130</v>
      </c>
      <c r="D99" s="22" t="s">
        <v>668</v>
      </c>
      <c r="E99" s="23" t="s">
        <v>611</v>
      </c>
      <c r="F99" s="63">
        <f t="shared" si="10"/>
        <v>0</v>
      </c>
      <c r="G99" s="331">
        <f t="shared" si="11"/>
        <v>0</v>
      </c>
      <c r="H99" s="398">
        <v>167573.52840000001</v>
      </c>
      <c r="I99" s="399">
        <f>ROUND(H99*'INDEX ICOCIV'!$R$85,0)</f>
        <v>227900</v>
      </c>
      <c r="J99" s="324">
        <v>0</v>
      </c>
      <c r="K99" s="24"/>
      <c r="L99" s="65">
        <f t="shared" si="12"/>
        <v>0</v>
      </c>
      <c r="M99" s="64">
        <v>0</v>
      </c>
      <c r="N99" s="24"/>
      <c r="O99" s="65">
        <f t="shared" si="13"/>
        <v>0</v>
      </c>
      <c r="P99" s="64">
        <v>0</v>
      </c>
      <c r="Q99" s="24"/>
      <c r="R99" s="65">
        <f t="shared" si="14"/>
        <v>0</v>
      </c>
      <c r="S99" s="64">
        <v>0</v>
      </c>
      <c r="T99" s="24"/>
      <c r="U99" s="65">
        <f t="shared" si="15"/>
        <v>0</v>
      </c>
      <c r="V99" s="64">
        <v>0</v>
      </c>
      <c r="W99" s="24"/>
      <c r="X99" s="65">
        <f t="shared" si="16"/>
        <v>0</v>
      </c>
      <c r="Y99" s="64">
        <v>0</v>
      </c>
      <c r="Z99" s="24"/>
      <c r="AA99" s="65">
        <f t="shared" si="17"/>
        <v>0</v>
      </c>
      <c r="AB99" s="64">
        <v>0</v>
      </c>
      <c r="AC99" s="24"/>
      <c r="AD99" s="65">
        <f t="shared" si="18"/>
        <v>0</v>
      </c>
      <c r="AE99" s="64">
        <v>0</v>
      </c>
      <c r="AF99" s="24"/>
      <c r="AG99" s="65">
        <f t="shared" si="19"/>
        <v>0</v>
      </c>
    </row>
    <row r="100" spans="3:33" ht="28" outlineLevel="1" x14ac:dyDescent="0.2">
      <c r="C100" s="17" t="s">
        <v>131</v>
      </c>
      <c r="D100" s="22" t="s">
        <v>669</v>
      </c>
      <c r="E100" s="23" t="s">
        <v>611</v>
      </c>
      <c r="F100" s="63">
        <f t="shared" si="10"/>
        <v>0</v>
      </c>
      <c r="G100" s="331">
        <f t="shared" si="11"/>
        <v>0</v>
      </c>
      <c r="H100" s="398">
        <v>217077.6998</v>
      </c>
      <c r="I100" s="399">
        <f>ROUND(H100*'INDEX ICOCIV'!$R$85,0)</f>
        <v>295226</v>
      </c>
      <c r="J100" s="324">
        <v>0</v>
      </c>
      <c r="K100" s="24"/>
      <c r="L100" s="65">
        <f t="shared" si="12"/>
        <v>0</v>
      </c>
      <c r="M100" s="64">
        <v>0</v>
      </c>
      <c r="N100" s="24"/>
      <c r="O100" s="65">
        <f t="shared" si="13"/>
        <v>0</v>
      </c>
      <c r="P100" s="64">
        <v>0</v>
      </c>
      <c r="Q100" s="24"/>
      <c r="R100" s="65">
        <f t="shared" si="14"/>
        <v>0</v>
      </c>
      <c r="S100" s="64">
        <v>0</v>
      </c>
      <c r="T100" s="24"/>
      <c r="U100" s="65">
        <f t="shared" si="15"/>
        <v>0</v>
      </c>
      <c r="V100" s="64">
        <v>0</v>
      </c>
      <c r="W100" s="24"/>
      <c r="X100" s="65">
        <f t="shared" si="16"/>
        <v>0</v>
      </c>
      <c r="Y100" s="64">
        <v>0</v>
      </c>
      <c r="Z100" s="24"/>
      <c r="AA100" s="65">
        <f t="shared" si="17"/>
        <v>0</v>
      </c>
      <c r="AB100" s="64">
        <v>0</v>
      </c>
      <c r="AC100" s="24"/>
      <c r="AD100" s="65">
        <f t="shared" si="18"/>
        <v>0</v>
      </c>
      <c r="AE100" s="64">
        <v>0</v>
      </c>
      <c r="AF100" s="24"/>
      <c r="AG100" s="65">
        <f t="shared" si="19"/>
        <v>0</v>
      </c>
    </row>
    <row r="101" spans="3:33" ht="28" outlineLevel="1" x14ac:dyDescent="0.2">
      <c r="C101" s="17" t="s">
        <v>132</v>
      </c>
      <c r="D101" s="22" t="s">
        <v>670</v>
      </c>
      <c r="E101" s="23" t="s">
        <v>611</v>
      </c>
      <c r="F101" s="63">
        <f t="shared" si="10"/>
        <v>0</v>
      </c>
      <c r="G101" s="331">
        <f t="shared" si="11"/>
        <v>0</v>
      </c>
      <c r="H101" s="398">
        <v>288916.57</v>
      </c>
      <c r="I101" s="399">
        <f>ROUND(H101*'INDEX ICOCIV'!$R$85,0)</f>
        <v>392927</v>
      </c>
      <c r="J101" s="324">
        <v>0</v>
      </c>
      <c r="K101" s="24"/>
      <c r="L101" s="65">
        <f t="shared" si="12"/>
        <v>0</v>
      </c>
      <c r="M101" s="64">
        <v>0</v>
      </c>
      <c r="N101" s="24"/>
      <c r="O101" s="65">
        <f t="shared" si="13"/>
        <v>0</v>
      </c>
      <c r="P101" s="64">
        <v>0</v>
      </c>
      <c r="Q101" s="24"/>
      <c r="R101" s="65">
        <f t="shared" si="14"/>
        <v>0</v>
      </c>
      <c r="S101" s="64">
        <v>0</v>
      </c>
      <c r="T101" s="24"/>
      <c r="U101" s="65">
        <f t="shared" si="15"/>
        <v>0</v>
      </c>
      <c r="V101" s="64">
        <v>0</v>
      </c>
      <c r="W101" s="24"/>
      <c r="X101" s="65">
        <f t="shared" si="16"/>
        <v>0</v>
      </c>
      <c r="Y101" s="64">
        <v>0</v>
      </c>
      <c r="Z101" s="24"/>
      <c r="AA101" s="65">
        <f t="shared" si="17"/>
        <v>0</v>
      </c>
      <c r="AB101" s="64">
        <v>0</v>
      </c>
      <c r="AC101" s="24"/>
      <c r="AD101" s="65">
        <f t="shared" si="18"/>
        <v>0</v>
      </c>
      <c r="AE101" s="64">
        <v>0</v>
      </c>
      <c r="AF101" s="24"/>
      <c r="AG101" s="65">
        <f t="shared" si="19"/>
        <v>0</v>
      </c>
    </row>
    <row r="102" spans="3:33" ht="28" outlineLevel="1" x14ac:dyDescent="0.2">
      <c r="C102" s="17" t="s">
        <v>133</v>
      </c>
      <c r="D102" s="22" t="s">
        <v>671</v>
      </c>
      <c r="E102" s="23" t="s">
        <v>611</v>
      </c>
      <c r="F102" s="63">
        <f t="shared" si="10"/>
        <v>0</v>
      </c>
      <c r="G102" s="331">
        <f t="shared" si="11"/>
        <v>0</v>
      </c>
      <c r="H102" s="398">
        <v>309759.22039999999</v>
      </c>
      <c r="I102" s="399">
        <f>ROUND(H102*'INDEX ICOCIV'!$R$85,0)</f>
        <v>421273</v>
      </c>
      <c r="J102" s="324">
        <v>0</v>
      </c>
      <c r="K102" s="24"/>
      <c r="L102" s="65">
        <f t="shared" si="12"/>
        <v>0</v>
      </c>
      <c r="M102" s="64">
        <v>0</v>
      </c>
      <c r="N102" s="24"/>
      <c r="O102" s="65">
        <f t="shared" si="13"/>
        <v>0</v>
      </c>
      <c r="P102" s="64">
        <v>0</v>
      </c>
      <c r="Q102" s="24"/>
      <c r="R102" s="65">
        <f t="shared" si="14"/>
        <v>0</v>
      </c>
      <c r="S102" s="64">
        <v>0</v>
      </c>
      <c r="T102" s="24"/>
      <c r="U102" s="65">
        <f t="shared" si="15"/>
        <v>0</v>
      </c>
      <c r="V102" s="64">
        <v>0</v>
      </c>
      <c r="W102" s="24"/>
      <c r="X102" s="65">
        <f t="shared" si="16"/>
        <v>0</v>
      </c>
      <c r="Y102" s="64">
        <v>0</v>
      </c>
      <c r="Z102" s="24"/>
      <c r="AA102" s="65">
        <f t="shared" si="17"/>
        <v>0</v>
      </c>
      <c r="AB102" s="64">
        <v>0</v>
      </c>
      <c r="AC102" s="24"/>
      <c r="AD102" s="65">
        <f t="shared" si="18"/>
        <v>0</v>
      </c>
      <c r="AE102" s="64">
        <v>0</v>
      </c>
      <c r="AF102" s="24"/>
      <c r="AG102" s="65">
        <f t="shared" si="19"/>
        <v>0</v>
      </c>
    </row>
    <row r="103" spans="3:33" ht="28" outlineLevel="1" x14ac:dyDescent="0.2">
      <c r="C103" s="17" t="s">
        <v>134</v>
      </c>
      <c r="D103" s="22" t="s">
        <v>672</v>
      </c>
      <c r="E103" s="23" t="s">
        <v>611</v>
      </c>
      <c r="F103" s="63">
        <f t="shared" si="10"/>
        <v>0</v>
      </c>
      <c r="G103" s="331">
        <f t="shared" si="11"/>
        <v>0</v>
      </c>
      <c r="H103" s="398">
        <v>379500.97629999998</v>
      </c>
      <c r="I103" s="399">
        <f>ROUND(H103*'INDEX ICOCIV'!$R$85,0)</f>
        <v>516121</v>
      </c>
      <c r="J103" s="324">
        <v>0</v>
      </c>
      <c r="K103" s="24"/>
      <c r="L103" s="65">
        <f t="shared" si="12"/>
        <v>0</v>
      </c>
      <c r="M103" s="64">
        <v>0</v>
      </c>
      <c r="N103" s="24"/>
      <c r="O103" s="65">
        <f t="shared" si="13"/>
        <v>0</v>
      </c>
      <c r="P103" s="64">
        <v>0</v>
      </c>
      <c r="Q103" s="24"/>
      <c r="R103" s="65">
        <f t="shared" si="14"/>
        <v>0</v>
      </c>
      <c r="S103" s="64">
        <v>0</v>
      </c>
      <c r="T103" s="24"/>
      <c r="U103" s="65">
        <f t="shared" si="15"/>
        <v>0</v>
      </c>
      <c r="V103" s="64">
        <v>0</v>
      </c>
      <c r="W103" s="24"/>
      <c r="X103" s="65">
        <f t="shared" si="16"/>
        <v>0</v>
      </c>
      <c r="Y103" s="64">
        <v>0</v>
      </c>
      <c r="Z103" s="24"/>
      <c r="AA103" s="65">
        <f t="shared" si="17"/>
        <v>0</v>
      </c>
      <c r="AB103" s="64">
        <v>0</v>
      </c>
      <c r="AC103" s="24"/>
      <c r="AD103" s="65">
        <f t="shared" si="18"/>
        <v>0</v>
      </c>
      <c r="AE103" s="64">
        <v>0</v>
      </c>
      <c r="AF103" s="24"/>
      <c r="AG103" s="65">
        <f t="shared" si="19"/>
        <v>0</v>
      </c>
    </row>
    <row r="104" spans="3:33" ht="28" outlineLevel="1" x14ac:dyDescent="0.2">
      <c r="C104" s="17" t="s">
        <v>135</v>
      </c>
      <c r="D104" s="22" t="s">
        <v>673</v>
      </c>
      <c r="E104" s="23" t="s">
        <v>611</v>
      </c>
      <c r="F104" s="63">
        <f t="shared" si="10"/>
        <v>0</v>
      </c>
      <c r="G104" s="331">
        <f t="shared" si="11"/>
        <v>0</v>
      </c>
      <c r="H104" s="398">
        <v>1062803.5273</v>
      </c>
      <c r="I104" s="399">
        <f>ROUND(H104*'INDEX ICOCIV'!$R$85,0)</f>
        <v>1445413</v>
      </c>
      <c r="J104" s="324">
        <v>0</v>
      </c>
      <c r="K104" s="24"/>
      <c r="L104" s="65">
        <f t="shared" si="12"/>
        <v>0</v>
      </c>
      <c r="M104" s="64">
        <v>0</v>
      </c>
      <c r="N104" s="24">
        <v>1</v>
      </c>
      <c r="O104" s="65">
        <f t="shared" si="13"/>
        <v>-1</v>
      </c>
      <c r="P104" s="64">
        <v>0</v>
      </c>
      <c r="Q104" s="24"/>
      <c r="R104" s="65">
        <f t="shared" si="14"/>
        <v>0</v>
      </c>
      <c r="S104" s="64">
        <v>0</v>
      </c>
      <c r="T104" s="24"/>
      <c r="U104" s="65">
        <f t="shared" si="15"/>
        <v>0</v>
      </c>
      <c r="V104" s="64">
        <v>0</v>
      </c>
      <c r="W104" s="24"/>
      <c r="X104" s="65">
        <f t="shared" si="16"/>
        <v>0</v>
      </c>
      <c r="Y104" s="64">
        <v>0</v>
      </c>
      <c r="Z104" s="24"/>
      <c r="AA104" s="65">
        <f t="shared" si="17"/>
        <v>0</v>
      </c>
      <c r="AB104" s="64">
        <v>0</v>
      </c>
      <c r="AC104" s="24"/>
      <c r="AD104" s="65">
        <f t="shared" si="18"/>
        <v>0</v>
      </c>
      <c r="AE104" s="64">
        <v>0</v>
      </c>
      <c r="AF104" s="24"/>
      <c r="AG104" s="65">
        <f t="shared" si="19"/>
        <v>0</v>
      </c>
    </row>
    <row r="105" spans="3:33" ht="28" outlineLevel="1" x14ac:dyDescent="0.2">
      <c r="C105" s="17" t="s">
        <v>136</v>
      </c>
      <c r="D105" s="22" t="s">
        <v>674</v>
      </c>
      <c r="E105" s="23" t="s">
        <v>176</v>
      </c>
      <c r="F105" s="63">
        <f t="shared" si="10"/>
        <v>0</v>
      </c>
      <c r="G105" s="331">
        <f t="shared" si="11"/>
        <v>0</v>
      </c>
      <c r="H105" s="398">
        <v>66330.948600000003</v>
      </c>
      <c r="I105" s="399">
        <f>ROUND(H105*'INDEX ICOCIV'!$R$85,0)</f>
        <v>90210</v>
      </c>
      <c r="J105" s="324">
        <v>0</v>
      </c>
      <c r="K105" s="24"/>
      <c r="L105" s="65">
        <f t="shared" si="12"/>
        <v>0</v>
      </c>
      <c r="M105" s="64">
        <v>0</v>
      </c>
      <c r="N105" s="24">
        <v>11.500003099608922</v>
      </c>
      <c r="O105" s="65">
        <f t="shared" si="13"/>
        <v>-11.5</v>
      </c>
      <c r="P105" s="64">
        <v>0</v>
      </c>
      <c r="Q105" s="24"/>
      <c r="R105" s="65">
        <f t="shared" si="14"/>
        <v>0</v>
      </c>
      <c r="S105" s="64">
        <v>0</v>
      </c>
      <c r="T105" s="24"/>
      <c r="U105" s="65">
        <f t="shared" si="15"/>
        <v>0</v>
      </c>
      <c r="V105" s="64">
        <v>0</v>
      </c>
      <c r="W105" s="24"/>
      <c r="X105" s="65">
        <f t="shared" si="16"/>
        <v>0</v>
      </c>
      <c r="Y105" s="64">
        <v>0</v>
      </c>
      <c r="Z105" s="24"/>
      <c r="AA105" s="65">
        <f t="shared" si="17"/>
        <v>0</v>
      </c>
      <c r="AB105" s="64">
        <v>0</v>
      </c>
      <c r="AC105" s="24"/>
      <c r="AD105" s="65">
        <f t="shared" si="18"/>
        <v>0</v>
      </c>
      <c r="AE105" s="64">
        <v>0</v>
      </c>
      <c r="AF105" s="24"/>
      <c r="AG105" s="65">
        <f t="shared" si="19"/>
        <v>0</v>
      </c>
    </row>
    <row r="106" spans="3:33" ht="28" outlineLevel="1" x14ac:dyDescent="0.2">
      <c r="C106" s="17" t="s">
        <v>137</v>
      </c>
      <c r="D106" s="22" t="s">
        <v>675</v>
      </c>
      <c r="E106" s="23" t="s">
        <v>611</v>
      </c>
      <c r="F106" s="63">
        <f t="shared" si="10"/>
        <v>0</v>
      </c>
      <c r="G106" s="331">
        <f t="shared" si="11"/>
        <v>0</v>
      </c>
      <c r="H106" s="398">
        <v>72277.087499999994</v>
      </c>
      <c r="I106" s="399">
        <f>ROUND(H106*'INDEX ICOCIV'!$R$85,0)</f>
        <v>98297</v>
      </c>
      <c r="J106" s="324">
        <v>0</v>
      </c>
      <c r="K106" s="24">
        <v>19.340001767503431</v>
      </c>
      <c r="L106" s="65">
        <f t="shared" si="12"/>
        <v>-19.34</v>
      </c>
      <c r="M106" s="64">
        <v>0</v>
      </c>
      <c r="N106" s="24">
        <v>12.99999809759905</v>
      </c>
      <c r="O106" s="65">
        <f t="shared" si="13"/>
        <v>-13</v>
      </c>
      <c r="P106" s="64">
        <v>0</v>
      </c>
      <c r="Q106" s="24">
        <v>3.2999946213936751</v>
      </c>
      <c r="R106" s="65">
        <f t="shared" si="14"/>
        <v>-3.3</v>
      </c>
      <c r="S106" s="64">
        <v>0</v>
      </c>
      <c r="T106" s="24">
        <v>3.6499948894592635</v>
      </c>
      <c r="U106" s="65">
        <f t="shared" si="15"/>
        <v>-3.65</v>
      </c>
      <c r="V106" s="64">
        <v>0</v>
      </c>
      <c r="W106" s="24"/>
      <c r="X106" s="65">
        <f t="shared" si="16"/>
        <v>0</v>
      </c>
      <c r="Y106" s="64">
        <v>0</v>
      </c>
      <c r="Z106" s="24">
        <v>0.24999623843448315</v>
      </c>
      <c r="AA106" s="65">
        <f t="shared" si="17"/>
        <v>-0.25</v>
      </c>
      <c r="AB106" s="64">
        <v>0</v>
      </c>
      <c r="AC106" s="24"/>
      <c r="AD106" s="65">
        <f t="shared" si="18"/>
        <v>0</v>
      </c>
      <c r="AE106" s="64">
        <v>0</v>
      </c>
      <c r="AF106" s="24">
        <v>4.3</v>
      </c>
      <c r="AG106" s="65">
        <f t="shared" si="19"/>
        <v>-4.3</v>
      </c>
    </row>
    <row r="107" spans="3:33" ht="42" outlineLevel="1" x14ac:dyDescent="0.2">
      <c r="C107" s="17" t="s">
        <v>138</v>
      </c>
      <c r="D107" s="22" t="s">
        <v>676</v>
      </c>
      <c r="E107" s="23" t="s">
        <v>611</v>
      </c>
      <c r="F107" s="63">
        <f t="shared" si="10"/>
        <v>0</v>
      </c>
      <c r="G107" s="331">
        <f t="shared" si="11"/>
        <v>0</v>
      </c>
      <c r="H107" s="398">
        <v>440286.60619999998</v>
      </c>
      <c r="I107" s="399">
        <f>ROUND(H107*'INDEX ICOCIV'!$R$85,0)</f>
        <v>598790</v>
      </c>
      <c r="J107" s="324">
        <v>0</v>
      </c>
      <c r="K107" s="24"/>
      <c r="L107" s="65">
        <f t="shared" si="12"/>
        <v>0</v>
      </c>
      <c r="M107" s="64">
        <v>0</v>
      </c>
      <c r="N107" s="24">
        <v>1.8000002472026142</v>
      </c>
      <c r="O107" s="65">
        <f t="shared" si="13"/>
        <v>-1.8</v>
      </c>
      <c r="P107" s="64">
        <v>0</v>
      </c>
      <c r="Q107" s="24"/>
      <c r="R107" s="65">
        <f t="shared" si="14"/>
        <v>0</v>
      </c>
      <c r="S107" s="64">
        <v>0</v>
      </c>
      <c r="T107" s="24"/>
      <c r="U107" s="65">
        <f t="shared" si="15"/>
        <v>0</v>
      </c>
      <c r="V107" s="64">
        <v>0</v>
      </c>
      <c r="W107" s="24">
        <v>1.5000002060021784</v>
      </c>
      <c r="X107" s="65">
        <f t="shared" si="16"/>
        <v>-1.5</v>
      </c>
      <c r="Y107" s="64">
        <v>0</v>
      </c>
      <c r="Z107" s="24"/>
      <c r="AA107" s="65">
        <f t="shared" si="17"/>
        <v>0</v>
      </c>
      <c r="AB107" s="64">
        <v>0</v>
      </c>
      <c r="AC107" s="24">
        <v>0.60000008240087144</v>
      </c>
      <c r="AD107" s="65">
        <f t="shared" si="18"/>
        <v>-0.6</v>
      </c>
      <c r="AE107" s="64">
        <v>0</v>
      </c>
      <c r="AF107" s="24"/>
      <c r="AG107" s="65">
        <f t="shared" si="19"/>
        <v>0</v>
      </c>
    </row>
    <row r="108" spans="3:33" ht="28" outlineLevel="1" x14ac:dyDescent="0.2">
      <c r="C108" s="17" t="s">
        <v>139</v>
      </c>
      <c r="D108" s="22" t="s">
        <v>630</v>
      </c>
      <c r="E108" s="23" t="s">
        <v>176</v>
      </c>
      <c r="F108" s="63">
        <f t="shared" si="10"/>
        <v>0</v>
      </c>
      <c r="G108" s="331">
        <f t="shared" si="11"/>
        <v>0</v>
      </c>
      <c r="H108" s="398">
        <v>45956.241399999999</v>
      </c>
      <c r="I108" s="399">
        <f>ROUND(H108*'INDEX ICOCIV'!$R$85,0)</f>
        <v>62500</v>
      </c>
      <c r="J108" s="324">
        <v>0</v>
      </c>
      <c r="K108" s="24"/>
      <c r="L108" s="65">
        <f t="shared" si="12"/>
        <v>0</v>
      </c>
      <c r="M108" s="64">
        <v>0</v>
      </c>
      <c r="N108" s="24"/>
      <c r="O108" s="65">
        <f t="shared" si="13"/>
        <v>0</v>
      </c>
      <c r="P108" s="64">
        <v>0</v>
      </c>
      <c r="Q108" s="24"/>
      <c r="R108" s="65">
        <f t="shared" si="14"/>
        <v>0</v>
      </c>
      <c r="S108" s="64">
        <v>0</v>
      </c>
      <c r="T108" s="24"/>
      <c r="U108" s="65">
        <f t="shared" si="15"/>
        <v>0</v>
      </c>
      <c r="V108" s="64">
        <v>0</v>
      </c>
      <c r="W108" s="24"/>
      <c r="X108" s="65">
        <f t="shared" si="16"/>
        <v>0</v>
      </c>
      <c r="Y108" s="64">
        <v>0</v>
      </c>
      <c r="Z108" s="24"/>
      <c r="AA108" s="65">
        <f t="shared" si="17"/>
        <v>0</v>
      </c>
      <c r="AB108" s="64">
        <v>0</v>
      </c>
      <c r="AC108" s="24"/>
      <c r="AD108" s="65">
        <f t="shared" si="18"/>
        <v>0</v>
      </c>
      <c r="AE108" s="64">
        <v>0</v>
      </c>
      <c r="AF108" s="24"/>
      <c r="AG108" s="65">
        <f t="shared" si="19"/>
        <v>0</v>
      </c>
    </row>
    <row r="109" spans="3:33" ht="42" outlineLevel="1" x14ac:dyDescent="0.2">
      <c r="C109" s="17" t="s">
        <v>140</v>
      </c>
      <c r="D109" s="22" t="s">
        <v>677</v>
      </c>
      <c r="E109" s="23" t="s">
        <v>176</v>
      </c>
      <c r="F109" s="63">
        <f t="shared" si="10"/>
        <v>0</v>
      </c>
      <c r="G109" s="331">
        <f t="shared" si="11"/>
        <v>0</v>
      </c>
      <c r="H109" s="398">
        <v>497397.73129999998</v>
      </c>
      <c r="I109" s="399">
        <f>ROUND(H109*'INDEX ICOCIV'!$R$85,0)</f>
        <v>676461</v>
      </c>
      <c r="J109" s="324">
        <v>0</v>
      </c>
      <c r="K109" s="24"/>
      <c r="L109" s="65">
        <f t="shared" si="12"/>
        <v>0</v>
      </c>
      <c r="M109" s="64">
        <v>0</v>
      </c>
      <c r="N109" s="24"/>
      <c r="O109" s="65">
        <f t="shared" si="13"/>
        <v>0</v>
      </c>
      <c r="P109" s="64">
        <v>0</v>
      </c>
      <c r="Q109" s="24"/>
      <c r="R109" s="65">
        <f t="shared" si="14"/>
        <v>0</v>
      </c>
      <c r="S109" s="64">
        <v>0</v>
      </c>
      <c r="T109" s="24"/>
      <c r="U109" s="65">
        <f t="shared" si="15"/>
        <v>0</v>
      </c>
      <c r="V109" s="64">
        <v>0</v>
      </c>
      <c r="W109" s="24"/>
      <c r="X109" s="65">
        <f t="shared" si="16"/>
        <v>0</v>
      </c>
      <c r="Y109" s="64">
        <v>0</v>
      </c>
      <c r="Z109" s="24"/>
      <c r="AA109" s="65">
        <f t="shared" si="17"/>
        <v>0</v>
      </c>
      <c r="AB109" s="64">
        <v>0</v>
      </c>
      <c r="AC109" s="24"/>
      <c r="AD109" s="65">
        <f t="shared" si="18"/>
        <v>0</v>
      </c>
      <c r="AE109" s="64">
        <v>0</v>
      </c>
      <c r="AF109" s="24"/>
      <c r="AG109" s="65">
        <f t="shared" si="19"/>
        <v>0</v>
      </c>
    </row>
    <row r="110" spans="3:33" ht="42" outlineLevel="1" x14ac:dyDescent="0.2">
      <c r="C110" s="17" t="s">
        <v>141</v>
      </c>
      <c r="D110" s="22" t="s">
        <v>658</v>
      </c>
      <c r="E110" s="23" t="s">
        <v>176</v>
      </c>
      <c r="F110" s="63">
        <f t="shared" si="10"/>
        <v>0</v>
      </c>
      <c r="G110" s="331">
        <f t="shared" si="11"/>
        <v>0</v>
      </c>
      <c r="H110" s="398">
        <v>1240107.9728999999</v>
      </c>
      <c r="I110" s="399">
        <f>ROUND(H110*'INDEX ICOCIV'!$R$85,0)</f>
        <v>1686547</v>
      </c>
      <c r="J110" s="324">
        <v>0</v>
      </c>
      <c r="K110" s="24"/>
      <c r="L110" s="65">
        <f t="shared" si="12"/>
        <v>0</v>
      </c>
      <c r="M110" s="64">
        <v>0</v>
      </c>
      <c r="N110" s="24">
        <v>2.0000000437058718</v>
      </c>
      <c r="O110" s="65">
        <f t="shared" si="13"/>
        <v>-2</v>
      </c>
      <c r="P110" s="64">
        <v>0</v>
      </c>
      <c r="Q110" s="24"/>
      <c r="R110" s="65">
        <f t="shared" si="14"/>
        <v>0</v>
      </c>
      <c r="S110" s="64">
        <v>0</v>
      </c>
      <c r="T110" s="24"/>
      <c r="U110" s="65">
        <f t="shared" si="15"/>
        <v>0</v>
      </c>
      <c r="V110" s="64">
        <v>0</v>
      </c>
      <c r="W110" s="24">
        <v>3.0000000655588077</v>
      </c>
      <c r="X110" s="65">
        <f t="shared" si="16"/>
        <v>-3</v>
      </c>
      <c r="Y110" s="64">
        <v>0</v>
      </c>
      <c r="Z110" s="24"/>
      <c r="AA110" s="65">
        <f t="shared" si="17"/>
        <v>0</v>
      </c>
      <c r="AB110" s="64">
        <v>0</v>
      </c>
      <c r="AC110" s="24"/>
      <c r="AD110" s="65">
        <f t="shared" si="18"/>
        <v>0</v>
      </c>
      <c r="AE110" s="64">
        <v>0</v>
      </c>
      <c r="AF110" s="24"/>
      <c r="AG110" s="65">
        <f t="shared" si="19"/>
        <v>0</v>
      </c>
    </row>
    <row r="111" spans="3:33" ht="42" outlineLevel="1" x14ac:dyDescent="0.2">
      <c r="C111" s="17" t="s">
        <v>142</v>
      </c>
      <c r="D111" s="22" t="s">
        <v>678</v>
      </c>
      <c r="E111" s="23" t="s">
        <v>176</v>
      </c>
      <c r="F111" s="63">
        <f t="shared" si="10"/>
        <v>0</v>
      </c>
      <c r="G111" s="331">
        <f t="shared" si="11"/>
        <v>0</v>
      </c>
      <c r="H111" s="398">
        <v>1952742.3160000001</v>
      </c>
      <c r="I111" s="399">
        <f>ROUND(H111*'INDEX ICOCIV'!$R$85,0)</f>
        <v>2655730</v>
      </c>
      <c r="J111" s="324">
        <v>0</v>
      </c>
      <c r="K111" s="24"/>
      <c r="L111" s="65">
        <f t="shared" si="12"/>
        <v>0</v>
      </c>
      <c r="M111" s="64">
        <v>0</v>
      </c>
      <c r="N111" s="24"/>
      <c r="O111" s="65">
        <f t="shared" si="13"/>
        <v>0</v>
      </c>
      <c r="P111" s="64">
        <v>0</v>
      </c>
      <c r="Q111" s="24"/>
      <c r="R111" s="65">
        <f t="shared" si="14"/>
        <v>0</v>
      </c>
      <c r="S111" s="64">
        <v>0</v>
      </c>
      <c r="T111" s="24"/>
      <c r="U111" s="65">
        <f t="shared" si="15"/>
        <v>0</v>
      </c>
      <c r="V111" s="64">
        <v>0</v>
      </c>
      <c r="W111" s="24"/>
      <c r="X111" s="65">
        <f t="shared" si="16"/>
        <v>0</v>
      </c>
      <c r="Y111" s="64">
        <v>0</v>
      </c>
      <c r="Z111" s="24">
        <v>4.0000003769058488</v>
      </c>
      <c r="AA111" s="65">
        <f t="shared" si="17"/>
        <v>-4</v>
      </c>
      <c r="AB111" s="64">
        <v>0</v>
      </c>
      <c r="AC111" s="24">
        <v>2.0000001884529244</v>
      </c>
      <c r="AD111" s="65">
        <f t="shared" si="18"/>
        <v>-2</v>
      </c>
      <c r="AE111" s="64">
        <v>0</v>
      </c>
      <c r="AF111" s="24"/>
      <c r="AG111" s="65">
        <f t="shared" si="19"/>
        <v>0</v>
      </c>
    </row>
    <row r="112" spans="3:33" ht="42" outlineLevel="1" x14ac:dyDescent="0.2">
      <c r="C112" s="17" t="s">
        <v>143</v>
      </c>
      <c r="D112" s="22" t="s">
        <v>679</v>
      </c>
      <c r="E112" s="23" t="s">
        <v>176</v>
      </c>
      <c r="F112" s="63">
        <f t="shared" si="10"/>
        <v>0</v>
      </c>
      <c r="G112" s="331">
        <f t="shared" si="11"/>
        <v>0</v>
      </c>
      <c r="H112" s="398">
        <v>3103243.9605999999</v>
      </c>
      <c r="I112" s="399">
        <f>ROUND(H112*'INDEX ICOCIV'!$R$85,0)</f>
        <v>4220412</v>
      </c>
      <c r="J112" s="324">
        <v>0</v>
      </c>
      <c r="K112" s="24"/>
      <c r="L112" s="65">
        <f t="shared" si="12"/>
        <v>0</v>
      </c>
      <c r="M112" s="64">
        <v>0</v>
      </c>
      <c r="N112" s="24"/>
      <c r="O112" s="65">
        <f t="shared" si="13"/>
        <v>0</v>
      </c>
      <c r="P112" s="64">
        <v>0</v>
      </c>
      <c r="Q112" s="24"/>
      <c r="R112" s="65">
        <f t="shared" si="14"/>
        <v>0</v>
      </c>
      <c r="S112" s="64">
        <v>0</v>
      </c>
      <c r="T112" s="24"/>
      <c r="U112" s="65">
        <f t="shared" si="15"/>
        <v>0</v>
      </c>
      <c r="V112" s="64">
        <v>0</v>
      </c>
      <c r="W112" s="24"/>
      <c r="X112" s="65">
        <f t="shared" si="16"/>
        <v>0</v>
      </c>
      <c r="Y112" s="64">
        <v>0</v>
      </c>
      <c r="Z112" s="24"/>
      <c r="AA112" s="65">
        <f t="shared" si="17"/>
        <v>0</v>
      </c>
      <c r="AB112" s="64">
        <v>0</v>
      </c>
      <c r="AC112" s="24"/>
      <c r="AD112" s="65">
        <f t="shared" si="18"/>
        <v>0</v>
      </c>
      <c r="AE112" s="64">
        <v>0</v>
      </c>
      <c r="AF112" s="24"/>
      <c r="AG112" s="65">
        <f t="shared" si="19"/>
        <v>0</v>
      </c>
    </row>
    <row r="113" spans="3:33" ht="28" outlineLevel="1" x14ac:dyDescent="0.2">
      <c r="C113" s="17" t="s">
        <v>144</v>
      </c>
      <c r="D113" s="22" t="s">
        <v>145</v>
      </c>
      <c r="E113" s="23" t="s">
        <v>176</v>
      </c>
      <c r="F113" s="63">
        <f t="shared" si="10"/>
        <v>2</v>
      </c>
      <c r="G113" s="331">
        <f t="shared" si="11"/>
        <v>2</v>
      </c>
      <c r="H113" s="398">
        <v>5537763.5268999999</v>
      </c>
      <c r="I113" s="399">
        <f>ROUND(H113*'INDEX ICOCIV'!$R$85,0)</f>
        <v>7531358</v>
      </c>
      <c r="J113" s="324">
        <v>0</v>
      </c>
      <c r="K113" s="24"/>
      <c r="L113" s="65">
        <f t="shared" si="12"/>
        <v>0</v>
      </c>
      <c r="M113" s="64">
        <v>0</v>
      </c>
      <c r="N113" s="24"/>
      <c r="O113" s="65">
        <f t="shared" si="13"/>
        <v>0</v>
      </c>
      <c r="P113" s="64">
        <v>0</v>
      </c>
      <c r="Q113" s="24"/>
      <c r="R113" s="65">
        <f t="shared" si="14"/>
        <v>0</v>
      </c>
      <c r="S113" s="64">
        <v>0</v>
      </c>
      <c r="T113" s="24"/>
      <c r="U113" s="65">
        <f t="shared" si="15"/>
        <v>0</v>
      </c>
      <c r="V113" s="64">
        <v>0</v>
      </c>
      <c r="W113" s="24"/>
      <c r="X113" s="65">
        <f t="shared" si="16"/>
        <v>0</v>
      </c>
      <c r="Y113" s="64">
        <v>0</v>
      </c>
      <c r="Z113" s="24"/>
      <c r="AA113" s="65">
        <f t="shared" si="17"/>
        <v>0</v>
      </c>
      <c r="AB113" s="64">
        <v>0</v>
      </c>
      <c r="AC113" s="24"/>
      <c r="AD113" s="65">
        <f t="shared" si="18"/>
        <v>0</v>
      </c>
      <c r="AE113" s="64">
        <v>2</v>
      </c>
      <c r="AF113" s="24"/>
      <c r="AG113" s="65">
        <f t="shared" si="19"/>
        <v>2</v>
      </c>
    </row>
    <row r="114" spans="3:33" ht="21" customHeight="1" x14ac:dyDescent="0.2">
      <c r="C114" s="27">
        <v>7</v>
      </c>
      <c r="D114" s="28" t="s">
        <v>146</v>
      </c>
      <c r="E114" s="29"/>
      <c r="F114" s="30" t="str">
        <f t="shared" si="10"/>
        <v/>
      </c>
      <c r="G114" s="330"/>
      <c r="H114" s="400"/>
      <c r="I114" s="400"/>
      <c r="J114" s="325"/>
      <c r="K114" s="14"/>
      <c r="L114" s="67"/>
      <c r="M114" s="66"/>
      <c r="N114" s="14"/>
      <c r="O114" s="67"/>
      <c r="P114" s="66"/>
      <c r="Q114" s="14"/>
      <c r="R114" s="67"/>
      <c r="S114" s="66"/>
      <c r="T114" s="14"/>
      <c r="U114" s="67"/>
      <c r="V114" s="66"/>
      <c r="W114" s="14"/>
      <c r="X114" s="67"/>
      <c r="Y114" s="66"/>
      <c r="Z114" s="14"/>
      <c r="AA114" s="67"/>
      <c r="AB114" s="66"/>
      <c r="AC114" s="14"/>
      <c r="AD114" s="67"/>
      <c r="AE114" s="66"/>
      <c r="AF114" s="14"/>
      <c r="AG114" s="67"/>
    </row>
    <row r="115" spans="3:33" ht="28" outlineLevel="1" x14ac:dyDescent="0.2">
      <c r="C115" s="17" t="s">
        <v>147</v>
      </c>
      <c r="D115" s="22" t="s">
        <v>680</v>
      </c>
      <c r="E115" s="23" t="s">
        <v>176</v>
      </c>
      <c r="F115" s="63">
        <f t="shared" si="10"/>
        <v>16</v>
      </c>
      <c r="G115" s="331">
        <f t="shared" si="11"/>
        <v>16</v>
      </c>
      <c r="H115" s="398">
        <v>465676.36040000001</v>
      </c>
      <c r="I115" s="399">
        <f>ROUND(H115*'INDEX ICOCIV'!$R$85,0)</f>
        <v>633320</v>
      </c>
      <c r="J115" s="324">
        <v>2</v>
      </c>
      <c r="K115" s="24"/>
      <c r="L115" s="65">
        <f t="shared" si="12"/>
        <v>2</v>
      </c>
      <c r="M115" s="64">
        <v>2</v>
      </c>
      <c r="N115" s="24"/>
      <c r="O115" s="65">
        <f t="shared" si="13"/>
        <v>2</v>
      </c>
      <c r="P115" s="64">
        <v>2</v>
      </c>
      <c r="Q115" s="24"/>
      <c r="R115" s="65">
        <f t="shared" si="14"/>
        <v>2</v>
      </c>
      <c r="S115" s="64">
        <v>2</v>
      </c>
      <c r="T115" s="24"/>
      <c r="U115" s="65">
        <f t="shared" si="15"/>
        <v>2</v>
      </c>
      <c r="V115" s="64">
        <v>2</v>
      </c>
      <c r="W115" s="24"/>
      <c r="X115" s="65">
        <f t="shared" si="16"/>
        <v>2</v>
      </c>
      <c r="Y115" s="64">
        <v>2</v>
      </c>
      <c r="Z115" s="24"/>
      <c r="AA115" s="65">
        <f t="shared" si="17"/>
        <v>2</v>
      </c>
      <c r="AB115" s="64">
        <v>2</v>
      </c>
      <c r="AC115" s="24"/>
      <c r="AD115" s="65">
        <f t="shared" si="18"/>
        <v>2</v>
      </c>
      <c r="AE115" s="64">
        <v>2</v>
      </c>
      <c r="AF115" s="24"/>
      <c r="AG115" s="65">
        <f t="shared" si="19"/>
        <v>2</v>
      </c>
    </row>
    <row r="116" spans="3:33" ht="21" customHeight="1" x14ac:dyDescent="0.2">
      <c r="C116" s="27">
        <v>8</v>
      </c>
      <c r="D116" s="28" t="s">
        <v>148</v>
      </c>
      <c r="E116" s="29"/>
      <c r="F116" s="30" t="str">
        <f t="shared" si="10"/>
        <v/>
      </c>
      <c r="G116" s="330"/>
      <c r="H116" s="400"/>
      <c r="I116" s="400"/>
      <c r="J116" s="325"/>
      <c r="K116" s="14"/>
      <c r="L116" s="67"/>
      <c r="M116" s="66"/>
      <c r="N116" s="14"/>
      <c r="O116" s="67"/>
      <c r="P116" s="66"/>
      <c r="Q116" s="14"/>
      <c r="R116" s="67"/>
      <c r="S116" s="66"/>
      <c r="T116" s="14"/>
      <c r="U116" s="67"/>
      <c r="V116" s="66"/>
      <c r="W116" s="14"/>
      <c r="X116" s="67"/>
      <c r="Y116" s="66"/>
      <c r="Z116" s="14"/>
      <c r="AA116" s="67"/>
      <c r="AB116" s="66"/>
      <c r="AC116" s="14"/>
      <c r="AD116" s="67"/>
      <c r="AE116" s="66"/>
      <c r="AF116" s="14"/>
      <c r="AG116" s="67"/>
    </row>
    <row r="117" spans="3:33" ht="28" outlineLevel="1" x14ac:dyDescent="0.2">
      <c r="C117" s="17" t="s">
        <v>149</v>
      </c>
      <c r="D117" s="22" t="s">
        <v>150</v>
      </c>
      <c r="E117" s="23" t="s">
        <v>171</v>
      </c>
      <c r="F117" s="63">
        <f t="shared" si="10"/>
        <v>28.98</v>
      </c>
      <c r="G117" s="331">
        <f t="shared" si="11"/>
        <v>28.98</v>
      </c>
      <c r="H117" s="398">
        <v>98711.083799999993</v>
      </c>
      <c r="I117" s="399">
        <f>ROUND(H117*'INDEX ICOCIV'!$R$85,0)</f>
        <v>134247</v>
      </c>
      <c r="J117" s="324">
        <v>0</v>
      </c>
      <c r="K117" s="24"/>
      <c r="L117" s="65">
        <f t="shared" si="12"/>
        <v>0</v>
      </c>
      <c r="M117" s="64">
        <v>0</v>
      </c>
      <c r="N117" s="24"/>
      <c r="O117" s="65">
        <f t="shared" si="13"/>
        <v>0</v>
      </c>
      <c r="P117" s="64">
        <v>0</v>
      </c>
      <c r="Q117" s="24"/>
      <c r="R117" s="65">
        <f t="shared" si="14"/>
        <v>0</v>
      </c>
      <c r="S117" s="64">
        <v>0</v>
      </c>
      <c r="T117" s="24"/>
      <c r="U117" s="65">
        <f t="shared" si="15"/>
        <v>0</v>
      </c>
      <c r="V117" s="64">
        <v>0</v>
      </c>
      <c r="W117" s="24"/>
      <c r="X117" s="65">
        <f t="shared" si="16"/>
        <v>0</v>
      </c>
      <c r="Y117" s="64">
        <v>0</v>
      </c>
      <c r="Z117" s="24"/>
      <c r="AA117" s="65">
        <f t="shared" si="17"/>
        <v>0</v>
      </c>
      <c r="AB117" s="64">
        <v>0</v>
      </c>
      <c r="AC117" s="24"/>
      <c r="AD117" s="65">
        <f t="shared" si="18"/>
        <v>0</v>
      </c>
      <c r="AE117" s="64">
        <v>28.979151546964815</v>
      </c>
      <c r="AF117" s="24"/>
      <c r="AG117" s="65">
        <f t="shared" si="19"/>
        <v>28.98</v>
      </c>
    </row>
    <row r="118" spans="3:33" ht="42" outlineLevel="1" x14ac:dyDescent="0.2">
      <c r="C118" s="17" t="s">
        <v>151</v>
      </c>
      <c r="D118" s="22" t="s">
        <v>152</v>
      </c>
      <c r="E118" s="23" t="s">
        <v>176</v>
      </c>
      <c r="F118" s="63">
        <f t="shared" si="10"/>
        <v>1</v>
      </c>
      <c r="G118" s="331">
        <f t="shared" si="11"/>
        <v>1</v>
      </c>
      <c r="H118" s="398">
        <v>540702.61419999995</v>
      </c>
      <c r="I118" s="399">
        <f>ROUND(H118*'INDEX ICOCIV'!$R$85,0)</f>
        <v>735356</v>
      </c>
      <c r="J118" s="324">
        <v>0</v>
      </c>
      <c r="K118" s="24"/>
      <c r="L118" s="65">
        <f t="shared" si="12"/>
        <v>0</v>
      </c>
      <c r="M118" s="64">
        <v>0</v>
      </c>
      <c r="N118" s="24"/>
      <c r="O118" s="65">
        <f t="shared" si="13"/>
        <v>0</v>
      </c>
      <c r="P118" s="64">
        <v>0</v>
      </c>
      <c r="Q118" s="24"/>
      <c r="R118" s="65">
        <f t="shared" si="14"/>
        <v>0</v>
      </c>
      <c r="S118" s="64">
        <v>0</v>
      </c>
      <c r="T118" s="24"/>
      <c r="U118" s="65">
        <f t="shared" si="15"/>
        <v>0</v>
      </c>
      <c r="V118" s="64">
        <v>0</v>
      </c>
      <c r="W118" s="24"/>
      <c r="X118" s="65">
        <f t="shared" si="16"/>
        <v>0</v>
      </c>
      <c r="Y118" s="64">
        <v>0</v>
      </c>
      <c r="Z118" s="24"/>
      <c r="AA118" s="65">
        <f t="shared" si="17"/>
        <v>0</v>
      </c>
      <c r="AB118" s="64">
        <v>0</v>
      </c>
      <c r="AC118" s="24"/>
      <c r="AD118" s="65">
        <f t="shared" si="18"/>
        <v>0</v>
      </c>
      <c r="AE118" s="64">
        <v>1</v>
      </c>
      <c r="AF118" s="24"/>
      <c r="AG118" s="65">
        <f t="shared" si="19"/>
        <v>1</v>
      </c>
    </row>
    <row r="119" spans="3:33" ht="42" outlineLevel="1" x14ac:dyDescent="0.2">
      <c r="C119" s="17" t="s">
        <v>153</v>
      </c>
      <c r="D119" s="22" t="s">
        <v>154</v>
      </c>
      <c r="E119" s="23" t="s">
        <v>176</v>
      </c>
      <c r="F119" s="63">
        <f t="shared" si="10"/>
        <v>0</v>
      </c>
      <c r="G119" s="331">
        <f t="shared" si="11"/>
        <v>0</v>
      </c>
      <c r="H119" s="398">
        <v>1096889.5456000001</v>
      </c>
      <c r="I119" s="399">
        <f>ROUND(H119*'INDEX ICOCIV'!$R$85,0)</f>
        <v>1491770</v>
      </c>
      <c r="J119" s="324">
        <v>0</v>
      </c>
      <c r="K119" s="24"/>
      <c r="L119" s="65">
        <f t="shared" si="12"/>
        <v>0</v>
      </c>
      <c r="M119" s="64">
        <v>0</v>
      </c>
      <c r="N119" s="24"/>
      <c r="O119" s="65">
        <f t="shared" si="13"/>
        <v>0</v>
      </c>
      <c r="P119" s="64">
        <v>0</v>
      </c>
      <c r="Q119" s="24"/>
      <c r="R119" s="65">
        <f t="shared" si="14"/>
        <v>0</v>
      </c>
      <c r="S119" s="64">
        <v>0</v>
      </c>
      <c r="T119" s="24"/>
      <c r="U119" s="65">
        <f t="shared" si="15"/>
        <v>0</v>
      </c>
      <c r="V119" s="64">
        <v>0</v>
      </c>
      <c r="W119" s="24"/>
      <c r="X119" s="65">
        <f t="shared" si="16"/>
        <v>0</v>
      </c>
      <c r="Y119" s="64">
        <v>0</v>
      </c>
      <c r="Z119" s="24"/>
      <c r="AA119" s="65">
        <f t="shared" si="17"/>
        <v>0</v>
      </c>
      <c r="AB119" s="64">
        <v>0</v>
      </c>
      <c r="AC119" s="24"/>
      <c r="AD119" s="65">
        <f t="shared" si="18"/>
        <v>0</v>
      </c>
      <c r="AE119" s="64">
        <v>0</v>
      </c>
      <c r="AF119" s="24"/>
      <c r="AG119" s="65">
        <f t="shared" si="19"/>
        <v>0</v>
      </c>
    </row>
    <row r="120" spans="3:33" ht="28" outlineLevel="1" x14ac:dyDescent="0.2">
      <c r="C120" s="17" t="s">
        <v>155</v>
      </c>
      <c r="D120" s="22" t="s">
        <v>156</v>
      </c>
      <c r="E120" s="23" t="s">
        <v>176</v>
      </c>
      <c r="F120" s="63">
        <f t="shared" si="10"/>
        <v>0</v>
      </c>
      <c r="G120" s="331">
        <f t="shared" si="11"/>
        <v>0</v>
      </c>
      <c r="H120" s="398">
        <v>1688946.0493000001</v>
      </c>
      <c r="I120" s="399">
        <f>ROUND(H120*'INDEX ICOCIV'!$R$85,0)</f>
        <v>2296967</v>
      </c>
      <c r="J120" s="324">
        <v>0</v>
      </c>
      <c r="K120" s="24"/>
      <c r="L120" s="65">
        <f t="shared" si="12"/>
        <v>0</v>
      </c>
      <c r="M120" s="64">
        <v>0</v>
      </c>
      <c r="N120" s="24"/>
      <c r="O120" s="65">
        <f t="shared" si="13"/>
        <v>0</v>
      </c>
      <c r="P120" s="64">
        <v>0</v>
      </c>
      <c r="Q120" s="24"/>
      <c r="R120" s="65">
        <f t="shared" si="14"/>
        <v>0</v>
      </c>
      <c r="S120" s="64">
        <v>0</v>
      </c>
      <c r="T120" s="24"/>
      <c r="U120" s="65">
        <f t="shared" si="15"/>
        <v>0</v>
      </c>
      <c r="V120" s="64">
        <v>0</v>
      </c>
      <c r="W120" s="24"/>
      <c r="X120" s="65">
        <f t="shared" si="16"/>
        <v>0</v>
      </c>
      <c r="Y120" s="64">
        <v>0</v>
      </c>
      <c r="Z120" s="24"/>
      <c r="AA120" s="65">
        <f t="shared" si="17"/>
        <v>0</v>
      </c>
      <c r="AB120" s="64">
        <v>0</v>
      </c>
      <c r="AC120" s="24"/>
      <c r="AD120" s="65">
        <f t="shared" si="18"/>
        <v>0</v>
      </c>
      <c r="AE120" s="64">
        <v>0</v>
      </c>
      <c r="AF120" s="24"/>
      <c r="AG120" s="65">
        <f t="shared" si="19"/>
        <v>0</v>
      </c>
    </row>
    <row r="121" spans="3:33" ht="16" outlineLevel="1" x14ac:dyDescent="0.2">
      <c r="C121" s="17" t="s">
        <v>157</v>
      </c>
      <c r="D121" s="22" t="s">
        <v>158</v>
      </c>
      <c r="E121" s="23" t="s">
        <v>176</v>
      </c>
      <c r="F121" s="63">
        <f t="shared" si="10"/>
        <v>0</v>
      </c>
      <c r="G121" s="331">
        <f t="shared" si="11"/>
        <v>0</v>
      </c>
      <c r="H121" s="398">
        <v>2592864.6411000001</v>
      </c>
      <c r="I121" s="399">
        <f>ROUND(H121*'INDEX ICOCIV'!$R$85,0)</f>
        <v>3526296</v>
      </c>
      <c r="J121" s="324">
        <v>0</v>
      </c>
      <c r="K121" s="24"/>
      <c r="L121" s="65">
        <f t="shared" si="12"/>
        <v>0</v>
      </c>
      <c r="M121" s="64">
        <v>0</v>
      </c>
      <c r="N121" s="24"/>
      <c r="O121" s="65">
        <f t="shared" si="13"/>
        <v>0</v>
      </c>
      <c r="P121" s="64">
        <v>0</v>
      </c>
      <c r="Q121" s="24"/>
      <c r="R121" s="65">
        <f t="shared" si="14"/>
        <v>0</v>
      </c>
      <c r="S121" s="64">
        <v>0</v>
      </c>
      <c r="T121" s="24"/>
      <c r="U121" s="65">
        <f t="shared" si="15"/>
        <v>0</v>
      </c>
      <c r="V121" s="64">
        <v>0</v>
      </c>
      <c r="W121" s="24"/>
      <c r="X121" s="65">
        <f t="shared" si="16"/>
        <v>0</v>
      </c>
      <c r="Y121" s="64">
        <v>0</v>
      </c>
      <c r="Z121" s="24"/>
      <c r="AA121" s="65">
        <f t="shared" si="17"/>
        <v>0</v>
      </c>
      <c r="AB121" s="64">
        <v>0</v>
      </c>
      <c r="AC121" s="24"/>
      <c r="AD121" s="65">
        <f t="shared" si="18"/>
        <v>0</v>
      </c>
      <c r="AE121" s="64">
        <v>0</v>
      </c>
      <c r="AF121" s="24"/>
      <c r="AG121" s="65">
        <f t="shared" si="19"/>
        <v>0</v>
      </c>
    </row>
    <row r="122" spans="3:33" ht="21" customHeight="1" x14ac:dyDescent="0.2">
      <c r="C122" s="27">
        <v>9</v>
      </c>
      <c r="D122" s="28" t="s">
        <v>159</v>
      </c>
      <c r="E122" s="29"/>
      <c r="F122" s="30" t="str">
        <f t="shared" si="10"/>
        <v/>
      </c>
      <c r="G122" s="330"/>
      <c r="H122" s="400"/>
      <c r="I122" s="400"/>
      <c r="J122" s="323"/>
      <c r="K122" s="14"/>
      <c r="L122" s="67"/>
      <c r="M122" s="66"/>
      <c r="N122" s="14"/>
      <c r="O122" s="67"/>
      <c r="P122" s="66"/>
      <c r="Q122" s="14"/>
      <c r="R122" s="67"/>
      <c r="S122" s="66"/>
      <c r="T122" s="14"/>
      <c r="U122" s="67"/>
      <c r="V122" s="66"/>
      <c r="W122" s="14"/>
      <c r="X122" s="67"/>
      <c r="Y122" s="66"/>
      <c r="Z122" s="14"/>
      <c r="AA122" s="67"/>
      <c r="AB122" s="66"/>
      <c r="AC122" s="14"/>
      <c r="AD122" s="67"/>
      <c r="AE122" s="66"/>
      <c r="AF122" s="14"/>
      <c r="AG122" s="67"/>
    </row>
    <row r="123" spans="3:33" ht="28" outlineLevel="1" x14ac:dyDescent="0.2">
      <c r="C123" s="17" t="s">
        <v>160</v>
      </c>
      <c r="D123" s="22" t="s">
        <v>161</v>
      </c>
      <c r="E123" s="23" t="s">
        <v>171</v>
      </c>
      <c r="F123" s="63">
        <f t="shared" si="10"/>
        <v>10</v>
      </c>
      <c r="G123" s="331">
        <f t="shared" si="11"/>
        <v>10</v>
      </c>
      <c r="H123" s="398">
        <v>56407.292499999996</v>
      </c>
      <c r="I123" s="399">
        <f>ROUND(H123*'INDEX ICOCIV'!$R$85,0)</f>
        <v>76714</v>
      </c>
      <c r="J123" s="324">
        <v>0</v>
      </c>
      <c r="K123" s="24"/>
      <c r="L123" s="65">
        <f t="shared" si="12"/>
        <v>0</v>
      </c>
      <c r="M123" s="64">
        <v>0</v>
      </c>
      <c r="N123" s="24"/>
      <c r="O123" s="65">
        <f t="shared" si="13"/>
        <v>0</v>
      </c>
      <c r="P123" s="64">
        <v>0</v>
      </c>
      <c r="Q123" s="24"/>
      <c r="R123" s="65">
        <f t="shared" si="14"/>
        <v>0</v>
      </c>
      <c r="S123" s="64">
        <v>0</v>
      </c>
      <c r="T123" s="24"/>
      <c r="U123" s="65">
        <f t="shared" si="15"/>
        <v>0</v>
      </c>
      <c r="V123" s="64">
        <v>0</v>
      </c>
      <c r="W123" s="24"/>
      <c r="X123" s="65">
        <f t="shared" si="16"/>
        <v>0</v>
      </c>
      <c r="Y123" s="64">
        <v>0</v>
      </c>
      <c r="Z123" s="24"/>
      <c r="AA123" s="65">
        <f t="shared" si="17"/>
        <v>0</v>
      </c>
      <c r="AB123" s="64">
        <v>0</v>
      </c>
      <c r="AC123" s="24"/>
      <c r="AD123" s="65">
        <f t="shared" si="18"/>
        <v>0</v>
      </c>
      <c r="AE123" s="64">
        <v>10</v>
      </c>
      <c r="AF123" s="24"/>
      <c r="AG123" s="65">
        <f t="shared" si="19"/>
        <v>10</v>
      </c>
    </row>
    <row r="124" spans="3:33" ht="42" outlineLevel="1" x14ac:dyDescent="0.2">
      <c r="C124" s="17" t="s">
        <v>162</v>
      </c>
      <c r="D124" s="22" t="s">
        <v>163</v>
      </c>
      <c r="E124" s="23" t="s">
        <v>176</v>
      </c>
      <c r="F124" s="63">
        <f t="shared" si="10"/>
        <v>1</v>
      </c>
      <c r="G124" s="331">
        <f t="shared" si="11"/>
        <v>1</v>
      </c>
      <c r="H124" s="398">
        <v>715905.15099999995</v>
      </c>
      <c r="I124" s="399">
        <f>ROUND(H124*'INDEX ICOCIV'!$R$85,0)</f>
        <v>973631</v>
      </c>
      <c r="J124" s="324">
        <v>0</v>
      </c>
      <c r="K124" s="24"/>
      <c r="L124" s="65">
        <f t="shared" si="12"/>
        <v>0</v>
      </c>
      <c r="M124" s="64">
        <v>0</v>
      </c>
      <c r="N124" s="24"/>
      <c r="O124" s="65">
        <f t="shared" si="13"/>
        <v>0</v>
      </c>
      <c r="P124" s="64">
        <v>0</v>
      </c>
      <c r="Q124" s="24"/>
      <c r="R124" s="65">
        <f t="shared" si="14"/>
        <v>0</v>
      </c>
      <c r="S124" s="64">
        <v>0</v>
      </c>
      <c r="T124" s="24"/>
      <c r="U124" s="65">
        <f t="shared" si="15"/>
        <v>0</v>
      </c>
      <c r="V124" s="64">
        <v>0</v>
      </c>
      <c r="W124" s="24"/>
      <c r="X124" s="65">
        <f t="shared" si="16"/>
        <v>0</v>
      </c>
      <c r="Y124" s="64">
        <v>0</v>
      </c>
      <c r="Z124" s="24"/>
      <c r="AA124" s="65">
        <f t="shared" si="17"/>
        <v>0</v>
      </c>
      <c r="AB124" s="64">
        <v>0</v>
      </c>
      <c r="AC124" s="24"/>
      <c r="AD124" s="65">
        <f t="shared" si="18"/>
        <v>0</v>
      </c>
      <c r="AE124" s="64">
        <v>1</v>
      </c>
      <c r="AF124" s="24"/>
      <c r="AG124" s="65">
        <f t="shared" si="19"/>
        <v>1</v>
      </c>
    </row>
    <row r="125" spans="3:33" ht="42" outlineLevel="1" x14ac:dyDescent="0.2">
      <c r="C125" s="17" t="s">
        <v>164</v>
      </c>
      <c r="D125" s="22" t="s">
        <v>165</v>
      </c>
      <c r="E125" s="23" t="s">
        <v>176</v>
      </c>
      <c r="F125" s="63">
        <f t="shared" si="10"/>
        <v>0</v>
      </c>
      <c r="G125" s="331">
        <f t="shared" si="11"/>
        <v>0</v>
      </c>
      <c r="H125" s="398">
        <v>1644013.9131</v>
      </c>
      <c r="I125" s="399">
        <f>ROUND(H125*'INDEX ICOCIV'!$R$85,0)</f>
        <v>2235859</v>
      </c>
      <c r="J125" s="324">
        <v>0</v>
      </c>
      <c r="K125" s="24"/>
      <c r="L125" s="65">
        <f t="shared" si="12"/>
        <v>0</v>
      </c>
      <c r="M125" s="64">
        <v>0</v>
      </c>
      <c r="N125" s="24"/>
      <c r="O125" s="65">
        <f t="shared" si="13"/>
        <v>0</v>
      </c>
      <c r="P125" s="64">
        <v>0</v>
      </c>
      <c r="Q125" s="24"/>
      <c r="R125" s="65">
        <f t="shared" si="14"/>
        <v>0</v>
      </c>
      <c r="S125" s="64">
        <v>0</v>
      </c>
      <c r="T125" s="24"/>
      <c r="U125" s="65">
        <f t="shared" si="15"/>
        <v>0</v>
      </c>
      <c r="V125" s="64">
        <v>0</v>
      </c>
      <c r="W125" s="24"/>
      <c r="X125" s="65">
        <f t="shared" si="16"/>
        <v>0</v>
      </c>
      <c r="Y125" s="64">
        <v>0</v>
      </c>
      <c r="Z125" s="24"/>
      <c r="AA125" s="65">
        <f t="shared" si="17"/>
        <v>0</v>
      </c>
      <c r="AB125" s="64">
        <v>0</v>
      </c>
      <c r="AC125" s="24"/>
      <c r="AD125" s="65">
        <f t="shared" si="18"/>
        <v>0</v>
      </c>
      <c r="AE125" s="64">
        <v>0</v>
      </c>
      <c r="AF125" s="24"/>
      <c r="AG125" s="65">
        <f t="shared" si="19"/>
        <v>0</v>
      </c>
    </row>
    <row r="126" spans="3:33" ht="22.5" customHeight="1" outlineLevel="1" thickBot="1" x14ac:dyDescent="0.25">
      <c r="C126" s="17" t="s">
        <v>166</v>
      </c>
      <c r="D126" s="22" t="s">
        <v>167</v>
      </c>
      <c r="E126" s="23" t="s">
        <v>176</v>
      </c>
      <c r="F126" s="63">
        <f t="shared" si="10"/>
        <v>0</v>
      </c>
      <c r="G126" s="331">
        <f t="shared" si="11"/>
        <v>0</v>
      </c>
      <c r="H126" s="398">
        <v>2345521.1806000001</v>
      </c>
      <c r="I126" s="399">
        <f>ROUND(H126*'INDEX ICOCIV'!$R$85,0)</f>
        <v>3189909</v>
      </c>
      <c r="J126" s="326">
        <v>0</v>
      </c>
      <c r="K126" s="71"/>
      <c r="L126" s="65">
        <f t="shared" si="12"/>
        <v>0</v>
      </c>
      <c r="M126" s="70">
        <v>0</v>
      </c>
      <c r="N126" s="71"/>
      <c r="O126" s="65">
        <f t="shared" si="13"/>
        <v>0</v>
      </c>
      <c r="P126" s="70">
        <v>0</v>
      </c>
      <c r="Q126" s="71"/>
      <c r="R126" s="65">
        <f t="shared" si="14"/>
        <v>0</v>
      </c>
      <c r="S126" s="70">
        <v>0</v>
      </c>
      <c r="T126" s="71"/>
      <c r="U126" s="65">
        <f t="shared" si="15"/>
        <v>0</v>
      </c>
      <c r="V126" s="70">
        <v>0</v>
      </c>
      <c r="W126" s="71"/>
      <c r="X126" s="65">
        <f t="shared" si="16"/>
        <v>0</v>
      </c>
      <c r="Y126" s="70">
        <v>0</v>
      </c>
      <c r="Z126" s="71"/>
      <c r="AA126" s="65">
        <f t="shared" si="17"/>
        <v>0</v>
      </c>
      <c r="AB126" s="70">
        <v>0</v>
      </c>
      <c r="AC126" s="71"/>
      <c r="AD126" s="65">
        <f t="shared" si="18"/>
        <v>0</v>
      </c>
      <c r="AE126" s="70">
        <v>0</v>
      </c>
      <c r="AF126" s="71"/>
      <c r="AG126" s="65">
        <f t="shared" si="19"/>
        <v>0</v>
      </c>
    </row>
    <row r="127" spans="3:33" ht="21" customHeight="1" x14ac:dyDescent="0.2">
      <c r="C127" s="27">
        <v>10</v>
      </c>
      <c r="D127" s="28" t="s">
        <v>303</v>
      </c>
      <c r="E127" s="29"/>
      <c r="F127" s="30" t="str">
        <f t="shared" si="10"/>
        <v/>
      </c>
      <c r="G127" s="330"/>
      <c r="H127" s="400"/>
      <c r="I127" s="400"/>
      <c r="J127" s="325"/>
      <c r="K127" s="14"/>
      <c r="L127" s="67"/>
      <c r="M127" s="66"/>
      <c r="N127" s="14"/>
      <c r="O127" s="67"/>
      <c r="P127" s="66"/>
      <c r="Q127" s="14"/>
      <c r="R127" s="67"/>
      <c r="S127" s="66"/>
      <c r="T127" s="14"/>
      <c r="U127" s="67"/>
      <c r="V127" s="66"/>
      <c r="W127" s="14"/>
      <c r="X127" s="67"/>
      <c r="Y127" s="66"/>
      <c r="Z127" s="14"/>
      <c r="AA127" s="67"/>
      <c r="AB127" s="66"/>
      <c r="AC127" s="14"/>
      <c r="AD127" s="67"/>
      <c r="AE127" s="66"/>
      <c r="AF127" s="14"/>
      <c r="AG127" s="67"/>
    </row>
    <row r="128" spans="3:33" ht="28" outlineLevel="1" x14ac:dyDescent="0.2">
      <c r="C128" s="17" t="s">
        <v>169</v>
      </c>
      <c r="D128" s="22" t="s">
        <v>170</v>
      </c>
      <c r="E128" s="23" t="s">
        <v>171</v>
      </c>
      <c r="F128" s="63">
        <f t="shared" si="10"/>
        <v>0</v>
      </c>
      <c r="G128" s="331">
        <f t="shared" si="11"/>
        <v>0</v>
      </c>
      <c r="H128" s="398">
        <v>10591</v>
      </c>
      <c r="I128" s="399">
        <f>ROUND(H128*'INDEX ICOCIV'!$R$85,0)</f>
        <v>14404</v>
      </c>
      <c r="J128" s="324"/>
      <c r="K128" s="24">
        <v>92.800018883958074</v>
      </c>
      <c r="L128" s="65">
        <f t="shared" si="12"/>
        <v>-92.8</v>
      </c>
      <c r="M128" s="64"/>
      <c r="N128" s="24">
        <v>35.460013218770655</v>
      </c>
      <c r="O128" s="65">
        <f t="shared" si="13"/>
        <v>-35.46</v>
      </c>
      <c r="P128" s="64"/>
      <c r="Q128" s="24">
        <v>49.480030214332928</v>
      </c>
      <c r="R128" s="65">
        <f t="shared" si="14"/>
        <v>-49.48</v>
      </c>
      <c r="S128" s="64"/>
      <c r="T128" s="24">
        <v>54.299971674062881</v>
      </c>
      <c r="U128" s="65">
        <f t="shared" si="15"/>
        <v>-54.3</v>
      </c>
      <c r="V128" s="64"/>
      <c r="W128" s="24"/>
      <c r="X128" s="65">
        <f t="shared" si="16"/>
        <v>0</v>
      </c>
      <c r="Y128" s="64"/>
      <c r="Z128" s="24">
        <v>71.399962232083851</v>
      </c>
      <c r="AA128" s="65">
        <f t="shared" si="17"/>
        <v>-71.400000000000006</v>
      </c>
      <c r="AB128" s="64"/>
      <c r="AC128" s="24"/>
      <c r="AD128" s="65">
        <f t="shared" si="18"/>
        <v>0</v>
      </c>
      <c r="AE128" s="64"/>
      <c r="AF128" s="24">
        <v>60.7499763950524</v>
      </c>
      <c r="AG128" s="65">
        <f t="shared" si="19"/>
        <v>-60.75</v>
      </c>
    </row>
    <row r="129" spans="3:33" ht="70" outlineLevel="1" x14ac:dyDescent="0.2">
      <c r="C129" s="17" t="s">
        <v>172</v>
      </c>
      <c r="D129" s="22" t="s">
        <v>173</v>
      </c>
      <c r="E129" s="23" t="s">
        <v>171</v>
      </c>
      <c r="F129" s="63">
        <f t="shared" si="10"/>
        <v>0</v>
      </c>
      <c r="G129" s="331">
        <f t="shared" si="11"/>
        <v>0</v>
      </c>
      <c r="H129" s="398">
        <v>16363</v>
      </c>
      <c r="I129" s="399">
        <f>ROUND(H129*'INDEX ICOCIV'!$R$85,0)</f>
        <v>22254</v>
      </c>
      <c r="J129" s="324"/>
      <c r="K129" s="24">
        <v>92.799975554604899</v>
      </c>
      <c r="L129" s="65">
        <f t="shared" si="12"/>
        <v>-92.8</v>
      </c>
      <c r="M129" s="64"/>
      <c r="N129" s="24">
        <v>35.460001222269753</v>
      </c>
      <c r="O129" s="65">
        <f t="shared" si="13"/>
        <v>-35.46</v>
      </c>
      <c r="P129" s="64"/>
      <c r="Q129" s="24">
        <v>49.479985332762944</v>
      </c>
      <c r="R129" s="65">
        <f t="shared" si="14"/>
        <v>-49.48</v>
      </c>
      <c r="S129" s="64"/>
      <c r="T129" s="24">
        <v>54.300006111348772</v>
      </c>
      <c r="U129" s="65">
        <f t="shared" si="15"/>
        <v>-54.3</v>
      </c>
      <c r="V129" s="64"/>
      <c r="W129" s="24"/>
      <c r="X129" s="65">
        <f t="shared" si="16"/>
        <v>0</v>
      </c>
      <c r="Y129" s="64"/>
      <c r="Z129" s="24">
        <v>71.399987777302456</v>
      </c>
      <c r="AA129" s="65">
        <f t="shared" si="17"/>
        <v>-71.400000000000006</v>
      </c>
      <c r="AB129" s="64"/>
      <c r="AC129" s="24"/>
      <c r="AD129" s="65">
        <f t="shared" si="18"/>
        <v>0</v>
      </c>
      <c r="AE129" s="64"/>
      <c r="AF129" s="24">
        <v>60.74998472162806</v>
      </c>
      <c r="AG129" s="65">
        <f t="shared" si="19"/>
        <v>-60.75</v>
      </c>
    </row>
    <row r="130" spans="3:33" ht="42" outlineLevel="1" x14ac:dyDescent="0.2">
      <c r="C130" s="17" t="s">
        <v>174</v>
      </c>
      <c r="D130" s="22" t="s">
        <v>175</v>
      </c>
      <c r="E130" s="23" t="s">
        <v>176</v>
      </c>
      <c r="F130" s="63">
        <f t="shared" si="10"/>
        <v>0</v>
      </c>
      <c r="G130" s="331">
        <f t="shared" si="11"/>
        <v>0</v>
      </c>
      <c r="H130" s="398">
        <v>809485.25</v>
      </c>
      <c r="I130" s="399">
        <f>ROUND(H130*'INDEX ICOCIV'!$R$85,0)</f>
        <v>1100900</v>
      </c>
      <c r="J130" s="324"/>
      <c r="K130" s="24"/>
      <c r="L130" s="65">
        <f t="shared" si="12"/>
        <v>0</v>
      </c>
      <c r="M130" s="64"/>
      <c r="N130" s="24"/>
      <c r="O130" s="65">
        <f t="shared" si="13"/>
        <v>0</v>
      </c>
      <c r="P130" s="64"/>
      <c r="Q130" s="24"/>
      <c r="R130" s="65">
        <f t="shared" si="14"/>
        <v>0</v>
      </c>
      <c r="S130" s="64"/>
      <c r="T130" s="24"/>
      <c r="U130" s="65">
        <f t="shared" si="15"/>
        <v>0</v>
      </c>
      <c r="V130" s="64"/>
      <c r="W130" s="24"/>
      <c r="X130" s="65">
        <f t="shared" si="16"/>
        <v>0</v>
      </c>
      <c r="Y130" s="64"/>
      <c r="Z130" s="24"/>
      <c r="AA130" s="65">
        <f t="shared" si="17"/>
        <v>0</v>
      </c>
      <c r="AB130" s="64"/>
      <c r="AC130" s="24"/>
      <c r="AD130" s="65">
        <f t="shared" si="18"/>
        <v>0</v>
      </c>
      <c r="AE130" s="64"/>
      <c r="AF130" s="24"/>
      <c r="AG130" s="65">
        <f t="shared" si="19"/>
        <v>0</v>
      </c>
    </row>
    <row r="131" spans="3:33" ht="42" outlineLevel="1" x14ac:dyDescent="0.2">
      <c r="C131" s="17" t="s">
        <v>177</v>
      </c>
      <c r="D131" s="22" t="s">
        <v>178</v>
      </c>
      <c r="E131" s="23" t="s">
        <v>171</v>
      </c>
      <c r="F131" s="63">
        <f t="shared" si="10"/>
        <v>0</v>
      </c>
      <c r="G131" s="331">
        <f t="shared" si="11"/>
        <v>0</v>
      </c>
      <c r="H131" s="398">
        <v>8712</v>
      </c>
      <c r="I131" s="399">
        <f>ROUND(H131*'INDEX ICOCIV'!$R$85,0)</f>
        <v>11848</v>
      </c>
      <c r="J131" s="324"/>
      <c r="K131" s="24"/>
      <c r="L131" s="65">
        <f t="shared" si="12"/>
        <v>0</v>
      </c>
      <c r="M131" s="64"/>
      <c r="N131" s="24"/>
      <c r="O131" s="65">
        <f t="shared" si="13"/>
        <v>0</v>
      </c>
      <c r="P131" s="64"/>
      <c r="Q131" s="24"/>
      <c r="R131" s="65">
        <f t="shared" si="14"/>
        <v>0</v>
      </c>
      <c r="S131" s="64"/>
      <c r="T131" s="24"/>
      <c r="U131" s="65">
        <f t="shared" si="15"/>
        <v>0</v>
      </c>
      <c r="V131" s="64"/>
      <c r="W131" s="24"/>
      <c r="X131" s="65">
        <f t="shared" si="16"/>
        <v>0</v>
      </c>
      <c r="Y131" s="64"/>
      <c r="Z131" s="24"/>
      <c r="AA131" s="65">
        <f t="shared" si="17"/>
        <v>0</v>
      </c>
      <c r="AB131" s="64"/>
      <c r="AC131" s="24"/>
      <c r="AD131" s="65">
        <f t="shared" si="18"/>
        <v>0</v>
      </c>
      <c r="AE131" s="64"/>
      <c r="AF131" s="24"/>
      <c r="AG131" s="65">
        <f t="shared" si="19"/>
        <v>0</v>
      </c>
    </row>
    <row r="132" spans="3:33" ht="28" outlineLevel="1" x14ac:dyDescent="0.2">
      <c r="C132" s="17" t="s">
        <v>179</v>
      </c>
      <c r="D132" s="22" t="s">
        <v>180</v>
      </c>
      <c r="E132" s="23" t="s">
        <v>176</v>
      </c>
      <c r="F132" s="63">
        <f t="shared" si="10"/>
        <v>0</v>
      </c>
      <c r="G132" s="331">
        <f t="shared" si="11"/>
        <v>0</v>
      </c>
      <c r="H132" s="398">
        <v>808938</v>
      </c>
      <c r="I132" s="399">
        <f>ROUND(H132*'INDEX ICOCIV'!$R$85,0)</f>
        <v>1100156</v>
      </c>
      <c r="J132" s="324"/>
      <c r="K132" s="24"/>
      <c r="L132" s="65">
        <f t="shared" si="12"/>
        <v>0</v>
      </c>
      <c r="M132" s="64"/>
      <c r="N132" s="24"/>
      <c r="O132" s="65">
        <f t="shared" si="13"/>
        <v>0</v>
      </c>
      <c r="P132" s="64"/>
      <c r="Q132" s="24"/>
      <c r="R132" s="65">
        <f t="shared" si="14"/>
        <v>0</v>
      </c>
      <c r="S132" s="64"/>
      <c r="T132" s="24"/>
      <c r="U132" s="65">
        <f t="shared" si="15"/>
        <v>0</v>
      </c>
      <c r="V132" s="64"/>
      <c r="W132" s="24"/>
      <c r="X132" s="65">
        <f t="shared" si="16"/>
        <v>0</v>
      </c>
      <c r="Y132" s="64"/>
      <c r="Z132" s="24"/>
      <c r="AA132" s="65">
        <f t="shared" si="17"/>
        <v>0</v>
      </c>
      <c r="AB132" s="64"/>
      <c r="AC132" s="24"/>
      <c r="AD132" s="65">
        <f t="shared" si="18"/>
        <v>0</v>
      </c>
      <c r="AE132" s="64"/>
      <c r="AF132" s="24"/>
      <c r="AG132" s="65">
        <f t="shared" si="19"/>
        <v>0</v>
      </c>
    </row>
    <row r="133" spans="3:33" ht="28" outlineLevel="1" x14ac:dyDescent="0.2">
      <c r="C133" s="17" t="s">
        <v>181</v>
      </c>
      <c r="D133" s="22" t="s">
        <v>182</v>
      </c>
      <c r="E133" s="23" t="s">
        <v>183</v>
      </c>
      <c r="F133" s="63">
        <f t="shared" si="10"/>
        <v>0</v>
      </c>
      <c r="G133" s="331">
        <f t="shared" si="11"/>
        <v>0</v>
      </c>
      <c r="H133" s="398">
        <v>523590</v>
      </c>
      <c r="I133" s="399">
        <f>ROUND(H133*'INDEX ICOCIV'!$R$85,0)</f>
        <v>712082</v>
      </c>
      <c r="J133" s="324"/>
      <c r="K133" s="24">
        <v>91.561246395080119</v>
      </c>
      <c r="L133" s="65">
        <f t="shared" si="12"/>
        <v>-91.56</v>
      </c>
      <c r="M133" s="64"/>
      <c r="N133" s="24">
        <v>21.10068011230161</v>
      </c>
      <c r="O133" s="65">
        <f t="shared" si="13"/>
        <v>-21.1</v>
      </c>
      <c r="P133" s="64"/>
      <c r="Q133" s="24">
        <v>14.650000954945664</v>
      </c>
      <c r="R133" s="65">
        <f t="shared" si="14"/>
        <v>-14.65</v>
      </c>
      <c r="S133" s="64"/>
      <c r="T133" s="24">
        <v>41.708976489237763</v>
      </c>
      <c r="U133" s="65">
        <f t="shared" si="15"/>
        <v>-41.71</v>
      </c>
      <c r="V133" s="64"/>
      <c r="W133" s="24">
        <v>16.25999923604347</v>
      </c>
      <c r="X133" s="65">
        <f t="shared" si="16"/>
        <v>-16.260000000000002</v>
      </c>
      <c r="Y133" s="64"/>
      <c r="Z133" s="24"/>
      <c r="AA133" s="65">
        <f t="shared" si="17"/>
        <v>0</v>
      </c>
      <c r="AB133" s="64"/>
      <c r="AC133" s="24">
        <v>17.027200672281747</v>
      </c>
      <c r="AD133" s="65">
        <f t="shared" si="18"/>
        <v>-17.03</v>
      </c>
      <c r="AE133" s="64"/>
      <c r="AF133" s="24">
        <v>54.077898928550965</v>
      </c>
      <c r="AG133" s="65">
        <f t="shared" si="19"/>
        <v>-54.08</v>
      </c>
    </row>
    <row r="134" spans="3:33" ht="56" outlineLevel="1" x14ac:dyDescent="0.2">
      <c r="C134" s="17" t="s">
        <v>184</v>
      </c>
      <c r="D134" s="22" t="s">
        <v>185</v>
      </c>
      <c r="E134" s="23" t="s">
        <v>183</v>
      </c>
      <c r="F134" s="63">
        <f t="shared" si="10"/>
        <v>0</v>
      </c>
      <c r="G134" s="331">
        <f t="shared" si="11"/>
        <v>0</v>
      </c>
      <c r="H134" s="398">
        <v>165189</v>
      </c>
      <c r="I134" s="399">
        <f>ROUND(H134*'INDEX ICOCIV'!$R$85,0)</f>
        <v>224657</v>
      </c>
      <c r="J134" s="324"/>
      <c r="K134" s="24">
        <v>1.7325003480861316</v>
      </c>
      <c r="L134" s="65">
        <f t="shared" si="12"/>
        <v>-1.73</v>
      </c>
      <c r="M134" s="64"/>
      <c r="N134" s="24">
        <v>10.07043447202901</v>
      </c>
      <c r="O134" s="65">
        <f t="shared" si="13"/>
        <v>-10.07</v>
      </c>
      <c r="P134" s="64"/>
      <c r="Q134" s="24"/>
      <c r="R134" s="65">
        <f t="shared" si="14"/>
        <v>0</v>
      </c>
      <c r="S134" s="64"/>
      <c r="T134" s="24"/>
      <c r="U134" s="65">
        <f t="shared" si="15"/>
        <v>0</v>
      </c>
      <c r="V134" s="64"/>
      <c r="W134" s="24"/>
      <c r="X134" s="65">
        <f t="shared" si="16"/>
        <v>0</v>
      </c>
      <c r="Y134" s="64"/>
      <c r="Z134" s="24">
        <v>6.5871395795119527</v>
      </c>
      <c r="AA134" s="65">
        <f t="shared" si="17"/>
        <v>-6.59</v>
      </c>
      <c r="AB134" s="64"/>
      <c r="AC134" s="24">
        <v>2.8935946098105805</v>
      </c>
      <c r="AD134" s="65">
        <f t="shared" si="18"/>
        <v>-2.89</v>
      </c>
      <c r="AE134" s="64"/>
      <c r="AF134" s="24"/>
      <c r="AG134" s="65">
        <f t="shared" si="19"/>
        <v>0</v>
      </c>
    </row>
    <row r="135" spans="3:33" ht="28" outlineLevel="1" x14ac:dyDescent="0.2">
      <c r="C135" s="17" t="s">
        <v>186</v>
      </c>
      <c r="D135" s="22" t="s">
        <v>187</v>
      </c>
      <c r="E135" s="23" t="s">
        <v>188</v>
      </c>
      <c r="F135" s="63">
        <f t="shared" si="10"/>
        <v>0</v>
      </c>
      <c r="G135" s="331">
        <f t="shared" si="11"/>
        <v>0</v>
      </c>
      <c r="H135" s="398">
        <v>6630</v>
      </c>
      <c r="I135" s="399">
        <f>ROUND(H135*'INDEX ICOCIV'!$R$85,0)</f>
        <v>9017</v>
      </c>
      <c r="J135" s="324"/>
      <c r="K135" s="24"/>
      <c r="L135" s="65">
        <f t="shared" si="12"/>
        <v>0</v>
      </c>
      <c r="M135" s="64"/>
      <c r="N135" s="24">
        <v>2.15</v>
      </c>
      <c r="O135" s="65">
        <f t="shared" si="13"/>
        <v>-2.15</v>
      </c>
      <c r="P135" s="64"/>
      <c r="Q135" s="24"/>
      <c r="R135" s="65">
        <f t="shared" si="14"/>
        <v>0</v>
      </c>
      <c r="S135" s="64"/>
      <c r="T135" s="24"/>
      <c r="U135" s="65">
        <f t="shared" si="15"/>
        <v>0</v>
      </c>
      <c r="V135" s="64"/>
      <c r="W135" s="24"/>
      <c r="X135" s="65">
        <f t="shared" si="16"/>
        <v>0</v>
      </c>
      <c r="Y135" s="64"/>
      <c r="Z135" s="24"/>
      <c r="AA135" s="65">
        <f t="shared" si="17"/>
        <v>0</v>
      </c>
      <c r="AB135" s="64"/>
      <c r="AC135" s="24"/>
      <c r="AD135" s="65">
        <f t="shared" si="18"/>
        <v>0</v>
      </c>
      <c r="AE135" s="64"/>
      <c r="AF135" s="24"/>
      <c r="AG135" s="65">
        <f t="shared" si="19"/>
        <v>0</v>
      </c>
    </row>
    <row r="136" spans="3:33" ht="42" outlineLevel="1" x14ac:dyDescent="0.2">
      <c r="C136" s="17" t="s">
        <v>189</v>
      </c>
      <c r="D136" s="22" t="s">
        <v>190</v>
      </c>
      <c r="E136" s="23" t="s">
        <v>188</v>
      </c>
      <c r="F136" s="63">
        <f t="shared" si="10"/>
        <v>0</v>
      </c>
      <c r="G136" s="331">
        <f t="shared" si="11"/>
        <v>0</v>
      </c>
      <c r="H136" s="398">
        <v>8077</v>
      </c>
      <c r="I136" s="399">
        <f>ROUND(H136*'INDEX ICOCIV'!$R$85,0)</f>
        <v>10985</v>
      </c>
      <c r="J136" s="324"/>
      <c r="K136" s="24">
        <v>11.868494048269083</v>
      </c>
      <c r="L136" s="65">
        <f t="shared" si="12"/>
        <v>-11.87</v>
      </c>
      <c r="M136" s="64"/>
      <c r="N136" s="24">
        <v>1.5952495358741947</v>
      </c>
      <c r="O136" s="65">
        <f t="shared" si="13"/>
        <v>-1.6</v>
      </c>
      <c r="P136" s="64"/>
      <c r="Q136" s="24">
        <v>2.5333897564704597</v>
      </c>
      <c r="R136" s="65">
        <f t="shared" si="14"/>
        <v>-2.5299999999999998</v>
      </c>
      <c r="S136" s="64"/>
      <c r="T136" s="24"/>
      <c r="U136" s="65">
        <f t="shared" si="15"/>
        <v>0</v>
      </c>
      <c r="V136" s="64"/>
      <c r="W136" s="24"/>
      <c r="X136" s="65">
        <f t="shared" si="16"/>
        <v>0</v>
      </c>
      <c r="Y136" s="64"/>
      <c r="Z136" s="24"/>
      <c r="AA136" s="65">
        <f t="shared" si="17"/>
        <v>0</v>
      </c>
      <c r="AB136" s="64"/>
      <c r="AC136" s="24"/>
      <c r="AD136" s="65">
        <f t="shared" si="18"/>
        <v>0</v>
      </c>
      <c r="AE136" s="64"/>
      <c r="AF136" s="24"/>
      <c r="AG136" s="65">
        <f t="shared" si="19"/>
        <v>0</v>
      </c>
    </row>
    <row r="137" spans="3:33" ht="28" outlineLevel="1" x14ac:dyDescent="0.2">
      <c r="C137" s="17" t="s">
        <v>191</v>
      </c>
      <c r="D137" s="22" t="s">
        <v>192</v>
      </c>
      <c r="E137" s="23" t="s">
        <v>183</v>
      </c>
      <c r="F137" s="63">
        <f t="shared" ref="F137:F185" si="20">IF(E137="","",MAX(0,ROUND(SUM(L137,O137,R137,U137,X137,AA137,AD137,AG137),2)))</f>
        <v>0</v>
      </c>
      <c r="G137" s="331">
        <f t="shared" ref="G137:G185" si="21">IF($E137="","",SUM(MAX($L137,0),MAX($O137,0),MAX($R137,0),MAX($U137,0),MAX($X137,0),MAX($AA137,0),MAX($AD137,0),MAX($AG137,0)))</f>
        <v>0</v>
      </c>
      <c r="H137" s="398">
        <v>366280</v>
      </c>
      <c r="I137" s="399">
        <f>ROUND(H137*'INDEX ICOCIV'!$R$85,0)</f>
        <v>498141</v>
      </c>
      <c r="J137" s="324"/>
      <c r="K137" s="24"/>
      <c r="L137" s="65">
        <f t="shared" si="12"/>
        <v>0</v>
      </c>
      <c r="M137" s="64"/>
      <c r="N137" s="24"/>
      <c r="O137" s="65">
        <f t="shared" si="13"/>
        <v>0</v>
      </c>
      <c r="P137" s="64"/>
      <c r="Q137" s="24"/>
      <c r="R137" s="65">
        <f t="shared" si="14"/>
        <v>0</v>
      </c>
      <c r="S137" s="64"/>
      <c r="T137" s="24">
        <v>3.4489079392814239</v>
      </c>
      <c r="U137" s="65">
        <f t="shared" si="15"/>
        <v>-3.45</v>
      </c>
      <c r="V137" s="64"/>
      <c r="W137" s="24">
        <v>0.73999945396964073</v>
      </c>
      <c r="X137" s="65">
        <f t="shared" si="16"/>
        <v>-0.74</v>
      </c>
      <c r="Y137" s="64"/>
      <c r="Z137" s="24">
        <v>0.12599923555749701</v>
      </c>
      <c r="AA137" s="65">
        <f t="shared" si="17"/>
        <v>-0.13</v>
      </c>
      <c r="AB137" s="64"/>
      <c r="AC137" s="24"/>
      <c r="AD137" s="65">
        <f t="shared" si="18"/>
        <v>0</v>
      </c>
      <c r="AE137" s="64"/>
      <c r="AF137" s="24">
        <v>3.1259986895271381</v>
      </c>
      <c r="AG137" s="65">
        <f t="shared" si="19"/>
        <v>-3.13</v>
      </c>
    </row>
    <row r="138" spans="3:33" ht="16" outlineLevel="1" x14ac:dyDescent="0.2">
      <c r="C138" s="17" t="s">
        <v>193</v>
      </c>
      <c r="D138" s="22" t="s">
        <v>194</v>
      </c>
      <c r="E138" s="23" t="s">
        <v>171</v>
      </c>
      <c r="F138" s="63">
        <f t="shared" si="20"/>
        <v>0</v>
      </c>
      <c r="G138" s="331">
        <f t="shared" si="21"/>
        <v>0</v>
      </c>
      <c r="H138" s="398">
        <v>60978.33</v>
      </c>
      <c r="I138" s="399">
        <f>ROUND(H138*'INDEX ICOCIV'!$R$85,0)</f>
        <v>82931</v>
      </c>
      <c r="J138" s="324"/>
      <c r="K138" s="24"/>
      <c r="L138" s="65">
        <f t="shared" ref="L138:L185" si="22">+ROUND(J138-K138,2)</f>
        <v>0</v>
      </c>
      <c r="M138" s="64"/>
      <c r="N138" s="24"/>
      <c r="O138" s="65">
        <f t="shared" ref="O138:O185" si="23">+ROUND(M138-N138,2)</f>
        <v>0</v>
      </c>
      <c r="P138" s="64"/>
      <c r="Q138" s="24"/>
      <c r="R138" s="65">
        <f t="shared" ref="R138:R185" si="24">+ROUND(P138-Q138,2)</f>
        <v>0</v>
      </c>
      <c r="S138" s="64"/>
      <c r="T138" s="24"/>
      <c r="U138" s="65">
        <f t="shared" ref="U138:U185" si="25">+ROUND(S138-T138,2)</f>
        <v>0</v>
      </c>
      <c r="V138" s="64"/>
      <c r="W138" s="24"/>
      <c r="X138" s="65">
        <f t="shared" ref="X138:X185" si="26">+ROUND(V138-W138,2)</f>
        <v>0</v>
      </c>
      <c r="Y138" s="64"/>
      <c r="Z138" s="24"/>
      <c r="AA138" s="65">
        <f t="shared" ref="AA138:AA185" si="27">+ROUND(Y138-Z138,2)</f>
        <v>0</v>
      </c>
      <c r="AB138" s="64"/>
      <c r="AC138" s="24"/>
      <c r="AD138" s="65">
        <f t="shared" ref="AD138:AD185" si="28">+ROUND(AB138-AC138,2)</f>
        <v>0</v>
      </c>
      <c r="AE138" s="64"/>
      <c r="AF138" s="24"/>
      <c r="AG138" s="65">
        <f t="shared" ref="AG138:AG185" si="29">+ROUND(AE138-AF138,2)</f>
        <v>0</v>
      </c>
    </row>
    <row r="139" spans="3:33" ht="16" outlineLevel="1" x14ac:dyDescent="0.2">
      <c r="C139" s="17" t="s">
        <v>195</v>
      </c>
      <c r="D139" s="22" t="s">
        <v>681</v>
      </c>
      <c r="E139" s="23" t="s">
        <v>176</v>
      </c>
      <c r="F139" s="63">
        <f t="shared" si="20"/>
        <v>0</v>
      </c>
      <c r="G139" s="331">
        <f t="shared" si="21"/>
        <v>0</v>
      </c>
      <c r="H139" s="398">
        <v>486385.09</v>
      </c>
      <c r="I139" s="399">
        <f>ROUND(H139*'INDEX ICOCIV'!$R$85,0)</f>
        <v>661484</v>
      </c>
      <c r="J139" s="324"/>
      <c r="K139" s="24">
        <v>1</v>
      </c>
      <c r="L139" s="65">
        <f t="shared" si="22"/>
        <v>-1</v>
      </c>
      <c r="M139" s="64"/>
      <c r="N139" s="24">
        <v>5.1999990377994525</v>
      </c>
      <c r="O139" s="65">
        <f t="shared" si="23"/>
        <v>-5.2</v>
      </c>
      <c r="P139" s="64"/>
      <c r="Q139" s="24"/>
      <c r="R139" s="65">
        <f t="shared" si="24"/>
        <v>0</v>
      </c>
      <c r="S139" s="64"/>
      <c r="T139" s="24">
        <v>2.999999444884299</v>
      </c>
      <c r="U139" s="65">
        <f t="shared" si="25"/>
        <v>-3</v>
      </c>
      <c r="V139" s="64"/>
      <c r="W139" s="24"/>
      <c r="X139" s="65">
        <f t="shared" si="26"/>
        <v>0</v>
      </c>
      <c r="Y139" s="64"/>
      <c r="Z139" s="24"/>
      <c r="AA139" s="65">
        <f t="shared" si="27"/>
        <v>0</v>
      </c>
      <c r="AB139" s="64"/>
      <c r="AC139" s="24"/>
      <c r="AD139" s="65">
        <f t="shared" si="28"/>
        <v>0</v>
      </c>
      <c r="AE139" s="64"/>
      <c r="AF139" s="24"/>
      <c r="AG139" s="65">
        <f t="shared" si="29"/>
        <v>0</v>
      </c>
    </row>
    <row r="140" spans="3:33" ht="42" outlineLevel="1" x14ac:dyDescent="0.2">
      <c r="C140" s="17" t="s">
        <v>196</v>
      </c>
      <c r="D140" s="22" t="s">
        <v>682</v>
      </c>
      <c r="E140" s="23" t="s">
        <v>188</v>
      </c>
      <c r="F140" s="63">
        <f t="shared" si="20"/>
        <v>0</v>
      </c>
      <c r="G140" s="331">
        <f t="shared" si="21"/>
        <v>0</v>
      </c>
      <c r="H140" s="398">
        <v>91229.97</v>
      </c>
      <c r="I140" s="399">
        <f>ROUND(H140*'INDEX ICOCIV'!$R$85,0)</f>
        <v>124073</v>
      </c>
      <c r="J140" s="324"/>
      <c r="K140" s="24"/>
      <c r="L140" s="65">
        <f t="shared" si="22"/>
        <v>0</v>
      </c>
      <c r="M140" s="64"/>
      <c r="N140" s="24">
        <v>42.19</v>
      </c>
      <c r="O140" s="65">
        <f t="shared" si="23"/>
        <v>-42.19</v>
      </c>
      <c r="P140" s="64"/>
      <c r="Q140" s="24"/>
      <c r="R140" s="65">
        <f t="shared" si="24"/>
        <v>0</v>
      </c>
      <c r="S140" s="64"/>
      <c r="T140" s="24"/>
      <c r="U140" s="65">
        <f t="shared" si="25"/>
        <v>0</v>
      </c>
      <c r="V140" s="64"/>
      <c r="W140" s="24"/>
      <c r="X140" s="65">
        <f t="shared" si="26"/>
        <v>0</v>
      </c>
      <c r="Y140" s="64"/>
      <c r="Z140" s="24"/>
      <c r="AA140" s="65">
        <f t="shared" si="27"/>
        <v>0</v>
      </c>
      <c r="AB140" s="64"/>
      <c r="AC140" s="24"/>
      <c r="AD140" s="65">
        <f t="shared" si="28"/>
        <v>0</v>
      </c>
      <c r="AE140" s="64"/>
      <c r="AF140" s="24"/>
      <c r="AG140" s="65">
        <f t="shared" si="29"/>
        <v>0</v>
      </c>
    </row>
    <row r="141" spans="3:33" ht="16" outlineLevel="1" x14ac:dyDescent="0.2">
      <c r="C141" s="17" t="s">
        <v>197</v>
      </c>
      <c r="D141" s="22" t="s">
        <v>198</v>
      </c>
      <c r="E141" s="23" t="s">
        <v>171</v>
      </c>
      <c r="F141" s="63">
        <f t="shared" si="20"/>
        <v>0</v>
      </c>
      <c r="G141" s="331">
        <f t="shared" si="21"/>
        <v>0</v>
      </c>
      <c r="H141" s="398">
        <v>78593</v>
      </c>
      <c r="I141" s="399">
        <f>ROUND(H141*'INDEX ICOCIV'!$R$85,0)</f>
        <v>106886</v>
      </c>
      <c r="J141" s="324"/>
      <c r="K141" s="24"/>
      <c r="L141" s="65">
        <f t="shared" si="22"/>
        <v>0</v>
      </c>
      <c r="M141" s="64"/>
      <c r="N141" s="24"/>
      <c r="O141" s="65">
        <f t="shared" si="23"/>
        <v>0</v>
      </c>
      <c r="P141" s="64"/>
      <c r="Q141" s="24"/>
      <c r="R141" s="65">
        <f t="shared" si="24"/>
        <v>0</v>
      </c>
      <c r="S141" s="64"/>
      <c r="T141" s="24"/>
      <c r="U141" s="65">
        <f t="shared" si="25"/>
        <v>0</v>
      </c>
      <c r="V141" s="64"/>
      <c r="W141" s="24">
        <v>28.679996946292928</v>
      </c>
      <c r="X141" s="65">
        <f t="shared" si="26"/>
        <v>-28.68</v>
      </c>
      <c r="Y141" s="64"/>
      <c r="Z141" s="24"/>
      <c r="AA141" s="65">
        <f t="shared" si="27"/>
        <v>0</v>
      </c>
      <c r="AB141" s="64"/>
      <c r="AC141" s="24"/>
      <c r="AD141" s="65">
        <f t="shared" si="28"/>
        <v>0</v>
      </c>
      <c r="AE141" s="64"/>
      <c r="AF141" s="24"/>
      <c r="AG141" s="65">
        <f t="shared" si="29"/>
        <v>0</v>
      </c>
    </row>
    <row r="142" spans="3:33" ht="16" outlineLevel="1" x14ac:dyDescent="0.2">
      <c r="C142" s="17" t="s">
        <v>199</v>
      </c>
      <c r="D142" s="22" t="s">
        <v>200</v>
      </c>
      <c r="E142" s="23" t="s">
        <v>183</v>
      </c>
      <c r="F142" s="63">
        <f t="shared" si="20"/>
        <v>0</v>
      </c>
      <c r="G142" s="331">
        <f t="shared" si="21"/>
        <v>0</v>
      </c>
      <c r="H142" s="398">
        <v>93427</v>
      </c>
      <c r="I142" s="399">
        <f>ROUND(H142*'INDEX ICOCIV'!$R$85,0)</f>
        <v>127061</v>
      </c>
      <c r="J142" s="324"/>
      <c r="K142" s="24">
        <v>13.459000074924807</v>
      </c>
      <c r="L142" s="65">
        <f t="shared" si="22"/>
        <v>-13.46</v>
      </c>
      <c r="M142" s="64"/>
      <c r="N142" s="24"/>
      <c r="O142" s="65">
        <f t="shared" si="23"/>
        <v>0</v>
      </c>
      <c r="P142" s="64"/>
      <c r="Q142" s="24">
        <v>34.710479839874978</v>
      </c>
      <c r="R142" s="65">
        <f t="shared" si="24"/>
        <v>-34.71</v>
      </c>
      <c r="S142" s="64"/>
      <c r="T142" s="24"/>
      <c r="U142" s="65">
        <f t="shared" si="25"/>
        <v>0</v>
      </c>
      <c r="V142" s="64"/>
      <c r="W142" s="24">
        <v>14.381932845965299</v>
      </c>
      <c r="X142" s="65">
        <f t="shared" si="26"/>
        <v>-14.38</v>
      </c>
      <c r="Y142" s="64"/>
      <c r="Z142" s="24">
        <v>1.6749975917026128</v>
      </c>
      <c r="AA142" s="65">
        <f t="shared" si="27"/>
        <v>-1.67</v>
      </c>
      <c r="AB142" s="64"/>
      <c r="AC142" s="24"/>
      <c r="AD142" s="65">
        <f t="shared" si="28"/>
        <v>0</v>
      </c>
      <c r="AE142" s="64"/>
      <c r="AF142" s="24">
        <v>11.56</v>
      </c>
      <c r="AG142" s="65">
        <f t="shared" si="29"/>
        <v>-11.56</v>
      </c>
    </row>
    <row r="143" spans="3:33" ht="16" outlineLevel="1" x14ac:dyDescent="0.2">
      <c r="C143" s="17" t="s">
        <v>201</v>
      </c>
      <c r="D143" s="22" t="s">
        <v>202</v>
      </c>
      <c r="E143" s="23" t="s">
        <v>188</v>
      </c>
      <c r="F143" s="63">
        <f t="shared" si="20"/>
        <v>0</v>
      </c>
      <c r="G143" s="331">
        <f t="shared" si="21"/>
        <v>0</v>
      </c>
      <c r="H143" s="398">
        <v>34999</v>
      </c>
      <c r="I143" s="399">
        <f>ROUND(H143*'INDEX ICOCIV'!$R$85,0)</f>
        <v>47599</v>
      </c>
      <c r="J143" s="324"/>
      <c r="K143" s="24"/>
      <c r="L143" s="65">
        <f t="shared" si="22"/>
        <v>0</v>
      </c>
      <c r="M143" s="64"/>
      <c r="N143" s="24"/>
      <c r="O143" s="65">
        <f t="shared" si="23"/>
        <v>0</v>
      </c>
      <c r="P143" s="64"/>
      <c r="Q143" s="24"/>
      <c r="R143" s="65">
        <f t="shared" si="24"/>
        <v>0</v>
      </c>
      <c r="S143" s="64"/>
      <c r="T143" s="24"/>
      <c r="U143" s="65">
        <f t="shared" si="25"/>
        <v>0</v>
      </c>
      <c r="V143" s="64"/>
      <c r="W143" s="24">
        <v>6</v>
      </c>
      <c r="X143" s="65">
        <f t="shared" si="26"/>
        <v>-6</v>
      </c>
      <c r="Y143" s="64"/>
      <c r="Z143" s="24"/>
      <c r="AA143" s="65">
        <f t="shared" si="27"/>
        <v>0</v>
      </c>
      <c r="AB143" s="64"/>
      <c r="AC143" s="24"/>
      <c r="AD143" s="65">
        <f t="shared" si="28"/>
        <v>0</v>
      </c>
      <c r="AE143" s="64"/>
      <c r="AF143" s="24"/>
      <c r="AG143" s="65">
        <f t="shared" si="29"/>
        <v>0</v>
      </c>
    </row>
    <row r="144" spans="3:33" ht="16" outlineLevel="1" x14ac:dyDescent="0.2">
      <c r="C144" s="17" t="s">
        <v>203</v>
      </c>
      <c r="D144" s="22" t="s">
        <v>204</v>
      </c>
      <c r="E144" s="23" t="s">
        <v>176</v>
      </c>
      <c r="F144" s="63">
        <f t="shared" si="20"/>
        <v>0</v>
      </c>
      <c r="G144" s="331">
        <f t="shared" si="21"/>
        <v>0</v>
      </c>
      <c r="H144" s="398">
        <v>30840</v>
      </c>
      <c r="I144" s="399">
        <f>ROUND(H144*'INDEX ICOCIV'!$R$85,0)</f>
        <v>41942</v>
      </c>
      <c r="J144" s="324"/>
      <c r="K144" s="24"/>
      <c r="L144" s="65">
        <f t="shared" si="22"/>
        <v>0</v>
      </c>
      <c r="M144" s="64"/>
      <c r="N144" s="24">
        <v>4</v>
      </c>
      <c r="O144" s="65">
        <f t="shared" si="23"/>
        <v>-4</v>
      </c>
      <c r="P144" s="64"/>
      <c r="Q144" s="24">
        <v>1</v>
      </c>
      <c r="R144" s="65">
        <f t="shared" si="24"/>
        <v>-1</v>
      </c>
      <c r="S144" s="64"/>
      <c r="T144" s="24"/>
      <c r="U144" s="65">
        <f t="shared" si="25"/>
        <v>0</v>
      </c>
      <c r="V144" s="64"/>
      <c r="W144" s="24">
        <v>2</v>
      </c>
      <c r="X144" s="65">
        <f t="shared" si="26"/>
        <v>-2</v>
      </c>
      <c r="Y144" s="64"/>
      <c r="Z144" s="24">
        <v>4</v>
      </c>
      <c r="AA144" s="65">
        <f t="shared" si="27"/>
        <v>-4</v>
      </c>
      <c r="AB144" s="64"/>
      <c r="AC144" s="24">
        <v>2</v>
      </c>
      <c r="AD144" s="65">
        <f t="shared" si="28"/>
        <v>-2</v>
      </c>
      <c r="AE144" s="64"/>
      <c r="AF144" s="24"/>
      <c r="AG144" s="65">
        <f t="shared" si="29"/>
        <v>0</v>
      </c>
    </row>
    <row r="145" spans="3:33" ht="42" outlineLevel="1" x14ac:dyDescent="0.2">
      <c r="C145" s="17" t="s">
        <v>205</v>
      </c>
      <c r="D145" s="22" t="s">
        <v>206</v>
      </c>
      <c r="E145" s="23" t="s">
        <v>176</v>
      </c>
      <c r="F145" s="63">
        <f t="shared" si="20"/>
        <v>0</v>
      </c>
      <c r="G145" s="331">
        <f t="shared" si="21"/>
        <v>0</v>
      </c>
      <c r="H145" s="398">
        <v>782503</v>
      </c>
      <c r="I145" s="399">
        <f>ROUND(H145*'INDEX ICOCIV'!$R$85,0)</f>
        <v>1064204</v>
      </c>
      <c r="J145" s="324"/>
      <c r="K145" s="24"/>
      <c r="L145" s="65">
        <f t="shared" si="22"/>
        <v>0</v>
      </c>
      <c r="M145" s="64"/>
      <c r="N145" s="24"/>
      <c r="O145" s="65">
        <f t="shared" si="23"/>
        <v>0</v>
      </c>
      <c r="P145" s="64"/>
      <c r="Q145" s="24"/>
      <c r="R145" s="65">
        <f t="shared" si="24"/>
        <v>0</v>
      </c>
      <c r="S145" s="64"/>
      <c r="T145" s="24"/>
      <c r="U145" s="65">
        <f t="shared" si="25"/>
        <v>0</v>
      </c>
      <c r="V145" s="64"/>
      <c r="W145" s="24"/>
      <c r="X145" s="65">
        <f t="shared" si="26"/>
        <v>0</v>
      </c>
      <c r="Y145" s="64"/>
      <c r="Z145" s="24"/>
      <c r="AA145" s="65">
        <f t="shared" si="27"/>
        <v>0</v>
      </c>
      <c r="AB145" s="64"/>
      <c r="AC145" s="24"/>
      <c r="AD145" s="65">
        <f t="shared" si="28"/>
        <v>0</v>
      </c>
      <c r="AE145" s="64"/>
      <c r="AF145" s="24"/>
      <c r="AG145" s="65">
        <f t="shared" si="29"/>
        <v>0</v>
      </c>
    </row>
    <row r="146" spans="3:33" ht="16" outlineLevel="1" x14ac:dyDescent="0.2">
      <c r="C146" s="17" t="s">
        <v>207</v>
      </c>
      <c r="D146" s="22" t="s">
        <v>208</v>
      </c>
      <c r="E146" s="23" t="s">
        <v>176</v>
      </c>
      <c r="F146" s="63">
        <f t="shared" si="20"/>
        <v>0</v>
      </c>
      <c r="G146" s="331">
        <f t="shared" si="21"/>
        <v>0</v>
      </c>
      <c r="H146" s="398">
        <v>74938</v>
      </c>
      <c r="I146" s="399">
        <f>ROUND(H146*'INDEX ICOCIV'!$R$85,0)</f>
        <v>101916</v>
      </c>
      <c r="J146" s="324"/>
      <c r="K146" s="24">
        <v>9</v>
      </c>
      <c r="L146" s="65">
        <f t="shared" si="22"/>
        <v>-9</v>
      </c>
      <c r="M146" s="64"/>
      <c r="N146" s="24">
        <v>3</v>
      </c>
      <c r="O146" s="65">
        <f t="shared" si="23"/>
        <v>-3</v>
      </c>
      <c r="P146" s="64"/>
      <c r="Q146" s="24">
        <v>3</v>
      </c>
      <c r="R146" s="65">
        <f t="shared" si="24"/>
        <v>-3</v>
      </c>
      <c r="S146" s="64"/>
      <c r="T146" s="24">
        <v>3</v>
      </c>
      <c r="U146" s="65">
        <f t="shared" si="25"/>
        <v>-3</v>
      </c>
      <c r="V146" s="64"/>
      <c r="W146" s="24"/>
      <c r="X146" s="65">
        <f t="shared" si="26"/>
        <v>0</v>
      </c>
      <c r="Y146" s="64"/>
      <c r="Z146" s="24">
        <v>4</v>
      </c>
      <c r="AA146" s="65">
        <f t="shared" si="27"/>
        <v>-4</v>
      </c>
      <c r="AB146" s="64"/>
      <c r="AC146" s="24"/>
      <c r="AD146" s="65">
        <f t="shared" si="28"/>
        <v>0</v>
      </c>
      <c r="AE146" s="64"/>
      <c r="AF146" s="24">
        <v>2</v>
      </c>
      <c r="AG146" s="65">
        <f t="shared" si="29"/>
        <v>-2</v>
      </c>
    </row>
    <row r="147" spans="3:33" ht="16" outlineLevel="1" x14ac:dyDescent="0.2">
      <c r="C147" s="17" t="s">
        <v>209</v>
      </c>
      <c r="D147" s="22" t="s">
        <v>210</v>
      </c>
      <c r="E147" s="23" t="s">
        <v>176</v>
      </c>
      <c r="F147" s="63">
        <f t="shared" si="20"/>
        <v>0</v>
      </c>
      <c r="G147" s="331">
        <f t="shared" si="21"/>
        <v>0</v>
      </c>
      <c r="H147" s="398">
        <v>637075</v>
      </c>
      <c r="I147" s="399">
        <f>ROUND(H147*'INDEX ICOCIV'!$R$85,0)</f>
        <v>866422</v>
      </c>
      <c r="J147" s="324"/>
      <c r="K147" s="24"/>
      <c r="L147" s="65">
        <f t="shared" si="22"/>
        <v>0</v>
      </c>
      <c r="M147" s="64"/>
      <c r="N147" s="24"/>
      <c r="O147" s="65">
        <f t="shared" si="23"/>
        <v>0</v>
      </c>
      <c r="P147" s="64"/>
      <c r="Q147" s="24"/>
      <c r="R147" s="65">
        <f t="shared" si="24"/>
        <v>0</v>
      </c>
      <c r="S147" s="64"/>
      <c r="T147" s="24"/>
      <c r="U147" s="65">
        <f t="shared" si="25"/>
        <v>0</v>
      </c>
      <c r="V147" s="64"/>
      <c r="W147" s="24"/>
      <c r="X147" s="65">
        <f t="shared" si="26"/>
        <v>0</v>
      </c>
      <c r="Y147" s="64"/>
      <c r="Z147" s="24"/>
      <c r="AA147" s="65">
        <f t="shared" si="27"/>
        <v>0</v>
      </c>
      <c r="AB147" s="64"/>
      <c r="AC147" s="24"/>
      <c r="AD147" s="65">
        <f t="shared" si="28"/>
        <v>0</v>
      </c>
      <c r="AE147" s="64"/>
      <c r="AF147" s="24"/>
      <c r="AG147" s="65">
        <f t="shared" si="29"/>
        <v>0</v>
      </c>
    </row>
    <row r="148" spans="3:33" ht="42" outlineLevel="1" x14ac:dyDescent="0.2">
      <c r="C148" s="17" t="s">
        <v>211</v>
      </c>
      <c r="D148" s="22" t="s">
        <v>212</v>
      </c>
      <c r="E148" s="23" t="s">
        <v>176</v>
      </c>
      <c r="F148" s="63">
        <f t="shared" si="20"/>
        <v>0</v>
      </c>
      <c r="G148" s="331">
        <f t="shared" si="21"/>
        <v>0</v>
      </c>
      <c r="H148" s="398">
        <v>3219769</v>
      </c>
      <c r="I148" s="399">
        <f>ROUND(H148*'INDEX ICOCIV'!$R$85,0)</f>
        <v>4378886</v>
      </c>
      <c r="J148" s="324"/>
      <c r="K148" s="24"/>
      <c r="L148" s="65">
        <f t="shared" si="22"/>
        <v>0</v>
      </c>
      <c r="M148" s="64"/>
      <c r="N148" s="24"/>
      <c r="O148" s="65">
        <f t="shared" si="23"/>
        <v>0</v>
      </c>
      <c r="P148" s="64"/>
      <c r="Q148" s="24"/>
      <c r="R148" s="65">
        <f t="shared" si="24"/>
        <v>0</v>
      </c>
      <c r="S148" s="64"/>
      <c r="T148" s="24"/>
      <c r="U148" s="65">
        <f t="shared" si="25"/>
        <v>0</v>
      </c>
      <c r="V148" s="64"/>
      <c r="W148" s="24"/>
      <c r="X148" s="65">
        <f t="shared" si="26"/>
        <v>0</v>
      </c>
      <c r="Y148" s="64"/>
      <c r="Z148" s="24"/>
      <c r="AA148" s="65">
        <f t="shared" si="27"/>
        <v>0</v>
      </c>
      <c r="AB148" s="64"/>
      <c r="AC148" s="24">
        <v>1</v>
      </c>
      <c r="AD148" s="65">
        <f t="shared" si="28"/>
        <v>-1</v>
      </c>
      <c r="AE148" s="64"/>
      <c r="AF148" s="24"/>
      <c r="AG148" s="65">
        <f t="shared" si="29"/>
        <v>0</v>
      </c>
    </row>
    <row r="149" spans="3:33" ht="16" outlineLevel="1" x14ac:dyDescent="0.2">
      <c r="C149" s="17" t="s">
        <v>213</v>
      </c>
      <c r="D149" s="22" t="s">
        <v>214</v>
      </c>
      <c r="E149" s="23" t="s">
        <v>176</v>
      </c>
      <c r="F149" s="63">
        <f t="shared" si="20"/>
        <v>0</v>
      </c>
      <c r="G149" s="331">
        <f t="shared" si="21"/>
        <v>0</v>
      </c>
      <c r="H149" s="398">
        <v>131036</v>
      </c>
      <c r="I149" s="399">
        <f>ROUND(H149*'INDEX ICOCIV'!$R$85,0)</f>
        <v>178209</v>
      </c>
      <c r="J149" s="324"/>
      <c r="K149" s="24"/>
      <c r="L149" s="65">
        <f t="shared" si="22"/>
        <v>0</v>
      </c>
      <c r="M149" s="64"/>
      <c r="N149" s="24"/>
      <c r="O149" s="65">
        <f t="shared" si="23"/>
        <v>0</v>
      </c>
      <c r="P149" s="64"/>
      <c r="Q149" s="24"/>
      <c r="R149" s="65">
        <f t="shared" si="24"/>
        <v>0</v>
      </c>
      <c r="S149" s="64"/>
      <c r="T149" s="24"/>
      <c r="U149" s="65">
        <f t="shared" si="25"/>
        <v>0</v>
      </c>
      <c r="V149" s="64"/>
      <c r="W149" s="24"/>
      <c r="X149" s="65">
        <f t="shared" si="26"/>
        <v>0</v>
      </c>
      <c r="Y149" s="64"/>
      <c r="Z149" s="24"/>
      <c r="AA149" s="65">
        <f t="shared" si="27"/>
        <v>0</v>
      </c>
      <c r="AB149" s="64"/>
      <c r="AC149" s="24"/>
      <c r="AD149" s="65">
        <f t="shared" si="28"/>
        <v>0</v>
      </c>
      <c r="AE149" s="64"/>
      <c r="AF149" s="24"/>
      <c r="AG149" s="65">
        <f t="shared" si="29"/>
        <v>0</v>
      </c>
    </row>
    <row r="150" spans="3:33" ht="42" outlineLevel="1" x14ac:dyDescent="0.2">
      <c r="C150" s="17" t="s">
        <v>215</v>
      </c>
      <c r="D150" s="22" t="s">
        <v>216</v>
      </c>
      <c r="E150" s="23" t="s">
        <v>176</v>
      </c>
      <c r="F150" s="63">
        <f t="shared" si="20"/>
        <v>0</v>
      </c>
      <c r="G150" s="331">
        <f t="shared" si="21"/>
        <v>0</v>
      </c>
      <c r="H150" s="398">
        <v>135008</v>
      </c>
      <c r="I150" s="399">
        <f>ROUND(H150*'INDEX ICOCIV'!$R$85,0)</f>
        <v>183611</v>
      </c>
      <c r="J150" s="324"/>
      <c r="K150" s="24"/>
      <c r="L150" s="65">
        <f t="shared" si="22"/>
        <v>0</v>
      </c>
      <c r="M150" s="64"/>
      <c r="N150" s="24"/>
      <c r="O150" s="65">
        <f t="shared" si="23"/>
        <v>0</v>
      </c>
      <c r="P150" s="64"/>
      <c r="Q150" s="24"/>
      <c r="R150" s="65">
        <f t="shared" si="24"/>
        <v>0</v>
      </c>
      <c r="S150" s="64"/>
      <c r="T150" s="24"/>
      <c r="U150" s="65">
        <f t="shared" si="25"/>
        <v>0</v>
      </c>
      <c r="V150" s="64"/>
      <c r="W150" s="24"/>
      <c r="X150" s="65">
        <f t="shared" si="26"/>
        <v>0</v>
      </c>
      <c r="Y150" s="64"/>
      <c r="Z150" s="24"/>
      <c r="AA150" s="65">
        <f t="shared" si="27"/>
        <v>0</v>
      </c>
      <c r="AB150" s="64"/>
      <c r="AC150" s="24"/>
      <c r="AD150" s="65">
        <f t="shared" si="28"/>
        <v>0</v>
      </c>
      <c r="AE150" s="64"/>
      <c r="AF150" s="24"/>
      <c r="AG150" s="65">
        <f t="shared" si="29"/>
        <v>0</v>
      </c>
    </row>
    <row r="151" spans="3:33" ht="16" outlineLevel="1" x14ac:dyDescent="0.2">
      <c r="C151" s="17" t="s">
        <v>217</v>
      </c>
      <c r="D151" s="22" t="s">
        <v>218</v>
      </c>
      <c r="E151" s="23" t="s">
        <v>183</v>
      </c>
      <c r="F151" s="63">
        <f t="shared" si="20"/>
        <v>0</v>
      </c>
      <c r="G151" s="331">
        <f t="shared" si="21"/>
        <v>0</v>
      </c>
      <c r="H151" s="398">
        <v>86589</v>
      </c>
      <c r="I151" s="399">
        <f>ROUND(H151*'INDEX ICOCIV'!$R$85,0)</f>
        <v>117761</v>
      </c>
      <c r="J151" s="324"/>
      <c r="K151" s="24"/>
      <c r="L151" s="65">
        <f t="shared" si="22"/>
        <v>0</v>
      </c>
      <c r="M151" s="64"/>
      <c r="N151" s="24"/>
      <c r="O151" s="65">
        <f t="shared" si="23"/>
        <v>0</v>
      </c>
      <c r="P151" s="64"/>
      <c r="Q151" s="24"/>
      <c r="R151" s="65">
        <f t="shared" si="24"/>
        <v>0</v>
      </c>
      <c r="S151" s="64"/>
      <c r="T151" s="24"/>
      <c r="U151" s="65">
        <f t="shared" si="25"/>
        <v>0</v>
      </c>
      <c r="V151" s="64"/>
      <c r="W151" s="24"/>
      <c r="X151" s="65">
        <f t="shared" si="26"/>
        <v>0</v>
      </c>
      <c r="Y151" s="64"/>
      <c r="Z151" s="24"/>
      <c r="AA151" s="65">
        <f t="shared" si="27"/>
        <v>0</v>
      </c>
      <c r="AB151" s="64"/>
      <c r="AC151" s="24"/>
      <c r="AD151" s="65">
        <f t="shared" si="28"/>
        <v>0</v>
      </c>
      <c r="AE151" s="64"/>
      <c r="AF151" s="24"/>
      <c r="AG151" s="65">
        <f t="shared" si="29"/>
        <v>0</v>
      </c>
    </row>
    <row r="152" spans="3:33" ht="16" outlineLevel="1" x14ac:dyDescent="0.2">
      <c r="C152" s="17" t="s">
        <v>219</v>
      </c>
      <c r="D152" s="22" t="s">
        <v>220</v>
      </c>
      <c r="E152" s="23" t="s">
        <v>183</v>
      </c>
      <c r="F152" s="63">
        <f t="shared" si="20"/>
        <v>0</v>
      </c>
      <c r="G152" s="331">
        <f t="shared" si="21"/>
        <v>0</v>
      </c>
      <c r="H152" s="398">
        <v>103425</v>
      </c>
      <c r="I152" s="399">
        <f>ROUND(H152*'INDEX ICOCIV'!$R$85,0)</f>
        <v>140658</v>
      </c>
      <c r="J152" s="324"/>
      <c r="K152" s="24"/>
      <c r="L152" s="65">
        <f t="shared" si="22"/>
        <v>0</v>
      </c>
      <c r="M152" s="64"/>
      <c r="N152" s="24"/>
      <c r="O152" s="65">
        <f t="shared" si="23"/>
        <v>0</v>
      </c>
      <c r="P152" s="64"/>
      <c r="Q152" s="24"/>
      <c r="R152" s="65">
        <f t="shared" si="24"/>
        <v>0</v>
      </c>
      <c r="S152" s="64"/>
      <c r="T152" s="24">
        <v>6.5450036258158084</v>
      </c>
      <c r="U152" s="65">
        <f t="shared" si="25"/>
        <v>-6.55</v>
      </c>
      <c r="V152" s="64"/>
      <c r="W152" s="24"/>
      <c r="X152" s="65">
        <f t="shared" si="26"/>
        <v>0</v>
      </c>
      <c r="Y152" s="64"/>
      <c r="Z152" s="24"/>
      <c r="AA152" s="65">
        <f t="shared" si="27"/>
        <v>0</v>
      </c>
      <c r="AB152" s="64"/>
      <c r="AC152" s="24"/>
      <c r="AD152" s="65">
        <f t="shared" si="28"/>
        <v>0</v>
      </c>
      <c r="AE152" s="64"/>
      <c r="AF152" s="24"/>
      <c r="AG152" s="65">
        <f t="shared" si="29"/>
        <v>0</v>
      </c>
    </row>
    <row r="153" spans="3:33" ht="16" outlineLevel="1" x14ac:dyDescent="0.2">
      <c r="C153" s="17" t="s">
        <v>221</v>
      </c>
      <c r="D153" s="22" t="s">
        <v>222</v>
      </c>
      <c r="E153" s="23" t="s">
        <v>183</v>
      </c>
      <c r="F153" s="63">
        <f t="shared" si="20"/>
        <v>0</v>
      </c>
      <c r="G153" s="331">
        <f t="shared" si="21"/>
        <v>0</v>
      </c>
      <c r="H153" s="398">
        <v>130567</v>
      </c>
      <c r="I153" s="399">
        <f>ROUND(H153*'INDEX ICOCIV'!$R$85,0)</f>
        <v>177571</v>
      </c>
      <c r="J153" s="324"/>
      <c r="K153" s="24">
        <v>11.868488975008999</v>
      </c>
      <c r="L153" s="65">
        <f t="shared" si="22"/>
        <v>-11.87</v>
      </c>
      <c r="M153" s="64"/>
      <c r="N153" s="24"/>
      <c r="O153" s="65">
        <f t="shared" si="23"/>
        <v>0</v>
      </c>
      <c r="P153" s="64"/>
      <c r="Q153" s="24">
        <v>2.5333889880291345</v>
      </c>
      <c r="R153" s="65">
        <f t="shared" si="24"/>
        <v>-2.5299999999999998</v>
      </c>
      <c r="S153" s="64"/>
      <c r="T153" s="24">
        <v>2.8036333836267966</v>
      </c>
      <c r="U153" s="65">
        <f t="shared" si="25"/>
        <v>-2.8</v>
      </c>
      <c r="V153" s="64"/>
      <c r="W153" s="24"/>
      <c r="X153" s="65">
        <f t="shared" si="26"/>
        <v>0</v>
      </c>
      <c r="Y153" s="64"/>
      <c r="Z153" s="24"/>
      <c r="AA153" s="65">
        <f t="shared" si="27"/>
        <v>0</v>
      </c>
      <c r="AB153" s="64"/>
      <c r="AC153" s="24"/>
      <c r="AD153" s="65">
        <f t="shared" si="28"/>
        <v>0</v>
      </c>
      <c r="AE153" s="64"/>
      <c r="AF153" s="24">
        <v>3.0192975254084109</v>
      </c>
      <c r="AG153" s="65">
        <f t="shared" si="29"/>
        <v>-3.02</v>
      </c>
    </row>
    <row r="154" spans="3:33" ht="16" outlineLevel="1" x14ac:dyDescent="0.2">
      <c r="C154" s="17" t="s">
        <v>223</v>
      </c>
      <c r="D154" s="22" t="s">
        <v>224</v>
      </c>
      <c r="E154" s="23" t="s">
        <v>627</v>
      </c>
      <c r="F154" s="63">
        <f t="shared" si="20"/>
        <v>0</v>
      </c>
      <c r="G154" s="331">
        <f t="shared" si="21"/>
        <v>0</v>
      </c>
      <c r="H154" s="398">
        <v>316</v>
      </c>
      <c r="I154" s="399">
        <f>ROUND(H154*'INDEX ICOCIV'!$R$85,0)</f>
        <v>430</v>
      </c>
      <c r="J154" s="324"/>
      <c r="K154" s="24">
        <v>5564.0221518987346</v>
      </c>
      <c r="L154" s="65">
        <f t="shared" si="22"/>
        <v>-5564.02</v>
      </c>
      <c r="M154" s="64"/>
      <c r="N154" s="24"/>
      <c r="O154" s="65">
        <f t="shared" si="23"/>
        <v>0</v>
      </c>
      <c r="P154" s="64"/>
      <c r="Q154" s="24">
        <v>1104.4398734177216</v>
      </c>
      <c r="R154" s="65">
        <f t="shared" si="24"/>
        <v>-1104.44</v>
      </c>
      <c r="S154" s="64"/>
      <c r="T154" s="24">
        <v>2440.2151898734173</v>
      </c>
      <c r="U154" s="65">
        <f t="shared" si="25"/>
        <v>-2440.2199999999998</v>
      </c>
      <c r="V154" s="64"/>
      <c r="W154" s="24"/>
      <c r="X154" s="65">
        <f t="shared" si="26"/>
        <v>0</v>
      </c>
      <c r="Y154" s="64"/>
      <c r="Z154" s="24"/>
      <c r="AA154" s="65">
        <f t="shared" si="27"/>
        <v>0</v>
      </c>
      <c r="AB154" s="64"/>
      <c r="AC154" s="24"/>
      <c r="AD154" s="65">
        <f t="shared" si="28"/>
        <v>0</v>
      </c>
      <c r="AE154" s="64"/>
      <c r="AF154" s="24">
        <v>2708.0715189873413</v>
      </c>
      <c r="AG154" s="65">
        <f t="shared" si="29"/>
        <v>-2708.07</v>
      </c>
    </row>
    <row r="155" spans="3:33" ht="16" outlineLevel="1" x14ac:dyDescent="0.2">
      <c r="C155" s="17" t="s">
        <v>225</v>
      </c>
      <c r="D155" s="22" t="s">
        <v>226</v>
      </c>
      <c r="E155" s="23" t="s">
        <v>188</v>
      </c>
      <c r="F155" s="63">
        <f t="shared" si="20"/>
        <v>0</v>
      </c>
      <c r="G155" s="331">
        <f t="shared" si="21"/>
        <v>0</v>
      </c>
      <c r="H155" s="398">
        <v>5582</v>
      </c>
      <c r="I155" s="399">
        <f>ROUND(H155*'INDEX ICOCIV'!$R$85,0)</f>
        <v>7592</v>
      </c>
      <c r="J155" s="324"/>
      <c r="K155" s="24"/>
      <c r="L155" s="65">
        <f t="shared" si="22"/>
        <v>0</v>
      </c>
      <c r="M155" s="64"/>
      <c r="N155" s="24"/>
      <c r="O155" s="65">
        <f t="shared" si="23"/>
        <v>0</v>
      </c>
      <c r="P155" s="64"/>
      <c r="Q155" s="24"/>
      <c r="R155" s="65">
        <f t="shared" si="24"/>
        <v>0</v>
      </c>
      <c r="S155" s="64"/>
      <c r="T155" s="24"/>
      <c r="U155" s="65">
        <f t="shared" si="25"/>
        <v>0</v>
      </c>
      <c r="V155" s="64"/>
      <c r="W155" s="24"/>
      <c r="X155" s="65">
        <f t="shared" si="26"/>
        <v>0</v>
      </c>
      <c r="Y155" s="64"/>
      <c r="Z155" s="24"/>
      <c r="AA155" s="65">
        <f t="shared" si="27"/>
        <v>0</v>
      </c>
      <c r="AB155" s="64"/>
      <c r="AC155" s="24"/>
      <c r="AD155" s="65">
        <f t="shared" si="28"/>
        <v>0</v>
      </c>
      <c r="AE155" s="64"/>
      <c r="AF155" s="24"/>
      <c r="AG155" s="65">
        <f t="shared" si="29"/>
        <v>0</v>
      </c>
    </row>
    <row r="156" spans="3:33" ht="16" outlineLevel="1" x14ac:dyDescent="0.2">
      <c r="C156" s="17" t="s">
        <v>227</v>
      </c>
      <c r="D156" s="22" t="s">
        <v>228</v>
      </c>
      <c r="E156" s="23" t="s">
        <v>171</v>
      </c>
      <c r="F156" s="63">
        <f t="shared" si="20"/>
        <v>0</v>
      </c>
      <c r="G156" s="331">
        <f t="shared" si="21"/>
        <v>0</v>
      </c>
      <c r="H156" s="398">
        <v>9835</v>
      </c>
      <c r="I156" s="399">
        <f>ROUND(H156*'INDEX ICOCIV'!$R$85,0)</f>
        <v>13376</v>
      </c>
      <c r="J156" s="324"/>
      <c r="K156" s="24"/>
      <c r="L156" s="65">
        <f t="shared" si="22"/>
        <v>0</v>
      </c>
      <c r="M156" s="64"/>
      <c r="N156" s="24"/>
      <c r="O156" s="65">
        <f t="shared" si="23"/>
        <v>0</v>
      </c>
      <c r="P156" s="64"/>
      <c r="Q156" s="24"/>
      <c r="R156" s="65">
        <f t="shared" si="24"/>
        <v>0</v>
      </c>
      <c r="S156" s="64"/>
      <c r="T156" s="24">
        <v>9.6</v>
      </c>
      <c r="U156" s="65">
        <f t="shared" si="25"/>
        <v>-9.6</v>
      </c>
      <c r="V156" s="64"/>
      <c r="W156" s="24"/>
      <c r="X156" s="65">
        <f t="shared" si="26"/>
        <v>0</v>
      </c>
      <c r="Y156" s="64"/>
      <c r="Z156" s="24"/>
      <c r="AA156" s="65">
        <f t="shared" si="27"/>
        <v>0</v>
      </c>
      <c r="AB156" s="64"/>
      <c r="AC156" s="24"/>
      <c r="AD156" s="65">
        <f t="shared" si="28"/>
        <v>0</v>
      </c>
      <c r="AE156" s="64"/>
      <c r="AF156" s="24"/>
      <c r="AG156" s="65">
        <f t="shared" si="29"/>
        <v>0</v>
      </c>
    </row>
    <row r="157" spans="3:33" ht="28" outlineLevel="1" x14ac:dyDescent="0.2">
      <c r="C157" s="17" t="s">
        <v>229</v>
      </c>
      <c r="D157" s="22" t="s">
        <v>683</v>
      </c>
      <c r="E157" s="23" t="s">
        <v>183</v>
      </c>
      <c r="F157" s="63">
        <f t="shared" si="20"/>
        <v>0</v>
      </c>
      <c r="G157" s="331">
        <f t="shared" si="21"/>
        <v>0</v>
      </c>
      <c r="H157" s="398">
        <v>130176</v>
      </c>
      <c r="I157" s="399">
        <f>ROUND(H157*'INDEX ICOCIV'!$R$85,0)</f>
        <v>177039</v>
      </c>
      <c r="J157" s="324"/>
      <c r="K157" s="24">
        <v>247.54768928220255</v>
      </c>
      <c r="L157" s="65">
        <f t="shared" si="22"/>
        <v>-247.55</v>
      </c>
      <c r="M157" s="64"/>
      <c r="N157" s="24"/>
      <c r="O157" s="65">
        <f t="shared" si="23"/>
        <v>0</v>
      </c>
      <c r="P157" s="64"/>
      <c r="Q157" s="24">
        <v>68.168126229105212</v>
      </c>
      <c r="R157" s="65">
        <f t="shared" si="24"/>
        <v>-68.17</v>
      </c>
      <c r="S157" s="64"/>
      <c r="T157" s="24">
        <v>166.14168510324484</v>
      </c>
      <c r="U157" s="65">
        <f t="shared" si="25"/>
        <v>-166.14</v>
      </c>
      <c r="V157" s="64"/>
      <c r="W157" s="24">
        <v>32.199998463618485</v>
      </c>
      <c r="X157" s="65">
        <f t="shared" si="26"/>
        <v>-32.200000000000003</v>
      </c>
      <c r="Y157" s="64"/>
      <c r="Z157" s="24"/>
      <c r="AA157" s="65">
        <f t="shared" si="27"/>
        <v>0</v>
      </c>
      <c r="AB157" s="64"/>
      <c r="AC157" s="24">
        <v>23.511522861356934</v>
      </c>
      <c r="AD157" s="65">
        <f t="shared" si="28"/>
        <v>-23.51</v>
      </c>
      <c r="AE157" s="64"/>
      <c r="AF157" s="24">
        <v>112.12629639872173</v>
      </c>
      <c r="AG157" s="65">
        <f t="shared" si="29"/>
        <v>-112.13</v>
      </c>
    </row>
    <row r="158" spans="3:33" ht="28" outlineLevel="1" x14ac:dyDescent="0.2">
      <c r="C158" s="17" t="s">
        <v>230</v>
      </c>
      <c r="D158" s="22" t="s">
        <v>231</v>
      </c>
      <c r="E158" s="23" t="s">
        <v>267</v>
      </c>
      <c r="F158" s="63">
        <f t="shared" si="20"/>
        <v>0</v>
      </c>
      <c r="G158" s="331">
        <f t="shared" si="21"/>
        <v>0</v>
      </c>
      <c r="H158" s="398">
        <v>159884</v>
      </c>
      <c r="I158" s="399">
        <f>ROUND(H158*'INDEX ICOCIV'!$R$85,0)</f>
        <v>217442</v>
      </c>
      <c r="J158" s="324"/>
      <c r="K158" s="24"/>
      <c r="L158" s="65">
        <f t="shared" si="22"/>
        <v>0</v>
      </c>
      <c r="M158" s="64"/>
      <c r="N158" s="24"/>
      <c r="O158" s="65">
        <f t="shared" si="23"/>
        <v>0</v>
      </c>
      <c r="P158" s="64"/>
      <c r="Q158" s="24"/>
      <c r="R158" s="65">
        <f t="shared" si="24"/>
        <v>0</v>
      </c>
      <c r="S158" s="64"/>
      <c r="T158" s="24"/>
      <c r="U158" s="65">
        <f t="shared" si="25"/>
        <v>0</v>
      </c>
      <c r="V158" s="64"/>
      <c r="W158" s="24"/>
      <c r="X158" s="65">
        <f t="shared" si="26"/>
        <v>0</v>
      </c>
      <c r="Y158" s="64"/>
      <c r="Z158" s="24"/>
      <c r="AA158" s="65">
        <f t="shared" si="27"/>
        <v>0</v>
      </c>
      <c r="AB158" s="64"/>
      <c r="AC158" s="24"/>
      <c r="AD158" s="65">
        <f t="shared" si="28"/>
        <v>0</v>
      </c>
      <c r="AE158" s="64"/>
      <c r="AF158" s="24"/>
      <c r="AG158" s="65">
        <f t="shared" si="29"/>
        <v>0</v>
      </c>
    </row>
    <row r="159" spans="3:33" ht="28" outlineLevel="1" x14ac:dyDescent="0.2">
      <c r="C159" s="17" t="s">
        <v>232</v>
      </c>
      <c r="D159" s="22" t="s">
        <v>684</v>
      </c>
      <c r="E159" s="23" t="s">
        <v>267</v>
      </c>
      <c r="F159" s="63">
        <f t="shared" si="20"/>
        <v>0</v>
      </c>
      <c r="G159" s="331">
        <f t="shared" si="21"/>
        <v>0</v>
      </c>
      <c r="H159" s="398">
        <v>251309</v>
      </c>
      <c r="I159" s="399">
        <f>ROUND(H159*'INDEX ICOCIV'!$R$85,0)</f>
        <v>341780</v>
      </c>
      <c r="J159" s="324"/>
      <c r="K159" s="24"/>
      <c r="L159" s="65">
        <f t="shared" si="22"/>
        <v>0</v>
      </c>
      <c r="M159" s="64"/>
      <c r="N159" s="24"/>
      <c r="O159" s="65">
        <f t="shared" si="23"/>
        <v>0</v>
      </c>
      <c r="P159" s="64"/>
      <c r="Q159" s="24"/>
      <c r="R159" s="65">
        <f t="shared" si="24"/>
        <v>0</v>
      </c>
      <c r="S159" s="64"/>
      <c r="T159" s="24"/>
      <c r="U159" s="65">
        <f t="shared" si="25"/>
        <v>0</v>
      </c>
      <c r="V159" s="64"/>
      <c r="W159" s="24"/>
      <c r="X159" s="65">
        <f t="shared" si="26"/>
        <v>0</v>
      </c>
      <c r="Y159" s="64"/>
      <c r="Z159" s="24"/>
      <c r="AA159" s="65">
        <f t="shared" si="27"/>
        <v>0</v>
      </c>
      <c r="AB159" s="64"/>
      <c r="AC159" s="24"/>
      <c r="AD159" s="65">
        <f t="shared" si="28"/>
        <v>0</v>
      </c>
      <c r="AE159" s="64"/>
      <c r="AF159" s="24"/>
      <c r="AG159" s="65">
        <f t="shared" si="29"/>
        <v>0</v>
      </c>
    </row>
    <row r="160" spans="3:33" ht="28" outlineLevel="1" x14ac:dyDescent="0.2">
      <c r="C160" s="17" t="s">
        <v>233</v>
      </c>
      <c r="D160" s="22" t="s">
        <v>234</v>
      </c>
      <c r="E160" s="23" t="s">
        <v>267</v>
      </c>
      <c r="F160" s="63">
        <f t="shared" si="20"/>
        <v>0</v>
      </c>
      <c r="G160" s="331">
        <f t="shared" si="21"/>
        <v>0</v>
      </c>
      <c r="H160" s="398">
        <v>167895</v>
      </c>
      <c r="I160" s="399">
        <f>ROUND(H160*'INDEX ICOCIV'!$R$85,0)</f>
        <v>228337</v>
      </c>
      <c r="J160" s="324"/>
      <c r="K160" s="24"/>
      <c r="L160" s="65">
        <f t="shared" si="22"/>
        <v>0</v>
      </c>
      <c r="M160" s="64"/>
      <c r="N160" s="24"/>
      <c r="O160" s="65">
        <f t="shared" si="23"/>
        <v>0</v>
      </c>
      <c r="P160" s="64"/>
      <c r="Q160" s="24"/>
      <c r="R160" s="65">
        <f t="shared" si="24"/>
        <v>0</v>
      </c>
      <c r="S160" s="64"/>
      <c r="T160" s="24"/>
      <c r="U160" s="65">
        <f t="shared" si="25"/>
        <v>0</v>
      </c>
      <c r="V160" s="64"/>
      <c r="W160" s="24">
        <v>2</v>
      </c>
      <c r="X160" s="65">
        <f t="shared" si="26"/>
        <v>-2</v>
      </c>
      <c r="Y160" s="64"/>
      <c r="Z160" s="24"/>
      <c r="AA160" s="65">
        <f t="shared" si="27"/>
        <v>0</v>
      </c>
      <c r="AB160" s="64"/>
      <c r="AC160" s="24"/>
      <c r="AD160" s="65">
        <f t="shared" si="28"/>
        <v>0</v>
      </c>
      <c r="AE160" s="64"/>
      <c r="AF160" s="24"/>
      <c r="AG160" s="65">
        <f t="shared" si="29"/>
        <v>0</v>
      </c>
    </row>
    <row r="161" spans="3:33" ht="16" outlineLevel="1" x14ac:dyDescent="0.2">
      <c r="C161" s="17" t="s">
        <v>235</v>
      </c>
      <c r="D161" s="22" t="s">
        <v>236</v>
      </c>
      <c r="E161" s="23" t="s">
        <v>188</v>
      </c>
      <c r="F161" s="63">
        <f t="shared" si="20"/>
        <v>0</v>
      </c>
      <c r="G161" s="331">
        <f t="shared" si="21"/>
        <v>0</v>
      </c>
      <c r="H161" s="398">
        <v>2786</v>
      </c>
      <c r="I161" s="399">
        <f>ROUND(H161*'INDEX ICOCIV'!$R$85,0)</f>
        <v>3789</v>
      </c>
      <c r="J161" s="324"/>
      <c r="K161" s="24"/>
      <c r="L161" s="65">
        <f t="shared" si="22"/>
        <v>0</v>
      </c>
      <c r="M161" s="64"/>
      <c r="N161" s="24"/>
      <c r="O161" s="65">
        <f t="shared" si="23"/>
        <v>0</v>
      </c>
      <c r="P161" s="64"/>
      <c r="Q161" s="24"/>
      <c r="R161" s="65">
        <f t="shared" si="24"/>
        <v>0</v>
      </c>
      <c r="S161" s="64"/>
      <c r="T161" s="24"/>
      <c r="U161" s="65">
        <f t="shared" si="25"/>
        <v>0</v>
      </c>
      <c r="V161" s="64"/>
      <c r="W161" s="24"/>
      <c r="X161" s="65">
        <f t="shared" si="26"/>
        <v>0</v>
      </c>
      <c r="Y161" s="64"/>
      <c r="Z161" s="24"/>
      <c r="AA161" s="65">
        <f t="shared" si="27"/>
        <v>0</v>
      </c>
      <c r="AB161" s="64"/>
      <c r="AC161" s="24"/>
      <c r="AD161" s="65">
        <f t="shared" si="28"/>
        <v>0</v>
      </c>
      <c r="AE161" s="64"/>
      <c r="AF161" s="24"/>
      <c r="AG161" s="65">
        <f t="shared" si="29"/>
        <v>0</v>
      </c>
    </row>
    <row r="162" spans="3:33" ht="16" outlineLevel="1" x14ac:dyDescent="0.2">
      <c r="C162" s="17" t="s">
        <v>237</v>
      </c>
      <c r="D162" s="22" t="s">
        <v>685</v>
      </c>
      <c r="E162" s="23" t="s">
        <v>188</v>
      </c>
      <c r="F162" s="63">
        <f t="shared" si="20"/>
        <v>0</v>
      </c>
      <c r="G162" s="331">
        <f t="shared" si="21"/>
        <v>0</v>
      </c>
      <c r="H162" s="398">
        <v>37726</v>
      </c>
      <c r="I162" s="399">
        <f>ROUND(H162*'INDEX ICOCIV'!$R$85,0)</f>
        <v>51307</v>
      </c>
      <c r="J162" s="324"/>
      <c r="K162" s="24">
        <v>175.5</v>
      </c>
      <c r="L162" s="65">
        <f t="shared" si="22"/>
        <v>-175.5</v>
      </c>
      <c r="M162" s="64"/>
      <c r="N162" s="24"/>
      <c r="O162" s="65">
        <f t="shared" si="23"/>
        <v>0</v>
      </c>
      <c r="P162" s="64"/>
      <c r="Q162" s="24">
        <v>76.150002650691832</v>
      </c>
      <c r="R162" s="65">
        <f t="shared" si="24"/>
        <v>-76.150000000000006</v>
      </c>
      <c r="S162" s="64"/>
      <c r="T162" s="24">
        <v>171.99358532577003</v>
      </c>
      <c r="U162" s="65">
        <f t="shared" si="25"/>
        <v>-171.99</v>
      </c>
      <c r="V162" s="64"/>
      <c r="W162" s="24"/>
      <c r="X162" s="65">
        <f t="shared" si="26"/>
        <v>0</v>
      </c>
      <c r="Y162" s="64"/>
      <c r="Z162" s="24"/>
      <c r="AA162" s="65">
        <f t="shared" si="27"/>
        <v>0</v>
      </c>
      <c r="AB162" s="64"/>
      <c r="AC162" s="24"/>
      <c r="AD162" s="65">
        <f t="shared" si="28"/>
        <v>0</v>
      </c>
      <c r="AE162" s="64"/>
      <c r="AF162" s="24">
        <v>143.64501935005035</v>
      </c>
      <c r="AG162" s="65">
        <f t="shared" si="29"/>
        <v>-143.65</v>
      </c>
    </row>
    <row r="163" spans="3:33" ht="28" outlineLevel="1" x14ac:dyDescent="0.2">
      <c r="C163" s="17" t="s">
        <v>238</v>
      </c>
      <c r="D163" s="22" t="s">
        <v>686</v>
      </c>
      <c r="E163" s="23" t="s">
        <v>183</v>
      </c>
      <c r="F163" s="63">
        <f t="shared" si="20"/>
        <v>0</v>
      </c>
      <c r="G163" s="331">
        <f t="shared" si="21"/>
        <v>0</v>
      </c>
      <c r="H163" s="398">
        <v>366977</v>
      </c>
      <c r="I163" s="399">
        <f>ROUND(H163*'INDEX ICOCIV'!$R$85,0)</f>
        <v>499089</v>
      </c>
      <c r="J163" s="324"/>
      <c r="K163" s="24">
        <v>93.507522269788026</v>
      </c>
      <c r="L163" s="65">
        <f t="shared" si="22"/>
        <v>-93.51</v>
      </c>
      <c r="M163" s="64"/>
      <c r="N163" s="24"/>
      <c r="O163" s="65">
        <f t="shared" si="23"/>
        <v>0</v>
      </c>
      <c r="P163" s="64"/>
      <c r="Q163" s="24">
        <v>14.645389220577856</v>
      </c>
      <c r="R163" s="65">
        <f t="shared" si="24"/>
        <v>-14.65</v>
      </c>
      <c r="S163" s="64"/>
      <c r="T163" s="24">
        <v>57.869773855037238</v>
      </c>
      <c r="U163" s="65">
        <f t="shared" si="25"/>
        <v>-57.87</v>
      </c>
      <c r="V163" s="64"/>
      <c r="W163" s="24"/>
      <c r="X163" s="65">
        <f t="shared" si="26"/>
        <v>0</v>
      </c>
      <c r="Y163" s="64"/>
      <c r="Z163" s="24"/>
      <c r="AA163" s="65">
        <f t="shared" si="27"/>
        <v>0</v>
      </c>
      <c r="AB163" s="64"/>
      <c r="AC163" s="24"/>
      <c r="AD163" s="65">
        <f t="shared" si="28"/>
        <v>0</v>
      </c>
      <c r="AE163" s="64"/>
      <c r="AF163" s="24">
        <v>63.342675508274361</v>
      </c>
      <c r="AG163" s="65">
        <f t="shared" si="29"/>
        <v>-63.34</v>
      </c>
    </row>
    <row r="164" spans="3:33" ht="28" outlineLevel="1" x14ac:dyDescent="0.2">
      <c r="C164" s="17" t="s">
        <v>239</v>
      </c>
      <c r="D164" s="22" t="s">
        <v>687</v>
      </c>
      <c r="E164" s="23" t="s">
        <v>188</v>
      </c>
      <c r="F164" s="63">
        <f t="shared" si="20"/>
        <v>0</v>
      </c>
      <c r="G164" s="331">
        <f t="shared" si="21"/>
        <v>0</v>
      </c>
      <c r="H164" s="398">
        <v>6750</v>
      </c>
      <c r="I164" s="399">
        <f>ROUND(H164*'INDEX ICOCIV'!$R$85,0)</f>
        <v>9180</v>
      </c>
      <c r="J164" s="324"/>
      <c r="K164" s="24"/>
      <c r="L164" s="65">
        <f t="shared" si="22"/>
        <v>0</v>
      </c>
      <c r="M164" s="64"/>
      <c r="N164" s="24"/>
      <c r="O164" s="65">
        <f t="shared" si="23"/>
        <v>0</v>
      </c>
      <c r="P164" s="64"/>
      <c r="Q164" s="24"/>
      <c r="R164" s="65">
        <f t="shared" si="24"/>
        <v>0</v>
      </c>
      <c r="S164" s="64"/>
      <c r="T164" s="24"/>
      <c r="U164" s="65">
        <f t="shared" si="25"/>
        <v>0</v>
      </c>
      <c r="V164" s="64"/>
      <c r="W164" s="24"/>
      <c r="X164" s="65">
        <f t="shared" si="26"/>
        <v>0</v>
      </c>
      <c r="Y164" s="64"/>
      <c r="Z164" s="24"/>
      <c r="AA164" s="65">
        <f t="shared" si="27"/>
        <v>0</v>
      </c>
      <c r="AB164" s="64"/>
      <c r="AC164" s="24"/>
      <c r="AD164" s="65">
        <f t="shared" si="28"/>
        <v>0</v>
      </c>
      <c r="AE164" s="64"/>
      <c r="AF164" s="24"/>
      <c r="AG164" s="65">
        <f t="shared" si="29"/>
        <v>0</v>
      </c>
    </row>
    <row r="165" spans="3:33" ht="28" outlineLevel="1" x14ac:dyDescent="0.2">
      <c r="C165" s="17" t="s">
        <v>240</v>
      </c>
      <c r="D165" s="22" t="s">
        <v>241</v>
      </c>
      <c r="E165" s="23" t="s">
        <v>267</v>
      </c>
      <c r="F165" s="63">
        <f t="shared" si="20"/>
        <v>0</v>
      </c>
      <c r="G165" s="331">
        <f t="shared" si="21"/>
        <v>0</v>
      </c>
      <c r="H165" s="398">
        <v>979835</v>
      </c>
      <c r="I165" s="399">
        <f>ROUND(H165*'INDEX ICOCIV'!$R$85,0)</f>
        <v>1332576</v>
      </c>
      <c r="J165" s="324"/>
      <c r="K165" s="24"/>
      <c r="L165" s="65">
        <f t="shared" si="22"/>
        <v>0</v>
      </c>
      <c r="M165" s="64"/>
      <c r="N165" s="24"/>
      <c r="O165" s="65">
        <f t="shared" si="23"/>
        <v>0</v>
      </c>
      <c r="P165" s="64"/>
      <c r="Q165" s="24"/>
      <c r="R165" s="65">
        <f t="shared" si="24"/>
        <v>0</v>
      </c>
      <c r="S165" s="64"/>
      <c r="T165" s="24"/>
      <c r="U165" s="65">
        <f t="shared" si="25"/>
        <v>0</v>
      </c>
      <c r="V165" s="64"/>
      <c r="W165" s="24"/>
      <c r="X165" s="65">
        <f t="shared" si="26"/>
        <v>0</v>
      </c>
      <c r="Y165" s="64"/>
      <c r="Z165" s="24">
        <v>1</v>
      </c>
      <c r="AA165" s="65">
        <f t="shared" si="27"/>
        <v>-1</v>
      </c>
      <c r="AB165" s="64"/>
      <c r="AC165" s="24"/>
      <c r="AD165" s="65">
        <f t="shared" si="28"/>
        <v>0</v>
      </c>
      <c r="AE165" s="64"/>
      <c r="AF165" s="24"/>
      <c r="AG165" s="65">
        <f t="shared" si="29"/>
        <v>0</v>
      </c>
    </row>
    <row r="166" spans="3:33" ht="84" outlineLevel="1" x14ac:dyDescent="0.2">
      <c r="C166" s="17" t="s">
        <v>242</v>
      </c>
      <c r="D166" s="22" t="s">
        <v>688</v>
      </c>
      <c r="E166" s="23" t="s">
        <v>183</v>
      </c>
      <c r="F166" s="63">
        <f t="shared" si="20"/>
        <v>0</v>
      </c>
      <c r="G166" s="331">
        <f t="shared" si="21"/>
        <v>0</v>
      </c>
      <c r="H166" s="398">
        <v>1383714</v>
      </c>
      <c r="I166" s="399">
        <f>ROUND(H166*'INDEX ICOCIV'!$R$85,0)</f>
        <v>1881851</v>
      </c>
      <c r="J166" s="324"/>
      <c r="K166" s="24"/>
      <c r="L166" s="65">
        <f t="shared" si="22"/>
        <v>0</v>
      </c>
      <c r="M166" s="64"/>
      <c r="N166" s="24"/>
      <c r="O166" s="65">
        <f t="shared" si="23"/>
        <v>0</v>
      </c>
      <c r="P166" s="64"/>
      <c r="Q166" s="24"/>
      <c r="R166" s="65">
        <f t="shared" si="24"/>
        <v>0</v>
      </c>
      <c r="S166" s="64"/>
      <c r="T166" s="24"/>
      <c r="U166" s="65">
        <f t="shared" si="25"/>
        <v>0</v>
      </c>
      <c r="V166" s="64"/>
      <c r="W166" s="24"/>
      <c r="X166" s="65">
        <f t="shared" si="26"/>
        <v>0</v>
      </c>
      <c r="Y166" s="64"/>
      <c r="Z166" s="24"/>
      <c r="AA166" s="65">
        <f t="shared" si="27"/>
        <v>0</v>
      </c>
      <c r="AB166" s="64"/>
      <c r="AC166" s="24"/>
      <c r="AD166" s="65">
        <f t="shared" si="28"/>
        <v>0</v>
      </c>
      <c r="AE166" s="64"/>
      <c r="AF166" s="24"/>
      <c r="AG166" s="65">
        <f t="shared" si="29"/>
        <v>0</v>
      </c>
    </row>
    <row r="167" spans="3:33" ht="28" outlineLevel="1" x14ac:dyDescent="0.2">
      <c r="C167" s="17" t="s">
        <v>243</v>
      </c>
      <c r="D167" s="22" t="s">
        <v>244</v>
      </c>
      <c r="E167" s="23" t="s">
        <v>267</v>
      </c>
      <c r="F167" s="63">
        <f t="shared" si="20"/>
        <v>0</v>
      </c>
      <c r="G167" s="331">
        <f t="shared" si="21"/>
        <v>0</v>
      </c>
      <c r="H167" s="398">
        <v>66613</v>
      </c>
      <c r="I167" s="399">
        <f>ROUND(H167*'INDEX ICOCIV'!$R$85,0)</f>
        <v>90594</v>
      </c>
      <c r="J167" s="324"/>
      <c r="K167" s="24"/>
      <c r="L167" s="65">
        <f t="shared" si="22"/>
        <v>0</v>
      </c>
      <c r="M167" s="64"/>
      <c r="N167" s="24"/>
      <c r="O167" s="65">
        <f t="shared" si="23"/>
        <v>0</v>
      </c>
      <c r="P167" s="64"/>
      <c r="Q167" s="24"/>
      <c r="R167" s="65">
        <f t="shared" si="24"/>
        <v>0</v>
      </c>
      <c r="S167" s="64"/>
      <c r="T167" s="24"/>
      <c r="U167" s="65">
        <f t="shared" si="25"/>
        <v>0</v>
      </c>
      <c r="V167" s="64"/>
      <c r="W167" s="24"/>
      <c r="X167" s="65">
        <f t="shared" si="26"/>
        <v>0</v>
      </c>
      <c r="Y167" s="64"/>
      <c r="Z167" s="24"/>
      <c r="AA167" s="65">
        <f t="shared" si="27"/>
        <v>0</v>
      </c>
      <c r="AB167" s="64"/>
      <c r="AC167" s="24"/>
      <c r="AD167" s="65">
        <f t="shared" si="28"/>
        <v>0</v>
      </c>
      <c r="AE167" s="64"/>
      <c r="AF167" s="24"/>
      <c r="AG167" s="65">
        <f t="shared" si="29"/>
        <v>0</v>
      </c>
    </row>
    <row r="168" spans="3:33" ht="16" outlineLevel="1" x14ac:dyDescent="0.2">
      <c r="C168" s="17" t="s">
        <v>245</v>
      </c>
      <c r="D168" s="22" t="s">
        <v>246</v>
      </c>
      <c r="E168" s="23" t="s">
        <v>267</v>
      </c>
      <c r="F168" s="63">
        <f t="shared" si="20"/>
        <v>0</v>
      </c>
      <c r="G168" s="331">
        <f t="shared" si="21"/>
        <v>0</v>
      </c>
      <c r="H168" s="398">
        <v>193619</v>
      </c>
      <c r="I168" s="399">
        <f>ROUND(H168*'INDEX ICOCIV'!$R$85,0)</f>
        <v>263322</v>
      </c>
      <c r="J168" s="324"/>
      <c r="K168" s="24"/>
      <c r="L168" s="65">
        <f t="shared" si="22"/>
        <v>0</v>
      </c>
      <c r="M168" s="64"/>
      <c r="N168" s="24">
        <v>1</v>
      </c>
      <c r="O168" s="65">
        <f t="shared" si="23"/>
        <v>-1</v>
      </c>
      <c r="P168" s="64"/>
      <c r="Q168" s="24"/>
      <c r="R168" s="65">
        <f t="shared" si="24"/>
        <v>0</v>
      </c>
      <c r="S168" s="64"/>
      <c r="T168" s="24"/>
      <c r="U168" s="65">
        <f t="shared" si="25"/>
        <v>0</v>
      </c>
      <c r="V168" s="64"/>
      <c r="W168" s="24"/>
      <c r="X168" s="65">
        <f t="shared" si="26"/>
        <v>0</v>
      </c>
      <c r="Y168" s="64"/>
      <c r="Z168" s="24"/>
      <c r="AA168" s="65">
        <f t="shared" si="27"/>
        <v>0</v>
      </c>
      <c r="AB168" s="64"/>
      <c r="AC168" s="24">
        <v>1</v>
      </c>
      <c r="AD168" s="65">
        <f t="shared" si="28"/>
        <v>-1</v>
      </c>
      <c r="AE168" s="64"/>
      <c r="AF168" s="24"/>
      <c r="AG168" s="65">
        <f t="shared" si="29"/>
        <v>0</v>
      </c>
    </row>
    <row r="169" spans="3:33" ht="28" outlineLevel="1" x14ac:dyDescent="0.2">
      <c r="C169" s="17" t="s">
        <v>247</v>
      </c>
      <c r="D169" s="22" t="s">
        <v>248</v>
      </c>
      <c r="E169" s="23" t="s">
        <v>267</v>
      </c>
      <c r="F169" s="63">
        <f t="shared" si="20"/>
        <v>0</v>
      </c>
      <c r="G169" s="331">
        <f t="shared" si="21"/>
        <v>0</v>
      </c>
      <c r="H169" s="398">
        <v>512843</v>
      </c>
      <c r="I169" s="399">
        <f>ROUND(H169*'INDEX ICOCIV'!$R$85,0)</f>
        <v>697466</v>
      </c>
      <c r="J169" s="324"/>
      <c r="K169" s="24"/>
      <c r="L169" s="65">
        <f t="shared" si="22"/>
        <v>0</v>
      </c>
      <c r="M169" s="64"/>
      <c r="N169" s="24"/>
      <c r="O169" s="65">
        <f t="shared" si="23"/>
        <v>0</v>
      </c>
      <c r="P169" s="64"/>
      <c r="Q169" s="24"/>
      <c r="R169" s="65">
        <f t="shared" si="24"/>
        <v>0</v>
      </c>
      <c r="S169" s="64"/>
      <c r="T169" s="24"/>
      <c r="U169" s="65">
        <f t="shared" si="25"/>
        <v>0</v>
      </c>
      <c r="V169" s="64"/>
      <c r="W169" s="24"/>
      <c r="X169" s="65">
        <f t="shared" si="26"/>
        <v>0</v>
      </c>
      <c r="Y169" s="64"/>
      <c r="Z169" s="24"/>
      <c r="AA169" s="65">
        <f t="shared" si="27"/>
        <v>0</v>
      </c>
      <c r="AB169" s="64"/>
      <c r="AC169" s="24"/>
      <c r="AD169" s="65">
        <f t="shared" si="28"/>
        <v>0</v>
      </c>
      <c r="AE169" s="64"/>
      <c r="AF169" s="24"/>
      <c r="AG169" s="65">
        <f t="shared" si="29"/>
        <v>0</v>
      </c>
    </row>
    <row r="170" spans="3:33" ht="16" outlineLevel="1" x14ac:dyDescent="0.2">
      <c r="C170" s="17" t="s">
        <v>249</v>
      </c>
      <c r="D170" s="22" t="s">
        <v>250</v>
      </c>
      <c r="E170" s="23" t="s">
        <v>267</v>
      </c>
      <c r="F170" s="63">
        <f t="shared" si="20"/>
        <v>0</v>
      </c>
      <c r="G170" s="331">
        <f t="shared" si="21"/>
        <v>0</v>
      </c>
      <c r="H170" s="398">
        <v>521079</v>
      </c>
      <c r="I170" s="399">
        <f>ROUND(H170*'INDEX ICOCIV'!$R$85,0)</f>
        <v>708667</v>
      </c>
      <c r="J170" s="324"/>
      <c r="K170" s="24"/>
      <c r="L170" s="65">
        <f t="shared" si="22"/>
        <v>0</v>
      </c>
      <c r="M170" s="64"/>
      <c r="N170" s="24">
        <v>2</v>
      </c>
      <c r="O170" s="65">
        <f t="shared" si="23"/>
        <v>-2</v>
      </c>
      <c r="P170" s="64"/>
      <c r="Q170" s="24"/>
      <c r="R170" s="65">
        <f t="shared" si="24"/>
        <v>0</v>
      </c>
      <c r="S170" s="64"/>
      <c r="T170" s="24"/>
      <c r="U170" s="65">
        <f t="shared" si="25"/>
        <v>0</v>
      </c>
      <c r="V170" s="64"/>
      <c r="W170" s="24">
        <v>1</v>
      </c>
      <c r="X170" s="65">
        <f t="shared" si="26"/>
        <v>-1</v>
      </c>
      <c r="Y170" s="64"/>
      <c r="Z170" s="24">
        <v>3</v>
      </c>
      <c r="AA170" s="65">
        <f t="shared" si="27"/>
        <v>-3</v>
      </c>
      <c r="AB170" s="64"/>
      <c r="AC170" s="24"/>
      <c r="AD170" s="65">
        <f t="shared" si="28"/>
        <v>0</v>
      </c>
      <c r="AE170" s="64"/>
      <c r="AF170" s="24"/>
      <c r="AG170" s="65">
        <f t="shared" si="29"/>
        <v>0</v>
      </c>
    </row>
    <row r="171" spans="3:33" ht="28" outlineLevel="1" x14ac:dyDescent="0.2">
      <c r="C171" s="17" t="s">
        <v>251</v>
      </c>
      <c r="D171" s="22" t="s">
        <v>252</v>
      </c>
      <c r="E171" s="23" t="s">
        <v>171</v>
      </c>
      <c r="F171" s="63">
        <f t="shared" si="20"/>
        <v>0</v>
      </c>
      <c r="G171" s="331">
        <f t="shared" si="21"/>
        <v>0</v>
      </c>
      <c r="H171" s="398">
        <v>86856</v>
      </c>
      <c r="I171" s="399">
        <f>ROUND(H171*'INDEX ICOCIV'!$R$85,0)</f>
        <v>118124</v>
      </c>
      <c r="J171" s="324"/>
      <c r="K171" s="24">
        <v>46.03</v>
      </c>
      <c r="L171" s="65">
        <f t="shared" si="22"/>
        <v>-46.03</v>
      </c>
      <c r="M171" s="64"/>
      <c r="N171" s="24">
        <v>35.449997697338119</v>
      </c>
      <c r="O171" s="65">
        <f t="shared" si="23"/>
        <v>-35.450000000000003</v>
      </c>
      <c r="P171" s="64"/>
      <c r="Q171" s="24"/>
      <c r="R171" s="65">
        <f t="shared" si="24"/>
        <v>0</v>
      </c>
      <c r="S171" s="64"/>
      <c r="T171" s="24">
        <v>46.469996315741</v>
      </c>
      <c r="U171" s="65">
        <f t="shared" si="25"/>
        <v>-46.47</v>
      </c>
      <c r="V171" s="64"/>
      <c r="W171" s="24">
        <v>12</v>
      </c>
      <c r="X171" s="65">
        <f t="shared" si="26"/>
        <v>-12</v>
      </c>
      <c r="Y171" s="64"/>
      <c r="Z171" s="24">
        <v>40.400006907985635</v>
      </c>
      <c r="AA171" s="65">
        <f t="shared" si="27"/>
        <v>-40.4</v>
      </c>
      <c r="AB171" s="64"/>
      <c r="AC171" s="24">
        <v>31.399995394676246</v>
      </c>
      <c r="AD171" s="65">
        <f t="shared" si="28"/>
        <v>-31.4</v>
      </c>
      <c r="AE171" s="64"/>
      <c r="AF171" s="24">
        <v>18</v>
      </c>
      <c r="AG171" s="65">
        <f t="shared" si="29"/>
        <v>-18</v>
      </c>
    </row>
    <row r="172" spans="3:33" ht="28" outlineLevel="1" x14ac:dyDescent="0.2">
      <c r="C172" s="17" t="s">
        <v>253</v>
      </c>
      <c r="D172" s="22" t="s">
        <v>254</v>
      </c>
      <c r="E172" s="23" t="s">
        <v>267</v>
      </c>
      <c r="F172" s="63">
        <f t="shared" si="20"/>
        <v>0</v>
      </c>
      <c r="G172" s="331">
        <f t="shared" si="21"/>
        <v>0</v>
      </c>
      <c r="H172" s="398">
        <v>192632</v>
      </c>
      <c r="I172" s="399">
        <f>ROUND(H172*'INDEX ICOCIV'!$R$85,0)</f>
        <v>261980</v>
      </c>
      <c r="J172" s="324"/>
      <c r="K172" s="24"/>
      <c r="L172" s="65">
        <f t="shared" si="22"/>
        <v>0</v>
      </c>
      <c r="M172" s="64"/>
      <c r="N172" s="24"/>
      <c r="O172" s="65">
        <f t="shared" si="23"/>
        <v>0</v>
      </c>
      <c r="P172" s="64"/>
      <c r="Q172" s="24"/>
      <c r="R172" s="65">
        <f t="shared" si="24"/>
        <v>0</v>
      </c>
      <c r="S172" s="64"/>
      <c r="T172" s="24"/>
      <c r="U172" s="65">
        <f t="shared" si="25"/>
        <v>0</v>
      </c>
      <c r="V172" s="64"/>
      <c r="W172" s="24"/>
      <c r="X172" s="65">
        <f t="shared" si="26"/>
        <v>0</v>
      </c>
      <c r="Y172" s="64"/>
      <c r="Z172" s="24"/>
      <c r="AA172" s="65">
        <f t="shared" si="27"/>
        <v>0</v>
      </c>
      <c r="AB172" s="64"/>
      <c r="AC172" s="24"/>
      <c r="AD172" s="65">
        <f t="shared" si="28"/>
        <v>0</v>
      </c>
      <c r="AE172" s="64"/>
      <c r="AF172" s="24"/>
      <c r="AG172" s="65">
        <f t="shared" si="29"/>
        <v>0</v>
      </c>
    </row>
    <row r="173" spans="3:33" ht="28" outlineLevel="1" x14ac:dyDescent="0.2">
      <c r="C173" s="17" t="s">
        <v>255</v>
      </c>
      <c r="D173" s="22" t="s">
        <v>256</v>
      </c>
      <c r="E173" s="23" t="s">
        <v>267</v>
      </c>
      <c r="F173" s="63">
        <f t="shared" si="20"/>
        <v>0</v>
      </c>
      <c r="G173" s="331">
        <f t="shared" si="21"/>
        <v>0</v>
      </c>
      <c r="H173" s="398">
        <v>151913</v>
      </c>
      <c r="I173" s="399">
        <f>ROUND(H173*'INDEX ICOCIV'!$R$85,0)</f>
        <v>206602</v>
      </c>
      <c r="J173" s="324"/>
      <c r="K173" s="24">
        <v>2</v>
      </c>
      <c r="L173" s="65">
        <f t="shared" si="22"/>
        <v>-2</v>
      </c>
      <c r="M173" s="64"/>
      <c r="N173" s="24"/>
      <c r="O173" s="65">
        <f t="shared" si="23"/>
        <v>0</v>
      </c>
      <c r="P173" s="64"/>
      <c r="Q173" s="24"/>
      <c r="R173" s="65">
        <f t="shared" si="24"/>
        <v>0</v>
      </c>
      <c r="S173" s="64"/>
      <c r="T173" s="24">
        <v>12</v>
      </c>
      <c r="U173" s="65">
        <f t="shared" si="25"/>
        <v>-12</v>
      </c>
      <c r="V173" s="64"/>
      <c r="W173" s="24"/>
      <c r="X173" s="65">
        <f t="shared" si="26"/>
        <v>0</v>
      </c>
      <c r="Y173" s="64"/>
      <c r="Z173" s="24"/>
      <c r="AA173" s="65">
        <f t="shared" si="27"/>
        <v>0</v>
      </c>
      <c r="AB173" s="64"/>
      <c r="AC173" s="24"/>
      <c r="AD173" s="65">
        <f t="shared" si="28"/>
        <v>0</v>
      </c>
      <c r="AE173" s="64"/>
      <c r="AF173" s="24"/>
      <c r="AG173" s="65">
        <f t="shared" si="29"/>
        <v>0</v>
      </c>
    </row>
    <row r="174" spans="3:33" ht="28" outlineLevel="1" x14ac:dyDescent="0.2">
      <c r="C174" s="17" t="s">
        <v>257</v>
      </c>
      <c r="D174" s="22" t="s">
        <v>258</v>
      </c>
      <c r="E174" s="23" t="s">
        <v>267</v>
      </c>
      <c r="F174" s="63">
        <f t="shared" si="20"/>
        <v>0</v>
      </c>
      <c r="G174" s="331">
        <f t="shared" si="21"/>
        <v>0</v>
      </c>
      <c r="H174" s="398">
        <v>143947</v>
      </c>
      <c r="I174" s="399">
        <f>ROUND(H174*'INDEX ICOCIV'!$R$85,0)</f>
        <v>195768</v>
      </c>
      <c r="J174" s="324"/>
      <c r="K174" s="24"/>
      <c r="L174" s="65">
        <f t="shared" si="22"/>
        <v>0</v>
      </c>
      <c r="M174" s="64"/>
      <c r="N174" s="24"/>
      <c r="O174" s="65">
        <f t="shared" si="23"/>
        <v>0</v>
      </c>
      <c r="P174" s="64"/>
      <c r="Q174" s="24"/>
      <c r="R174" s="65">
        <f t="shared" si="24"/>
        <v>0</v>
      </c>
      <c r="S174" s="64"/>
      <c r="T174" s="24"/>
      <c r="U174" s="65">
        <f t="shared" si="25"/>
        <v>0</v>
      </c>
      <c r="V174" s="64"/>
      <c r="W174" s="24"/>
      <c r="X174" s="65">
        <f t="shared" si="26"/>
        <v>0</v>
      </c>
      <c r="Y174" s="64"/>
      <c r="Z174" s="24"/>
      <c r="AA174" s="65">
        <f t="shared" si="27"/>
        <v>0</v>
      </c>
      <c r="AB174" s="64"/>
      <c r="AC174" s="24"/>
      <c r="AD174" s="65">
        <f t="shared" si="28"/>
        <v>0</v>
      </c>
      <c r="AE174" s="64"/>
      <c r="AF174" s="24"/>
      <c r="AG174" s="65">
        <f t="shared" si="29"/>
        <v>0</v>
      </c>
    </row>
    <row r="175" spans="3:33" ht="28" outlineLevel="1" x14ac:dyDescent="0.2">
      <c r="C175" s="17" t="s">
        <v>259</v>
      </c>
      <c r="D175" s="22" t="s">
        <v>260</v>
      </c>
      <c r="E175" s="23" t="s">
        <v>267</v>
      </c>
      <c r="F175" s="63">
        <f t="shared" si="20"/>
        <v>0</v>
      </c>
      <c r="G175" s="331">
        <f t="shared" si="21"/>
        <v>0</v>
      </c>
      <c r="H175" s="398">
        <v>327496</v>
      </c>
      <c r="I175" s="399">
        <f>ROUND(H175*'INDEX ICOCIV'!$R$85,0)</f>
        <v>445395</v>
      </c>
      <c r="J175" s="324"/>
      <c r="K175" s="24">
        <v>3</v>
      </c>
      <c r="L175" s="65">
        <f t="shared" si="22"/>
        <v>-3</v>
      </c>
      <c r="M175" s="64"/>
      <c r="N175" s="24"/>
      <c r="O175" s="65">
        <f t="shared" si="23"/>
        <v>0</v>
      </c>
      <c r="P175" s="64"/>
      <c r="Q175" s="24"/>
      <c r="R175" s="65">
        <f t="shared" si="24"/>
        <v>0</v>
      </c>
      <c r="S175" s="64"/>
      <c r="T175" s="24"/>
      <c r="U175" s="65">
        <f t="shared" si="25"/>
        <v>0</v>
      </c>
      <c r="V175" s="64"/>
      <c r="W175" s="24"/>
      <c r="X175" s="65">
        <f t="shared" si="26"/>
        <v>0</v>
      </c>
      <c r="Y175" s="64"/>
      <c r="Z175" s="24"/>
      <c r="AA175" s="65">
        <f t="shared" si="27"/>
        <v>0</v>
      </c>
      <c r="AB175" s="64"/>
      <c r="AC175" s="24"/>
      <c r="AD175" s="65">
        <f t="shared" si="28"/>
        <v>0</v>
      </c>
      <c r="AE175" s="64"/>
      <c r="AF175" s="24"/>
      <c r="AG175" s="65">
        <f t="shared" si="29"/>
        <v>0</v>
      </c>
    </row>
    <row r="176" spans="3:33" ht="28" outlineLevel="1" x14ac:dyDescent="0.2">
      <c r="C176" s="17" t="s">
        <v>261</v>
      </c>
      <c r="D176" s="22" t="s">
        <v>262</v>
      </c>
      <c r="E176" s="23" t="s">
        <v>267</v>
      </c>
      <c r="F176" s="63">
        <f t="shared" si="20"/>
        <v>0</v>
      </c>
      <c r="G176" s="331">
        <f t="shared" si="21"/>
        <v>0</v>
      </c>
      <c r="H176" s="398">
        <v>31207</v>
      </c>
      <c r="I176" s="399">
        <f>ROUND(H176*'INDEX ICOCIV'!$R$85,0)</f>
        <v>42442</v>
      </c>
      <c r="J176" s="324"/>
      <c r="K176" s="24"/>
      <c r="L176" s="65">
        <f t="shared" si="22"/>
        <v>0</v>
      </c>
      <c r="M176" s="64"/>
      <c r="N176" s="24"/>
      <c r="O176" s="65">
        <f t="shared" si="23"/>
        <v>0</v>
      </c>
      <c r="P176" s="64"/>
      <c r="Q176" s="24"/>
      <c r="R176" s="65">
        <f t="shared" si="24"/>
        <v>0</v>
      </c>
      <c r="S176" s="64"/>
      <c r="T176" s="24"/>
      <c r="U176" s="65">
        <f t="shared" si="25"/>
        <v>0</v>
      </c>
      <c r="V176" s="64"/>
      <c r="W176" s="24"/>
      <c r="X176" s="65">
        <f t="shared" si="26"/>
        <v>0</v>
      </c>
      <c r="Y176" s="64"/>
      <c r="Z176" s="24"/>
      <c r="AA176" s="65">
        <f t="shared" si="27"/>
        <v>0</v>
      </c>
      <c r="AB176" s="64"/>
      <c r="AC176" s="24"/>
      <c r="AD176" s="65">
        <f t="shared" si="28"/>
        <v>0</v>
      </c>
      <c r="AE176" s="64"/>
      <c r="AF176" s="24"/>
      <c r="AG176" s="65">
        <f t="shared" si="29"/>
        <v>0</v>
      </c>
    </row>
    <row r="177" spans="3:33" ht="42" outlineLevel="1" x14ac:dyDescent="0.2">
      <c r="C177" s="17" t="s">
        <v>263</v>
      </c>
      <c r="D177" s="22" t="s">
        <v>264</v>
      </c>
      <c r="E177" s="23" t="s">
        <v>183</v>
      </c>
      <c r="F177" s="63">
        <f t="shared" si="20"/>
        <v>0</v>
      </c>
      <c r="G177" s="331">
        <f t="shared" si="21"/>
        <v>0</v>
      </c>
      <c r="H177" s="398">
        <v>173937.3</v>
      </c>
      <c r="I177" s="399">
        <f>ROUND(H177*'INDEX ICOCIV'!$R$85,0)</f>
        <v>236555</v>
      </c>
      <c r="J177" s="324"/>
      <c r="K177" s="24"/>
      <c r="L177" s="65">
        <f t="shared" si="22"/>
        <v>0</v>
      </c>
      <c r="M177" s="64"/>
      <c r="N177" s="24">
        <v>8.1899972001405104</v>
      </c>
      <c r="O177" s="65">
        <f t="shared" si="23"/>
        <v>-8.19</v>
      </c>
      <c r="P177" s="64"/>
      <c r="Q177" s="24"/>
      <c r="R177" s="65">
        <f t="shared" si="24"/>
        <v>0</v>
      </c>
      <c r="S177" s="64"/>
      <c r="T177" s="24"/>
      <c r="U177" s="65">
        <f t="shared" si="25"/>
        <v>0</v>
      </c>
      <c r="V177" s="64"/>
      <c r="W177" s="24">
        <v>17.130000293209108</v>
      </c>
      <c r="X177" s="65">
        <f t="shared" si="26"/>
        <v>-17.13</v>
      </c>
      <c r="Y177" s="64"/>
      <c r="Z177" s="24"/>
      <c r="AA177" s="65">
        <f t="shared" si="27"/>
        <v>0</v>
      </c>
      <c r="AB177" s="64"/>
      <c r="AC177" s="24">
        <v>28.291200334833302</v>
      </c>
      <c r="AD177" s="65">
        <f t="shared" si="28"/>
        <v>-28.29</v>
      </c>
      <c r="AE177" s="64"/>
      <c r="AF177" s="24"/>
      <c r="AG177" s="65">
        <f t="shared" si="29"/>
        <v>0</v>
      </c>
    </row>
    <row r="178" spans="3:33" ht="98" outlineLevel="1" x14ac:dyDescent="0.2">
      <c r="C178" s="17" t="s">
        <v>265</v>
      </c>
      <c r="D178" s="22" t="s">
        <v>266</v>
      </c>
      <c r="E178" s="23" t="s">
        <v>267</v>
      </c>
      <c r="F178" s="63">
        <f t="shared" si="20"/>
        <v>0</v>
      </c>
      <c r="G178" s="331">
        <f t="shared" si="21"/>
        <v>0</v>
      </c>
      <c r="H178" s="398">
        <v>443202.7</v>
      </c>
      <c r="I178" s="399">
        <f>ROUND(H178*'INDEX ICOCIV'!$R$85,0)</f>
        <v>602756</v>
      </c>
      <c r="J178" s="324"/>
      <c r="K178" s="24">
        <v>8.0000009025215775</v>
      </c>
      <c r="L178" s="65">
        <f t="shared" si="22"/>
        <v>-8</v>
      </c>
      <c r="M178" s="64"/>
      <c r="N178" s="24">
        <v>5.0000011281519718</v>
      </c>
      <c r="O178" s="65">
        <f t="shared" si="23"/>
        <v>-5</v>
      </c>
      <c r="P178" s="64"/>
      <c r="Q178" s="24"/>
      <c r="R178" s="65">
        <f t="shared" si="24"/>
        <v>0</v>
      </c>
      <c r="S178" s="64"/>
      <c r="T178" s="24">
        <v>10</v>
      </c>
      <c r="U178" s="65">
        <f t="shared" si="25"/>
        <v>-10</v>
      </c>
      <c r="V178" s="64"/>
      <c r="W178" s="24">
        <v>1.0000006768911831</v>
      </c>
      <c r="X178" s="65">
        <f t="shared" si="26"/>
        <v>-1</v>
      </c>
      <c r="Y178" s="64"/>
      <c r="Z178" s="24">
        <v>5.9999995487392113</v>
      </c>
      <c r="AA178" s="65">
        <f t="shared" si="27"/>
        <v>-6</v>
      </c>
      <c r="AB178" s="64"/>
      <c r="AC178" s="24">
        <v>1.0000006768911831</v>
      </c>
      <c r="AD178" s="65">
        <f t="shared" si="28"/>
        <v>-1</v>
      </c>
      <c r="AE178" s="64"/>
      <c r="AF178" s="24"/>
      <c r="AG178" s="65">
        <f t="shared" si="29"/>
        <v>0</v>
      </c>
    </row>
    <row r="179" spans="3:33" ht="16" outlineLevel="1" x14ac:dyDescent="0.2">
      <c r="C179" s="17" t="s">
        <v>268</v>
      </c>
      <c r="D179" s="22" t="s">
        <v>269</v>
      </c>
      <c r="E179" s="23" t="s">
        <v>171</v>
      </c>
      <c r="F179" s="63">
        <f t="shared" si="20"/>
        <v>0</v>
      </c>
      <c r="G179" s="331">
        <f t="shared" si="21"/>
        <v>0</v>
      </c>
      <c r="H179" s="398">
        <v>149796.39000000001</v>
      </c>
      <c r="I179" s="399">
        <f>ROUND(H179*'INDEX ICOCIV'!$R$85,0)</f>
        <v>203723</v>
      </c>
      <c r="J179" s="324"/>
      <c r="K179" s="24"/>
      <c r="L179" s="65">
        <f t="shared" si="22"/>
        <v>0</v>
      </c>
      <c r="M179" s="64"/>
      <c r="N179" s="24">
        <v>5.0000003337864145</v>
      </c>
      <c r="O179" s="65">
        <f t="shared" si="23"/>
        <v>-5</v>
      </c>
      <c r="P179" s="64"/>
      <c r="Q179" s="24"/>
      <c r="R179" s="65">
        <f t="shared" si="24"/>
        <v>0</v>
      </c>
      <c r="S179" s="64"/>
      <c r="T179" s="24"/>
      <c r="U179" s="65">
        <f t="shared" si="25"/>
        <v>0</v>
      </c>
      <c r="V179" s="64"/>
      <c r="W179" s="24">
        <v>8.7999984512310334</v>
      </c>
      <c r="X179" s="65">
        <f t="shared" si="26"/>
        <v>-8.8000000000000007</v>
      </c>
      <c r="Y179" s="64"/>
      <c r="Z179" s="24"/>
      <c r="AA179" s="65">
        <f t="shared" si="27"/>
        <v>0</v>
      </c>
      <c r="AB179" s="64"/>
      <c r="AC179" s="24"/>
      <c r="AD179" s="65">
        <f t="shared" si="28"/>
        <v>0</v>
      </c>
      <c r="AE179" s="64"/>
      <c r="AF179" s="24"/>
      <c r="AG179" s="65">
        <f t="shared" si="29"/>
        <v>0</v>
      </c>
    </row>
    <row r="180" spans="3:33" ht="28" outlineLevel="1" x14ac:dyDescent="0.2">
      <c r="C180" s="17" t="s">
        <v>270</v>
      </c>
      <c r="D180" s="22" t="s">
        <v>271</v>
      </c>
      <c r="E180" s="23" t="s">
        <v>267</v>
      </c>
      <c r="F180" s="63">
        <f t="shared" si="20"/>
        <v>0</v>
      </c>
      <c r="G180" s="331">
        <f t="shared" si="21"/>
        <v>0</v>
      </c>
      <c r="H180" s="398">
        <v>89517.9</v>
      </c>
      <c r="I180" s="399">
        <f>ROUND(H180*'INDEX ICOCIV'!$R$85,0)</f>
        <v>121744</v>
      </c>
      <c r="J180" s="324"/>
      <c r="K180" s="24">
        <v>2.0000022341900334</v>
      </c>
      <c r="L180" s="65">
        <f t="shared" si="22"/>
        <v>-2</v>
      </c>
      <c r="M180" s="64"/>
      <c r="N180" s="24"/>
      <c r="O180" s="65">
        <f t="shared" si="23"/>
        <v>0</v>
      </c>
      <c r="P180" s="64"/>
      <c r="Q180" s="24"/>
      <c r="R180" s="65">
        <f t="shared" si="24"/>
        <v>0</v>
      </c>
      <c r="S180" s="64"/>
      <c r="T180" s="24"/>
      <c r="U180" s="65">
        <f t="shared" si="25"/>
        <v>0</v>
      </c>
      <c r="V180" s="64"/>
      <c r="W180" s="24"/>
      <c r="X180" s="65">
        <f t="shared" si="26"/>
        <v>0</v>
      </c>
      <c r="Y180" s="64"/>
      <c r="Z180" s="24"/>
      <c r="AA180" s="65">
        <f t="shared" si="27"/>
        <v>0</v>
      </c>
      <c r="AB180" s="64"/>
      <c r="AC180" s="24"/>
      <c r="AD180" s="65">
        <f t="shared" si="28"/>
        <v>0</v>
      </c>
      <c r="AE180" s="64"/>
      <c r="AF180" s="24"/>
      <c r="AG180" s="65">
        <f t="shared" si="29"/>
        <v>0</v>
      </c>
    </row>
    <row r="181" spans="3:33" ht="16" outlineLevel="1" x14ac:dyDescent="0.2">
      <c r="C181" s="17" t="s">
        <v>272</v>
      </c>
      <c r="D181" s="22" t="s">
        <v>273</v>
      </c>
      <c r="E181" s="23" t="s">
        <v>267</v>
      </c>
      <c r="F181" s="63">
        <f t="shared" si="20"/>
        <v>0</v>
      </c>
      <c r="G181" s="331">
        <f t="shared" si="21"/>
        <v>0</v>
      </c>
      <c r="H181" s="398">
        <v>84038.9</v>
      </c>
      <c r="I181" s="399">
        <f>ROUND(H181*'INDEX ICOCIV'!$R$85,0)</f>
        <v>114293</v>
      </c>
      <c r="J181" s="324"/>
      <c r="K181" s="24"/>
      <c r="L181" s="65">
        <f t="shared" si="22"/>
        <v>0</v>
      </c>
      <c r="M181" s="64"/>
      <c r="N181" s="24">
        <v>2.000002379850284</v>
      </c>
      <c r="O181" s="65">
        <f t="shared" si="23"/>
        <v>-2</v>
      </c>
      <c r="P181" s="64"/>
      <c r="Q181" s="24"/>
      <c r="R181" s="65">
        <f t="shared" si="24"/>
        <v>0</v>
      </c>
      <c r="S181" s="64"/>
      <c r="T181" s="24"/>
      <c r="U181" s="65">
        <f t="shared" si="25"/>
        <v>0</v>
      </c>
      <c r="V181" s="64"/>
      <c r="W181" s="24"/>
      <c r="X181" s="65">
        <f t="shared" si="26"/>
        <v>0</v>
      </c>
      <c r="Y181" s="64"/>
      <c r="Z181" s="24">
        <v>2.000002379850284</v>
      </c>
      <c r="AA181" s="65">
        <f t="shared" si="27"/>
        <v>-2</v>
      </c>
      <c r="AB181" s="64"/>
      <c r="AC181" s="24"/>
      <c r="AD181" s="65">
        <f t="shared" si="28"/>
        <v>0</v>
      </c>
      <c r="AE181" s="64"/>
      <c r="AF181" s="24"/>
      <c r="AG181" s="65">
        <f t="shared" si="29"/>
        <v>0</v>
      </c>
    </row>
    <row r="182" spans="3:33" ht="16" outlineLevel="1" x14ac:dyDescent="0.2">
      <c r="C182" s="17" t="s">
        <v>274</v>
      </c>
      <c r="D182" s="22" t="s">
        <v>275</v>
      </c>
      <c r="E182" s="23" t="s">
        <v>267</v>
      </c>
      <c r="F182" s="63">
        <f t="shared" si="20"/>
        <v>0</v>
      </c>
      <c r="G182" s="331">
        <f t="shared" si="21"/>
        <v>0</v>
      </c>
      <c r="H182" s="398">
        <v>58334.9</v>
      </c>
      <c r="I182" s="399">
        <f>ROUND(H182*'INDEX ICOCIV'!$R$85,0)</f>
        <v>79335</v>
      </c>
      <c r="J182" s="324"/>
      <c r="K182" s="24"/>
      <c r="L182" s="65">
        <f t="shared" si="22"/>
        <v>0</v>
      </c>
      <c r="M182" s="64"/>
      <c r="N182" s="24"/>
      <c r="O182" s="65">
        <f t="shared" si="23"/>
        <v>0</v>
      </c>
      <c r="P182" s="64"/>
      <c r="Q182" s="24"/>
      <c r="R182" s="65">
        <f t="shared" si="24"/>
        <v>0</v>
      </c>
      <c r="S182" s="64"/>
      <c r="T182" s="24"/>
      <c r="U182" s="65">
        <f t="shared" si="25"/>
        <v>0</v>
      </c>
      <c r="V182" s="64"/>
      <c r="W182" s="24"/>
      <c r="X182" s="65">
        <f t="shared" si="26"/>
        <v>0</v>
      </c>
      <c r="Y182" s="64"/>
      <c r="Z182" s="24"/>
      <c r="AA182" s="65">
        <f t="shared" si="27"/>
        <v>0</v>
      </c>
      <c r="AB182" s="64"/>
      <c r="AC182" s="24"/>
      <c r="AD182" s="65">
        <f t="shared" si="28"/>
        <v>0</v>
      </c>
      <c r="AE182" s="64"/>
      <c r="AF182" s="24"/>
      <c r="AG182" s="65">
        <f t="shared" si="29"/>
        <v>0</v>
      </c>
    </row>
    <row r="183" spans="3:33" ht="28" outlineLevel="1" x14ac:dyDescent="0.2">
      <c r="C183" s="17" t="s">
        <v>276</v>
      </c>
      <c r="D183" s="22" t="s">
        <v>277</v>
      </c>
      <c r="E183" s="23" t="s">
        <v>267</v>
      </c>
      <c r="F183" s="63">
        <f t="shared" si="20"/>
        <v>0</v>
      </c>
      <c r="G183" s="331">
        <f t="shared" si="21"/>
        <v>0</v>
      </c>
      <c r="H183" s="398">
        <v>114657</v>
      </c>
      <c r="I183" s="399">
        <f>ROUND(H183*'INDEX ICOCIV'!$R$85,0)</f>
        <v>155934</v>
      </c>
      <c r="J183" s="324"/>
      <c r="K183" s="24">
        <v>2</v>
      </c>
      <c r="L183" s="65">
        <f t="shared" si="22"/>
        <v>-2</v>
      </c>
      <c r="M183" s="64"/>
      <c r="N183" s="24">
        <v>2</v>
      </c>
      <c r="O183" s="65">
        <f t="shared" si="23"/>
        <v>-2</v>
      </c>
      <c r="P183" s="64"/>
      <c r="Q183" s="24"/>
      <c r="R183" s="65">
        <f t="shared" si="24"/>
        <v>0</v>
      </c>
      <c r="S183" s="64"/>
      <c r="T183" s="24">
        <v>1</v>
      </c>
      <c r="U183" s="65">
        <f t="shared" si="25"/>
        <v>-1</v>
      </c>
      <c r="V183" s="64"/>
      <c r="W183" s="24"/>
      <c r="X183" s="65">
        <f t="shared" si="26"/>
        <v>0</v>
      </c>
      <c r="Y183" s="64"/>
      <c r="Z183" s="24">
        <v>3</v>
      </c>
      <c r="AA183" s="65">
        <f t="shared" si="27"/>
        <v>-3</v>
      </c>
      <c r="AB183" s="64"/>
      <c r="AC183" s="24"/>
      <c r="AD183" s="65">
        <f t="shared" si="28"/>
        <v>0</v>
      </c>
      <c r="AE183" s="64"/>
      <c r="AF183" s="24"/>
      <c r="AG183" s="65">
        <f t="shared" si="29"/>
        <v>0</v>
      </c>
    </row>
    <row r="184" spans="3:33" ht="70" outlineLevel="1" x14ac:dyDescent="0.2">
      <c r="C184" s="17" t="s">
        <v>278</v>
      </c>
      <c r="D184" s="22" t="s">
        <v>689</v>
      </c>
      <c r="E184" s="23" t="s">
        <v>183</v>
      </c>
      <c r="F184" s="63">
        <f t="shared" si="20"/>
        <v>0</v>
      </c>
      <c r="G184" s="331">
        <f t="shared" si="21"/>
        <v>0</v>
      </c>
      <c r="H184" s="398">
        <v>1089924.55</v>
      </c>
      <c r="I184" s="399">
        <f>ROUND(H184*'INDEX ICOCIV'!$R$85,0)</f>
        <v>1482297</v>
      </c>
      <c r="J184" s="324"/>
      <c r="K184" s="24"/>
      <c r="L184" s="65">
        <f t="shared" si="22"/>
        <v>0</v>
      </c>
      <c r="M184" s="64"/>
      <c r="N184" s="24">
        <v>10.661887559097554</v>
      </c>
      <c r="O184" s="65">
        <f t="shared" si="23"/>
        <v>-10.66</v>
      </c>
      <c r="P184" s="64"/>
      <c r="Q184" s="24"/>
      <c r="R184" s="65">
        <f t="shared" si="24"/>
        <v>0</v>
      </c>
      <c r="S184" s="64"/>
      <c r="T184" s="24"/>
      <c r="U184" s="65">
        <f t="shared" si="25"/>
        <v>0</v>
      </c>
      <c r="V184" s="64"/>
      <c r="W184" s="24">
        <v>9.2999997109891677</v>
      </c>
      <c r="X184" s="65">
        <f t="shared" si="26"/>
        <v>-9.3000000000000007</v>
      </c>
      <c r="Y184" s="64"/>
      <c r="Z184" s="24">
        <v>18.573868255376023</v>
      </c>
      <c r="AA184" s="65">
        <f t="shared" si="27"/>
        <v>-18.57</v>
      </c>
      <c r="AB184" s="64"/>
      <c r="AC184" s="24">
        <v>15.090180324867442</v>
      </c>
      <c r="AD184" s="65">
        <f t="shared" si="28"/>
        <v>-15.09</v>
      </c>
      <c r="AE184" s="64"/>
      <c r="AF184" s="24"/>
      <c r="AG184" s="65">
        <f t="shared" si="29"/>
        <v>0</v>
      </c>
    </row>
    <row r="185" spans="3:33" ht="22.5" customHeight="1" outlineLevel="1" thickBot="1" x14ac:dyDescent="0.25">
      <c r="C185" s="327" t="s">
        <v>279</v>
      </c>
      <c r="D185" s="68" t="s">
        <v>280</v>
      </c>
      <c r="E185" s="69" t="s">
        <v>183</v>
      </c>
      <c r="F185" s="72">
        <f t="shared" si="20"/>
        <v>0</v>
      </c>
      <c r="G185" s="332">
        <f t="shared" si="21"/>
        <v>0</v>
      </c>
      <c r="H185" s="401">
        <v>792704</v>
      </c>
      <c r="I185" s="399">
        <f>ROUND(H185*'INDEX ICOCIV'!$R$85,0)</f>
        <v>1078077</v>
      </c>
      <c r="J185" s="326"/>
      <c r="K185" s="71"/>
      <c r="L185" s="73">
        <f t="shared" si="22"/>
        <v>0</v>
      </c>
      <c r="M185" s="70"/>
      <c r="N185" s="71">
        <v>6.3646405215565958</v>
      </c>
      <c r="O185" s="73">
        <f t="shared" si="23"/>
        <v>-6.36</v>
      </c>
      <c r="P185" s="70"/>
      <c r="Q185" s="71"/>
      <c r="R185" s="73">
        <f t="shared" si="24"/>
        <v>0</v>
      </c>
      <c r="S185" s="70"/>
      <c r="T185" s="71">
        <v>15.162300177619894</v>
      </c>
      <c r="U185" s="73">
        <f t="shared" si="25"/>
        <v>-15.16</v>
      </c>
      <c r="V185" s="70"/>
      <c r="W185" s="71"/>
      <c r="X185" s="73">
        <f t="shared" si="26"/>
        <v>0</v>
      </c>
      <c r="Y185" s="70"/>
      <c r="Z185" s="71"/>
      <c r="AA185" s="73">
        <f t="shared" si="27"/>
        <v>0</v>
      </c>
      <c r="AB185" s="70"/>
      <c r="AC185" s="71"/>
      <c r="AD185" s="73">
        <f t="shared" si="28"/>
        <v>0</v>
      </c>
      <c r="AE185" s="70"/>
      <c r="AF185" s="71">
        <v>9.264774745680608</v>
      </c>
      <c r="AG185" s="73">
        <f t="shared" si="29"/>
        <v>-9.26</v>
      </c>
    </row>
    <row r="186" spans="3:33" ht="8" customHeight="1" x14ac:dyDescent="0.2">
      <c r="J186" s="35"/>
      <c r="K186" s="35"/>
      <c r="L186" s="35"/>
      <c r="M186" s="35"/>
      <c r="N186" s="35"/>
      <c r="O186" s="35"/>
      <c r="P186" s="35"/>
      <c r="Q186" s="35"/>
      <c r="R186" s="35"/>
      <c r="S186" s="35"/>
      <c r="T186" s="35"/>
      <c r="U186" s="35"/>
      <c r="V186" s="35"/>
      <c r="W186" s="35"/>
      <c r="X186" s="35"/>
      <c r="Y186" s="35"/>
      <c r="Z186" s="35"/>
      <c r="AA186" s="35"/>
      <c r="AB186" s="35"/>
      <c r="AC186" s="35"/>
      <c r="AD186" s="35"/>
      <c r="AE186" s="35"/>
      <c r="AF186" s="35"/>
      <c r="AG186" s="35"/>
    </row>
    <row r="187" spans="3:33" ht="8" customHeight="1" x14ac:dyDescent="0.2">
      <c r="J187" s="35"/>
      <c r="K187" s="35"/>
      <c r="L187" s="35"/>
      <c r="M187" s="35"/>
      <c r="N187" s="35"/>
      <c r="O187" s="35"/>
      <c r="P187" s="35"/>
      <c r="Q187" s="35"/>
      <c r="R187" s="35"/>
      <c r="S187" s="35"/>
      <c r="T187" s="35"/>
      <c r="U187" s="35"/>
      <c r="V187" s="35"/>
      <c r="W187" s="35"/>
      <c r="X187" s="35"/>
      <c r="Y187" s="35"/>
      <c r="Z187" s="35"/>
      <c r="AA187" s="35"/>
      <c r="AB187" s="35"/>
      <c r="AC187" s="35"/>
      <c r="AD187" s="35"/>
      <c r="AE187" s="35"/>
      <c r="AF187" s="35"/>
      <c r="AG187" s="35"/>
    </row>
  </sheetData>
  <mergeCells count="18">
    <mergeCell ref="I6:I7"/>
    <mergeCell ref="AB6:AD6"/>
    <mergeCell ref="C2:AG2"/>
    <mergeCell ref="C3:AG3"/>
    <mergeCell ref="C4:AG4"/>
    <mergeCell ref="C6:C7"/>
    <mergeCell ref="D6:D7"/>
    <mergeCell ref="E6:E7"/>
    <mergeCell ref="F6:F7"/>
    <mergeCell ref="G6:G7"/>
    <mergeCell ref="H6:H7"/>
    <mergeCell ref="J6:L6"/>
    <mergeCell ref="AE6:AG6"/>
    <mergeCell ref="M6:O6"/>
    <mergeCell ref="P6:R6"/>
    <mergeCell ref="S6:U6"/>
    <mergeCell ref="V6:X6"/>
    <mergeCell ref="Y6:AA6"/>
  </mergeCells>
  <printOptions horizontalCentered="1"/>
  <pageMargins left="0.39370078740157483" right="0.39370078740157483" top="0.39370078740157483" bottom="0.39370078740157483" header="0.31496062992125984" footer="0.31496062992125984"/>
  <pageSetup scale="13" fitToHeight="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84E93-3D51-E84F-9F83-24328BAF8BF0}">
  <dimension ref="A1:M30"/>
  <sheetViews>
    <sheetView topLeftCell="A16" zoomScale="50" workbookViewId="0">
      <selection activeCell="I42" sqref="I42"/>
    </sheetView>
  </sheetViews>
  <sheetFormatPr baseColWidth="10" defaultRowHeight="15" x14ac:dyDescent="0.2"/>
  <cols>
    <col min="1" max="1" width="30.33203125" bestFit="1" customWidth="1"/>
    <col min="2" max="2" width="19" bestFit="1" customWidth="1"/>
    <col min="3" max="3" width="17.5" bestFit="1" customWidth="1"/>
    <col min="4" max="4" width="25.1640625" bestFit="1" customWidth="1"/>
    <col min="5" max="5" width="30.33203125" bestFit="1" customWidth="1"/>
    <col min="6" max="6" width="22.33203125" bestFit="1" customWidth="1"/>
    <col min="7" max="7" width="20.6640625" bestFit="1" customWidth="1"/>
    <col min="8" max="8" width="28.5" bestFit="1" customWidth="1"/>
    <col min="9" max="9" width="15.83203125" bestFit="1" customWidth="1"/>
    <col min="10" max="10" width="15.1640625" bestFit="1" customWidth="1"/>
    <col min="11" max="11" width="16.6640625" bestFit="1" customWidth="1"/>
    <col min="12" max="12" width="18.1640625" bestFit="1" customWidth="1"/>
    <col min="13" max="13" width="17.5" customWidth="1"/>
  </cols>
  <sheetData>
    <row r="1" spans="1:13" ht="24" x14ac:dyDescent="0.3">
      <c r="A1" s="591" t="s">
        <v>693</v>
      </c>
      <c r="B1" s="591"/>
      <c r="C1" s="591"/>
      <c r="D1" s="591"/>
      <c r="E1" s="591"/>
      <c r="F1" s="591"/>
      <c r="G1" s="591"/>
      <c r="H1" s="591"/>
      <c r="I1" s="591"/>
      <c r="J1" s="591"/>
      <c r="K1" s="591"/>
      <c r="L1" s="591"/>
    </row>
    <row r="2" spans="1:13" x14ac:dyDescent="0.2">
      <c r="A2" s="592" t="s">
        <v>694</v>
      </c>
      <c r="B2" s="592"/>
      <c r="C2" s="592"/>
      <c r="D2" s="592"/>
      <c r="E2" s="592"/>
      <c r="F2" s="592"/>
      <c r="G2" s="592"/>
      <c r="H2" s="592"/>
      <c r="I2" s="592"/>
      <c r="J2" s="592"/>
      <c r="K2" s="592"/>
      <c r="L2" s="592"/>
    </row>
    <row r="4" spans="1:13" x14ac:dyDescent="0.2">
      <c r="A4" s="593" t="s">
        <v>695</v>
      </c>
      <c r="B4" s="593"/>
      <c r="C4" s="593"/>
      <c r="D4" s="593"/>
      <c r="E4" s="593"/>
      <c r="F4" s="593"/>
      <c r="G4" s="593"/>
      <c r="H4" s="593"/>
      <c r="I4" s="593"/>
      <c r="J4" s="593"/>
      <c r="K4" s="593"/>
      <c r="L4" s="593"/>
    </row>
    <row r="5" spans="1:13" ht="28" customHeight="1" x14ac:dyDescent="0.2">
      <c r="A5" s="594" t="s">
        <v>696</v>
      </c>
      <c r="B5" s="594"/>
      <c r="C5" s="594"/>
      <c r="D5" s="594"/>
      <c r="E5" s="594"/>
      <c r="F5" s="594"/>
      <c r="G5" s="594"/>
      <c r="H5" s="594"/>
      <c r="I5" s="594"/>
      <c r="J5" s="594"/>
      <c r="K5" s="594"/>
      <c r="L5" s="594"/>
    </row>
    <row r="6" spans="1:13" ht="28" customHeight="1" x14ac:dyDescent="0.2">
      <c r="A6" s="594"/>
      <c r="B6" s="594"/>
      <c r="C6" s="594"/>
      <c r="D6" s="594"/>
      <c r="E6" s="594"/>
      <c r="F6" s="594"/>
      <c r="G6" s="594"/>
      <c r="H6" s="594"/>
      <c r="I6" s="594"/>
      <c r="J6" s="594"/>
      <c r="K6" s="594"/>
      <c r="L6" s="594"/>
    </row>
    <row r="8" spans="1:13" s="430" customFormat="1" ht="37" customHeight="1" x14ac:dyDescent="0.2">
      <c r="A8" s="428" t="s">
        <v>697</v>
      </c>
      <c r="B8" s="428" t="s">
        <v>698</v>
      </c>
      <c r="C8" s="428" t="s">
        <v>699</v>
      </c>
      <c r="D8" s="428" t="s">
        <v>700</v>
      </c>
      <c r="E8" s="428" t="s">
        <v>701</v>
      </c>
      <c r="F8" s="428" t="s">
        <v>702</v>
      </c>
      <c r="G8" s="428" t="s">
        <v>703</v>
      </c>
      <c r="H8" s="428" t="s">
        <v>704</v>
      </c>
      <c r="I8" s="428" t="s">
        <v>705</v>
      </c>
      <c r="J8" s="428" t="s">
        <v>706</v>
      </c>
      <c r="K8" s="428" t="s">
        <v>707</v>
      </c>
      <c r="L8" s="428" t="s">
        <v>708</v>
      </c>
      <c r="M8" s="429" t="s">
        <v>709</v>
      </c>
    </row>
    <row r="9" spans="1:13" ht="16" x14ac:dyDescent="0.2">
      <c r="A9" s="314" t="str">
        <f>'[2]VALORES INDEXADOS OBRA ALPES'!D13</f>
        <v xml:space="preserve">REPLANTEO GENERAL </v>
      </c>
      <c r="B9" s="412" t="str">
        <f>'[2]VALORES INDEXADOS OBRA ALPES'!C13</f>
        <v>1.1</v>
      </c>
      <c r="C9" s="412" t="str">
        <f>'[2]VALORES INDEXADOS OBRA ALPES'!E13</f>
        <v>M2</v>
      </c>
      <c r="D9" s="413">
        <f>'VALORES INDEXADOS OBRA ALPES'!H13</f>
        <v>877.66199200000005</v>
      </c>
      <c r="E9" s="314" t="str">
        <f>'[2]VALORES INDEXADOS OBRA CARACOLÍ'!D13</f>
        <v>REPLANTEO GENERAL</v>
      </c>
      <c r="F9" s="412" t="str">
        <f>'[2]VALORES INDEXADOS OBRA CARACOLÍ'!C13</f>
        <v>1.1</v>
      </c>
      <c r="G9" s="412" t="str">
        <f>'[2]VALORES INDEXADOS OBRA CARACOLÍ'!E13</f>
        <v>M2</v>
      </c>
      <c r="H9" s="413">
        <f>'VALORES INDEXADOS OBRA CARACOLÍ'!H13</f>
        <v>824</v>
      </c>
      <c r="I9" s="414">
        <v>1</v>
      </c>
      <c r="J9" s="413">
        <f t="shared" ref="J9:J30" si="0">D9-H9</f>
        <v>53.661992000000055</v>
      </c>
      <c r="K9" s="415">
        <f t="shared" ref="K9:K30" si="1">IF(H9=0,"",J9/H9)</f>
        <v>6.512377669902919E-2</v>
      </c>
      <c r="L9" s="412" t="str">
        <f t="shared" ref="L9:L30" si="2">IF(D9&gt;H9,"Alpes mayor",IF(D9&lt;H9,"Alpes menor","Iguales"))</f>
        <v>Alpes mayor</v>
      </c>
      <c r="M9" s="431">
        <f>MIN(tblComparativoIndexado[[#This Row],[VALOR INDEXADO ALPES]],tblComparativoIndexado[[#This Row],[VALOR INDEXADO CARACOLÍ]])</f>
        <v>824</v>
      </c>
    </row>
    <row r="10" spans="1:13" ht="32" x14ac:dyDescent="0.2">
      <c r="A10" s="314" t="str">
        <f>'[2]VALORES INDEXADOS OBRA ALPES'!D21</f>
        <v>EXCAVACION MECANICA EN MATERIAL COMUN (INCLUYE CARGUE)</v>
      </c>
      <c r="B10" s="412" t="str">
        <f>'[2]VALORES INDEXADOS OBRA ALPES'!C21</f>
        <v>1.9</v>
      </c>
      <c r="C10" s="412" t="str">
        <f>'[2]VALORES INDEXADOS OBRA ALPES'!E21</f>
        <v>M3</v>
      </c>
      <c r="D10" s="413">
        <f>'VALORES INDEXADOS OBRA ALPES'!H21</f>
        <v>6598.7662399999999</v>
      </c>
      <c r="E10" s="314" t="str">
        <f>'[2]VALORES INDEXADOS OBRA CARACOLÍ'!D69</f>
        <v>EXCAVACION MECANICA EN MATERIAL COMUN. INCLUYE CARGUE.</v>
      </c>
      <c r="F10" s="412" t="str">
        <f>'[2]VALORES INDEXADOS OBRA CARACOLÍ'!C69</f>
        <v>3.10</v>
      </c>
      <c r="G10" s="412" t="str">
        <f>'[2]VALORES INDEXADOS OBRA CARACOLÍ'!E69</f>
        <v>M3</v>
      </c>
      <c r="H10" s="413">
        <f>'VALORES INDEXADOS OBRA CARACOLÍ'!H69</f>
        <v>6203</v>
      </c>
      <c r="I10" s="414">
        <v>1</v>
      </c>
      <c r="J10" s="413">
        <f t="shared" si="0"/>
        <v>395.76623999999993</v>
      </c>
      <c r="K10" s="415">
        <f t="shared" si="1"/>
        <v>6.3802392390778645E-2</v>
      </c>
      <c r="L10" s="412" t="str">
        <f t="shared" si="2"/>
        <v>Alpes mayor</v>
      </c>
      <c r="M10" s="431">
        <f>MIN(tblComparativoIndexado[[#This Row],[VALOR INDEXADO ALPES]],tblComparativoIndexado[[#This Row],[VALOR INDEXADO CARACOLÍ]])</f>
        <v>6203</v>
      </c>
    </row>
    <row r="11" spans="1:13" ht="112" x14ac:dyDescent="0.2">
      <c r="A11" s="314" t="str">
        <f>'[2]VALORES INDEXADOS OBRA ALPES'!D25</f>
        <v>TRANSPORTE Y DISPOSICION FINAL DE ESCOMBROS EN SITIO AUTORIZADO (DISTANCIA DE TRANSPORTE 21 KM). A DISTANCIA MAYOR DEL ACARREO LIBRE (90 M) EN SITIO AUTORIZADO POR LA ENTIDAD AMBIENTAL COMPETENTE.</v>
      </c>
      <c r="B11" s="412" t="str">
        <f>'[2]VALORES INDEXADOS OBRA ALPES'!C25</f>
        <v>1.13</v>
      </c>
      <c r="C11" s="412" t="str">
        <f>'[2]VALORES INDEXADOS OBRA ALPES'!E25</f>
        <v>M3</v>
      </c>
      <c r="D11" s="413">
        <f>'VALORES INDEXADOS OBRA ALPES'!H25</f>
        <v>32452.628040000003</v>
      </c>
      <c r="E11" s="314" t="str">
        <f>'[2]VALORES INDEXADOS OBRA CARACOLÍ'!D20</f>
        <v>TRANSPORTE Y DISPOSICION FINAL DE ESCOMBROS EN SITIO AUTORIZADO (DISTANCIA DE TRANSPORTE 21 KM). A DISTANCIA MAYOR DEL ACARREO LIBRE (90 M) EN SITIO AUTORIZADO POR LA ENTIDAD AMBIENTAL COMPETENTE.</v>
      </c>
      <c r="F11" s="412" t="str">
        <f>'[2]VALORES INDEXADOS OBRA CARACOLÍ'!C20</f>
        <v>2.4</v>
      </c>
      <c r="G11" s="412" t="str">
        <f>'[2]VALORES INDEXADOS OBRA CARACOLÍ'!E20</f>
        <v>M3</v>
      </c>
      <c r="H11" s="413">
        <f>'VALORES INDEXADOS OBRA CARACOLÍ'!H20</f>
        <v>36506</v>
      </c>
      <c r="I11" s="414">
        <v>1</v>
      </c>
      <c r="J11" s="413">
        <f t="shared" si="0"/>
        <v>-4053.3719599999968</v>
      </c>
      <c r="K11" s="415">
        <f t="shared" si="1"/>
        <v>-0.1110330345696597</v>
      </c>
      <c r="L11" s="412" t="str">
        <f t="shared" si="2"/>
        <v>Alpes menor</v>
      </c>
      <c r="M11" s="431">
        <f>MIN(tblComparativoIndexado[[#This Row],[VALOR INDEXADO ALPES]],tblComparativoIndexado[[#This Row],[VALOR INDEXADO CARACOLÍ]])</f>
        <v>32452.628040000003</v>
      </c>
    </row>
    <row r="12" spans="1:13" ht="32" x14ac:dyDescent="0.2">
      <c r="A12" s="314" t="str">
        <f>'[2]VALORES INDEXADOS OBRA ALPES'!D34</f>
        <v xml:space="preserve">CURADO DE LOSAS DE CONCRETO (SUMINISTRO Y APLICACIÓN) </v>
      </c>
      <c r="B12" s="412" t="str">
        <f>'[2]VALORES INDEXADOS OBRA ALPES'!C34</f>
        <v>2.8</v>
      </c>
      <c r="C12" s="412" t="str">
        <f>'[2]VALORES INDEXADOS OBRA ALPES'!E34</f>
        <v>M2</v>
      </c>
      <c r="D12" s="413">
        <f>'VALORES INDEXADOS OBRA ALPES'!H34</f>
        <v>2038.3145520000003</v>
      </c>
      <c r="E12" s="314" t="str">
        <f>'[2]VALORES INDEXADOS OBRA CARACOLÍ'!D64</f>
        <v>CURADO DE LOSAS DE CONCRETO (SUMINISTRO Y APLICACIÓN)</v>
      </c>
      <c r="F12" s="412" t="str">
        <f>'[2]VALORES INDEXADOS OBRA CARACOLÍ'!C64</f>
        <v>3.5</v>
      </c>
      <c r="G12" s="412" t="str">
        <f>'[2]VALORES INDEXADOS OBRA CARACOLÍ'!E64</f>
        <v>M2</v>
      </c>
      <c r="H12" s="413">
        <f>'VALORES INDEXADOS OBRA CARACOLÍ'!H64</f>
        <v>2085</v>
      </c>
      <c r="I12" s="414">
        <v>1</v>
      </c>
      <c r="J12" s="413">
        <f t="shared" si="0"/>
        <v>-46.685447999999724</v>
      </c>
      <c r="K12" s="415">
        <f t="shared" si="1"/>
        <v>-2.2391102158273248E-2</v>
      </c>
      <c r="L12" s="412" t="str">
        <f t="shared" si="2"/>
        <v>Alpes menor</v>
      </c>
      <c r="M12" s="431">
        <f>MIN(tblComparativoIndexado[[#This Row],[VALOR INDEXADO ALPES]],tblComparativoIndexado[[#This Row],[VALOR INDEXADO CARACOLÍ]])</f>
        <v>2038.3145520000003</v>
      </c>
    </row>
    <row r="13" spans="1:13" ht="48" x14ac:dyDescent="0.2">
      <c r="A13" s="314" t="str">
        <f>'[2]VALORES INDEXADOS OBRA ALPES'!D80</f>
        <v>RELLENO EN TIERRA NEGRA PARA EMPRADIZACIÓN (SUMINISTRO Y EXTENDIDO).</v>
      </c>
      <c r="B13" s="412" t="str">
        <f>'[2]VALORES INDEXADOS OBRA ALPES'!C80</f>
        <v>5.7</v>
      </c>
      <c r="C13" s="412" t="str">
        <f>'[2]VALORES INDEXADOS OBRA ALPES'!E80</f>
        <v>M3</v>
      </c>
      <c r="D13" s="413">
        <f>'VALORES INDEXADOS OBRA ALPES'!H80</f>
        <v>44094.364448</v>
      </c>
      <c r="E13" s="314" t="str">
        <f>'[2]VALORES INDEXADOS OBRA CARACOLÍ'!D99</f>
        <v>RELLENO EN TIERRA NEGRA PARA EMPRADIZACION (SUMINISTRO Y EXTENDIDO)</v>
      </c>
      <c r="F13" s="412" t="str">
        <f>'[2]VALORES INDEXADOS OBRA CARACOLÍ'!C99</f>
        <v>7.5</v>
      </c>
      <c r="G13" s="412" t="str">
        <f>'[2]VALORES INDEXADOS OBRA CARACOLÍ'!E99</f>
        <v>M3</v>
      </c>
      <c r="H13" s="413">
        <f>'VALORES INDEXADOS OBRA CARACOLÍ'!H99</f>
        <v>75193</v>
      </c>
      <c r="I13" s="414">
        <v>1</v>
      </c>
      <c r="J13" s="413">
        <f t="shared" si="0"/>
        <v>-31098.635552</v>
      </c>
      <c r="K13" s="415">
        <f t="shared" si="1"/>
        <v>-0.41358418405968639</v>
      </c>
      <c r="L13" s="412" t="str">
        <f t="shared" si="2"/>
        <v>Alpes menor</v>
      </c>
      <c r="M13" s="431">
        <f>MIN(tblComparativoIndexado[[#This Row],[VALOR INDEXADO ALPES]],tblComparativoIndexado[[#This Row],[VALOR INDEXADO CARACOLÍ]])</f>
        <v>44094.364448</v>
      </c>
    </row>
    <row r="14" spans="1:13" ht="80" x14ac:dyDescent="0.2">
      <c r="A14" s="314" t="str">
        <f>'[2]VALORES INDEXADOS OBRA ALPES'!D88</f>
        <v>POZO DE INSPECCION D=1.7 M (INCL. SUMINISTRO E INSTALACION). INCLUYE CILINDRO POZO DE INSPECCION EN MAMPOSTERIA, CONO PREFABRICADO, PLACA FONDO.</v>
      </c>
      <c r="B14" s="412" t="str">
        <f>'[2]VALORES INDEXADOS OBRA ALPES'!C88</f>
        <v>6.3</v>
      </c>
      <c r="C14" s="412" t="str">
        <f>'[2]VALORES INDEXADOS OBRA ALPES'!E88</f>
        <v>UN</v>
      </c>
      <c r="D14" s="413">
        <f>'VALORES INDEXADOS OBRA ALPES'!H88</f>
        <v>3966095.8571680002</v>
      </c>
      <c r="E14" s="314" t="str">
        <f>'[2]VALORES INDEXADOS OBRA CARACOLÍ'!D36</f>
        <v>POZO DE INSPECCION D=1.7 M (INCL. SUMINISTRO E INSTALACION). INCLUYE CILINDRO POZO DE INSPECCION EN MAMPOSTERIA, CONO PREFABRICADO, PLACA FONDO.</v>
      </c>
      <c r="F14" s="412" t="str">
        <f>'[2]VALORES INDEXADOS OBRA CARACOLÍ'!C36</f>
        <v>2.20</v>
      </c>
      <c r="G14" s="412" t="str">
        <f>'[2]VALORES INDEXADOS OBRA CARACOLÍ'!E36</f>
        <v>UN</v>
      </c>
      <c r="H14" s="413">
        <f>'VALORES INDEXADOS OBRA CARACOLÍ'!H36</f>
        <v>4809499</v>
      </c>
      <c r="I14" s="414">
        <v>1</v>
      </c>
      <c r="J14" s="413">
        <f t="shared" si="0"/>
        <v>-843403.14283199981</v>
      </c>
      <c r="K14" s="415">
        <f t="shared" si="1"/>
        <v>-0.17536195408960473</v>
      </c>
      <c r="L14" s="412" t="str">
        <f t="shared" si="2"/>
        <v>Alpes menor</v>
      </c>
      <c r="M14" s="431">
        <f>MIN(tblComparativoIndexado[[#This Row],[VALOR INDEXADO ALPES]],tblComparativoIndexado[[#This Row],[VALOR INDEXADO CARACOLÍ]])</f>
        <v>3966095.8571680002</v>
      </c>
    </row>
    <row r="15" spans="1:13" ht="64" x14ac:dyDescent="0.2">
      <c r="A15" s="314" t="str">
        <f>'[2]VALORES INDEXADOS OBRA ALPES'!D91</f>
        <v>CONSTRUCCION CANALETA DE AGUAS LLUVIAS DE 0.4 X 0.4 MT EN CONCRETO DE 3000PSI INCLUYE REJILLA PREFABRICADA.</v>
      </c>
      <c r="B15" s="412" t="str">
        <f>'[2]VALORES INDEXADOS OBRA ALPES'!C91</f>
        <v>6.6</v>
      </c>
      <c r="C15" s="412" t="str">
        <f>'[2]VALORES INDEXADOS OBRA ALPES'!E91</f>
        <v>M</v>
      </c>
      <c r="D15" s="413">
        <f>'VALORES INDEXADOS OBRA ALPES'!H91</f>
        <v>237688.603248</v>
      </c>
      <c r="E15" s="314" t="str">
        <f>'[2]VALORES INDEXADOS OBRA CARACOLÍ'!D47</f>
        <v>CONSTRUCCION CANALETA DE AGUAS LLUVIAS DE 0.4 X 0.4 MT EN CONCRETO DE 3000PSI INCLUYE REJILLA PREFABRICADA.</v>
      </c>
      <c r="F15" s="412" t="str">
        <f>'[2]VALORES INDEXADOS OBRA CARACOLÍ'!C47</f>
        <v>2.31</v>
      </c>
      <c r="G15" s="412" t="str">
        <f>'[2]VALORES INDEXADOS OBRA CARACOLÍ'!E47</f>
        <v>ML</v>
      </c>
      <c r="H15" s="413">
        <f>'VALORES INDEXADOS OBRA CARACOLÍ'!H47</f>
        <v>224849</v>
      </c>
      <c r="I15" s="414">
        <v>1</v>
      </c>
      <c r="J15" s="413">
        <f t="shared" si="0"/>
        <v>12839.603247999999</v>
      </c>
      <c r="K15" s="415">
        <f t="shared" si="1"/>
        <v>5.7103225933848936E-2</v>
      </c>
      <c r="L15" s="412" t="str">
        <f t="shared" si="2"/>
        <v>Alpes mayor</v>
      </c>
      <c r="M15" s="431">
        <f>MIN(tblComparativoIndexado[[#This Row],[VALOR INDEXADO ALPES]],tblComparativoIndexado[[#This Row],[VALOR INDEXADO CARACOLÍ]])</f>
        <v>224849</v>
      </c>
    </row>
    <row r="16" spans="1:13" ht="80" x14ac:dyDescent="0.2">
      <c r="A16" s="314" t="str">
        <f>'[2]VALORES INDEXADOS OBRA ALPES'!D94</f>
        <v>RELLENO EN RECEBO COMUN (SUMINISTRO E INSTALACIÓN  EXTENDIDO MANUAL, HUMEDECIMIENTO Y COMPACTACIÓN TRANSPORTE A 28 KM).</v>
      </c>
      <c r="B16" s="412" t="str">
        <f>'[2]VALORES INDEXADOS OBRA ALPES'!C94</f>
        <v>6.9</v>
      </c>
      <c r="C16" s="412" t="str">
        <f>'[2]VALORES INDEXADOS OBRA ALPES'!E94</f>
        <v>M3</v>
      </c>
      <c r="D16" s="413">
        <f>'VALORES INDEXADOS OBRA ALPES'!H94</f>
        <v>91395.520632</v>
      </c>
      <c r="E16" s="314" t="str">
        <f>'[2]VALORES INDEXADOS OBRA CARACOLÍ'!D68</f>
        <v>RELLENO EN RECEBO COMUN (SUMINISTRO E INSTALACIÓN  EXTENDIDO MANUAL, HUMEDECIMIENTO Y COMPACTACIÓN TRANSPORTE A 28 KM).</v>
      </c>
      <c r="F16" s="412" t="str">
        <f>'[2]VALORES INDEXADOS OBRA CARACOLÍ'!C68</f>
        <v>3.9</v>
      </c>
      <c r="G16" s="412" t="str">
        <f>'[2]VALORES INDEXADOS OBRA CARACOLÍ'!E68</f>
        <v>M3</v>
      </c>
      <c r="H16" s="413">
        <f>'VALORES INDEXADOS OBRA CARACOLÍ'!H68</f>
        <v>85364</v>
      </c>
      <c r="I16" s="414">
        <v>1</v>
      </c>
      <c r="J16" s="413">
        <f t="shared" si="0"/>
        <v>6031.5206319999998</v>
      </c>
      <c r="K16" s="415">
        <f t="shared" si="1"/>
        <v>7.065649023007356E-2</v>
      </c>
      <c r="L16" s="412" t="str">
        <f t="shared" si="2"/>
        <v>Alpes mayor</v>
      </c>
      <c r="M16" s="431">
        <f>MIN(tblComparativoIndexado[[#This Row],[VALOR INDEXADO ALPES]],tblComparativoIndexado[[#This Row],[VALOR INDEXADO CARACOLÍ]])</f>
        <v>85364</v>
      </c>
    </row>
    <row r="17" spans="1:13" ht="64" x14ac:dyDescent="0.2">
      <c r="A17" s="314" t="str">
        <f>'[2]VALORES INDEXADOS OBRA ALPES'!D97</f>
        <v xml:space="preserve">ENTIBADO EC-2 CONTÍNUO MADERA CON PERFILES METÁLICOS Y PARALES TELESCÓPICOS. SUMINISTRO E INSTALACIÓN.    </v>
      </c>
      <c r="B17" s="412" t="str">
        <f>'[2]VALORES INDEXADOS OBRA ALPES'!C97</f>
        <v>6.12</v>
      </c>
      <c r="C17" s="412" t="str">
        <f>'[2]VALORES INDEXADOS OBRA ALPES'!E97</f>
        <v>M2</v>
      </c>
      <c r="D17" s="413">
        <f>'VALORES INDEXADOS OBRA ALPES'!H97</f>
        <v>70784.156912000006</v>
      </c>
      <c r="E17" s="314" t="str">
        <f>'[2]VALORES INDEXADOS OBRA CARACOLÍ'!D41</f>
        <v>ENTIBADO EC-2 CONTÍNUO MADERA CON PERFILES METÁLICOS Y PARALES TELESCÓPICOS. SUMINISTRO E INSTALACIÓN.</v>
      </c>
      <c r="F17" s="412" t="str">
        <f>'[2]VALORES INDEXADOS OBRA CARACOLÍ'!C41</f>
        <v>2.25</v>
      </c>
      <c r="G17" s="412" t="str">
        <f>'[2]VALORES INDEXADOS OBRA CARACOLÍ'!E41</f>
        <v>M2</v>
      </c>
      <c r="H17" s="413">
        <f>'VALORES INDEXADOS OBRA CARACOLÍ'!H41</f>
        <v>67935</v>
      </c>
      <c r="I17" s="414">
        <v>1</v>
      </c>
      <c r="J17" s="413">
        <f t="shared" si="0"/>
        <v>2849.1569120000058</v>
      </c>
      <c r="K17" s="415">
        <f t="shared" si="1"/>
        <v>4.193945553838236E-2</v>
      </c>
      <c r="L17" s="412" t="str">
        <f t="shared" si="2"/>
        <v>Alpes mayor</v>
      </c>
      <c r="M17" s="431">
        <f>MIN(tblComparativoIndexado[[#This Row],[VALOR INDEXADO ALPES]],tblComparativoIndexado[[#This Row],[VALOR INDEXADO CARACOLÍ]])</f>
        <v>67935</v>
      </c>
    </row>
    <row r="18" spans="1:13" ht="64" x14ac:dyDescent="0.2">
      <c r="A18" s="314" t="str">
        <f>'[2]VALORES INDEXADOS OBRA ALPES'!D98</f>
        <v xml:space="preserve">TUBERIA PVC U.M. EXT CORRUGADO/INT LISO U.M. NORMA NTC 3722-1 D=8" (INCLUYE SUMINISTRO E INSTALACIÓN)   </v>
      </c>
      <c r="B18" s="412" t="str">
        <f>'[2]VALORES INDEXADOS OBRA ALPES'!C98</f>
        <v>6.13</v>
      </c>
      <c r="C18" s="412" t="str">
        <f>'[2]VALORES INDEXADOS OBRA ALPES'!E98</f>
        <v>M</v>
      </c>
      <c r="D18" s="413">
        <f>'VALORES INDEXADOS OBRA ALPES'!H98</f>
        <v>59521.914768000002</v>
      </c>
      <c r="E18" s="314" t="str">
        <f>'[2]VALORES INDEXADOS OBRA CARACOLÍ'!D26</f>
        <v>TUBERIA PVC U.M. EXT CORRUGADO/INT LISO U.M. NORMA NTC 3722-1 D=8" (INCLUYE SUMINISTRO E INSTALACIÓN)</v>
      </c>
      <c r="F18" s="412" t="str">
        <f>'[2]VALORES INDEXADOS OBRA CARACOLÍ'!C26</f>
        <v>2.10</v>
      </c>
      <c r="G18" s="412" t="str">
        <f>'[2]VALORES INDEXADOS OBRA CARACOLÍ'!E26</f>
        <v>ML</v>
      </c>
      <c r="H18" s="413">
        <f>'VALORES INDEXADOS OBRA CARACOLÍ'!H26</f>
        <v>57076</v>
      </c>
      <c r="I18" s="414">
        <v>1</v>
      </c>
      <c r="J18" s="413">
        <f t="shared" si="0"/>
        <v>2445.9147680000024</v>
      </c>
      <c r="K18" s="415">
        <f t="shared" si="1"/>
        <v>4.2853647207232504E-2</v>
      </c>
      <c r="L18" s="412" t="str">
        <f t="shared" si="2"/>
        <v>Alpes mayor</v>
      </c>
      <c r="M18" s="431">
        <f>MIN(tblComparativoIndexado[[#This Row],[VALOR INDEXADO ALPES]],tblComparativoIndexado[[#This Row],[VALOR INDEXADO CARACOLÍ]])</f>
        <v>57076</v>
      </c>
    </row>
    <row r="19" spans="1:13" ht="64" x14ac:dyDescent="0.2">
      <c r="A19" s="314" t="str">
        <f>'[2]VALORES INDEXADOS OBRA ALPES'!D99</f>
        <v>TUBERIA PVC U.M. EXT CORRUGADO/INT LISO U.M. NORMA NTC 3722-1 D=10" (INCLUYE SUMINISTRO E INSTALACIÓN</v>
      </c>
      <c r="B19" s="412" t="str">
        <f>'[2]VALORES INDEXADOS OBRA ALPES'!C99</f>
        <v>6.14</v>
      </c>
      <c r="C19" s="412" t="str">
        <f>'[2]VALORES INDEXADOS OBRA ALPES'!E99</f>
        <v>M</v>
      </c>
      <c r="D19" s="413">
        <f>'VALORES INDEXADOS OBRA ALPES'!H99</f>
        <v>69943.009832000011</v>
      </c>
      <c r="E19" s="314" t="str">
        <f>'[2]VALORES INDEXADOS OBRA CARACOLÍ'!D27</f>
        <v>TUBERIA PVC U.M. EXT CORRUGADO/INT LISO U.M. NORMA NTC 3722-1 D=10" (INCLUYE SUMINISTRO E INSTALACIÓN)</v>
      </c>
      <c r="F19" s="412" t="str">
        <f>'[2]VALORES INDEXADOS OBRA CARACOLÍ'!C27</f>
        <v>2.11</v>
      </c>
      <c r="G19" s="412" t="str">
        <f>'[2]VALORES INDEXADOS OBRA CARACOLÍ'!E27</f>
        <v>ML</v>
      </c>
      <c r="H19" s="413">
        <f>'VALORES INDEXADOS OBRA CARACOLÍ'!H27</f>
        <v>84029</v>
      </c>
      <c r="I19" s="414">
        <v>1</v>
      </c>
      <c r="J19" s="413">
        <f t="shared" si="0"/>
        <v>-14085.990167999989</v>
      </c>
      <c r="K19" s="415">
        <f t="shared" si="1"/>
        <v>-0.16763248602268252</v>
      </c>
      <c r="L19" s="412" t="str">
        <f t="shared" si="2"/>
        <v>Alpes menor</v>
      </c>
      <c r="M19" s="431">
        <f>MIN(tblComparativoIndexado[[#This Row],[VALOR INDEXADO ALPES]],tblComparativoIndexado[[#This Row],[VALOR INDEXADO CARACOLÍ]])</f>
        <v>69943.009832000011</v>
      </c>
    </row>
    <row r="20" spans="1:13" ht="64" x14ac:dyDescent="0.2">
      <c r="A20" s="314" t="str">
        <f>'[2]VALORES INDEXADOS OBRA ALPES'!D100</f>
        <v>TUBERIA PVC U.M. EXT CORRUGADO/INT LISO U.M. NORMA NTC 3722-1 D=12" (INCLUYE SUMINISTRO E INSTALACIÓN)</v>
      </c>
      <c r="B20" s="412" t="str">
        <f>'[2]VALORES INDEXADOS OBRA ALPES'!C100</f>
        <v>6.15</v>
      </c>
      <c r="C20" s="412" t="str">
        <f>'[2]VALORES INDEXADOS OBRA ALPES'!E100</f>
        <v>M</v>
      </c>
      <c r="D20" s="413">
        <f>'VALORES INDEXADOS OBRA ALPES'!H100</f>
        <v>115953.10305600002</v>
      </c>
      <c r="E20" s="314" t="str">
        <f>'[2]VALORES INDEXADOS OBRA CARACOLÍ'!D28</f>
        <v>TUBERIA PVC U.M. EXT CORRUGADO/INT LISO U.M. NORMA NTC 3722-1 D=12" (INCLUYE SUMINISTRO E INSTALACIÓN)</v>
      </c>
      <c r="F20" s="412" t="str">
        <f>'[2]VALORES INDEXADOS OBRA CARACOLÍ'!C28</f>
        <v>2.12</v>
      </c>
      <c r="G20" s="412" t="str">
        <f>'[2]VALORES INDEXADOS OBRA CARACOLÍ'!E28</f>
        <v>ML</v>
      </c>
      <c r="H20" s="413">
        <f>'VALORES INDEXADOS OBRA CARACOLÍ'!H28</f>
        <v>120621</v>
      </c>
      <c r="I20" s="414">
        <v>1</v>
      </c>
      <c r="J20" s="413">
        <f t="shared" si="0"/>
        <v>-4667.8969439999782</v>
      </c>
      <c r="K20" s="415">
        <f t="shared" si="1"/>
        <v>-3.8698874524336381E-2</v>
      </c>
      <c r="L20" s="412" t="str">
        <f t="shared" si="2"/>
        <v>Alpes menor</v>
      </c>
      <c r="M20" s="431">
        <f>MIN(tblComparativoIndexado[[#This Row],[VALOR INDEXADO ALPES]],tblComparativoIndexado[[#This Row],[VALOR INDEXADO CARACOLÍ]])</f>
        <v>115953.10305600002</v>
      </c>
    </row>
    <row r="21" spans="1:13" ht="64" x14ac:dyDescent="0.2">
      <c r="A21" s="314" t="str">
        <f>'[2]VALORES INDEXADOS OBRA ALPES'!D102</f>
        <v>TUBERIA PVC U.M. EXT CORRUGADO/INT LISO U.M. NORMA NTC 3722-1 D=16" (INCLUYE SUMINISTRO E INSTALACIÓN)</v>
      </c>
      <c r="B21" s="412" t="str">
        <f>'[2]VALORES INDEXADOS OBRA ALPES'!C102</f>
        <v>6.17</v>
      </c>
      <c r="C21" s="412" t="str">
        <f>'[2]VALORES INDEXADOS OBRA ALPES'!E102</f>
        <v>M</v>
      </c>
      <c r="D21" s="413">
        <f>'VALORES INDEXADOS OBRA ALPES'!H102</f>
        <v>175557.17637600002</v>
      </c>
      <c r="E21" s="314" t="str">
        <f>'[2]VALORES INDEXADOS OBRA CARACOLÍ'!D30</f>
        <v>TUBERIA PVC U.M. EXT CORRUGADO/INT LISO U.M. NORMA NTC 3722-1 D=16" (INCLUYE SUMINISTRO E INSTALACIÓN)</v>
      </c>
      <c r="F21" s="412" t="str">
        <f>'[2]VALORES INDEXADOS OBRA CARACOLÍ'!C30</f>
        <v>2.14</v>
      </c>
      <c r="G21" s="412" t="str">
        <f>'[2]VALORES INDEXADOS OBRA CARACOLÍ'!E30</f>
        <v>ML</v>
      </c>
      <c r="H21" s="413">
        <f>'VALORES INDEXADOS OBRA CARACOLÍ'!H30</f>
        <v>220399</v>
      </c>
      <c r="I21" s="414">
        <v>1</v>
      </c>
      <c r="J21" s="413">
        <f t="shared" si="0"/>
        <v>-44841.823623999982</v>
      </c>
      <c r="K21" s="415">
        <f t="shared" si="1"/>
        <v>-0.20345747314642981</v>
      </c>
      <c r="L21" s="412" t="str">
        <f t="shared" si="2"/>
        <v>Alpes menor</v>
      </c>
      <c r="M21" s="431">
        <f>MIN(tblComparativoIndexado[[#This Row],[VALOR INDEXADO ALPES]],tblComparativoIndexado[[#This Row],[VALOR INDEXADO CARACOLÍ]])</f>
        <v>175557.17637600002</v>
      </c>
    </row>
    <row r="22" spans="1:13" ht="64" x14ac:dyDescent="0.2">
      <c r="A22" s="314" t="str">
        <f>'[2]VALORES INDEXADOS OBRA ALPES'!D103</f>
        <v>TUBERIA PVC U.M. EXT CORRUGADO/INT LISO U.M. NORMA NTC 3722-1 D=18" (INCLUYE SUMINISTRO E INSTALACIÓN)</v>
      </c>
      <c r="B22" s="412" t="str">
        <f>'[2]VALORES INDEXADOS OBRA ALPES'!C103</f>
        <v>6.18</v>
      </c>
      <c r="C22" s="412" t="str">
        <f>'[2]VALORES INDEXADOS OBRA ALPES'!E103</f>
        <v>M</v>
      </c>
      <c r="D22" s="413">
        <f>'VALORES INDEXADOS OBRA ALPES'!H103</f>
        <v>227899.99862400003</v>
      </c>
      <c r="E22" s="314" t="str">
        <f>'[2]VALORES INDEXADOS OBRA CARACOLÍ'!D31</f>
        <v>TUBERIA PVC U.M. EXT CORRUGADO/INT LISO U.M. NORMA NTC 3722-1 D=18" (INCLUYE SUMINISTRO E INSTALACIÓN)</v>
      </c>
      <c r="F22" s="412" t="str">
        <f>'[2]VALORES INDEXADOS OBRA CARACOLÍ'!C31</f>
        <v>2.15</v>
      </c>
      <c r="G22" s="412" t="str">
        <f>'[2]VALORES INDEXADOS OBRA CARACOLÍ'!E31</f>
        <v>ML</v>
      </c>
      <c r="H22" s="413">
        <f>'VALORES INDEXADOS OBRA CARACOLÍ'!H31</f>
        <v>271510</v>
      </c>
      <c r="I22" s="414">
        <v>1</v>
      </c>
      <c r="J22" s="413">
        <f t="shared" si="0"/>
        <v>-43610.001375999971</v>
      </c>
      <c r="K22" s="415">
        <f t="shared" si="1"/>
        <v>-0.16062024005009012</v>
      </c>
      <c r="L22" s="412" t="str">
        <f t="shared" si="2"/>
        <v>Alpes menor</v>
      </c>
      <c r="M22" s="431">
        <f>MIN(tblComparativoIndexado[[#This Row],[VALOR INDEXADO ALPES]],tblComparativoIndexado[[#This Row],[VALOR INDEXADO CARACOLÍ]])</f>
        <v>227899.99862400003</v>
      </c>
    </row>
    <row r="23" spans="1:13" ht="64" x14ac:dyDescent="0.2">
      <c r="A23" s="314" t="str">
        <f>'[2]VALORES INDEXADOS OBRA ALPES'!D104</f>
        <v>TUBERIA PVC U.M. EXT CORRUGADO/INT LISO U.M. NORMA NTC 3722-1 D=20" (INCLUYE SUMINISTRO E INSTALACIÓN)</v>
      </c>
      <c r="B23" s="412" t="str">
        <f>'[2]VALORES INDEXADOS OBRA ALPES'!C104</f>
        <v>6.19</v>
      </c>
      <c r="C23" s="412" t="str">
        <f>'[2]VALORES INDEXADOS OBRA ALPES'!E104</f>
        <v>M</v>
      </c>
      <c r="D23" s="413">
        <f>'VALORES INDEXADOS OBRA ALPES'!H104</f>
        <v>295225.67172800004</v>
      </c>
      <c r="E23" s="314" t="str">
        <f>'[2]VALORES INDEXADOS OBRA CARACOLÍ'!D32</f>
        <v>TUBERIA PVC U.M. EXT CORRUGADO/INT LISO U.M. NORMA NTC 3722-1 D=20" (INCLUYE SUMINISTRO E INSTALACIÓN)</v>
      </c>
      <c r="F23" s="412" t="str">
        <f>'[2]VALORES INDEXADOS OBRA CARACOLÍ'!C32</f>
        <v>2.16</v>
      </c>
      <c r="G23" s="412" t="str">
        <f>'[2]VALORES INDEXADOS OBRA CARACOLÍ'!E32</f>
        <v>ML</v>
      </c>
      <c r="H23" s="413">
        <f>'VALORES INDEXADOS OBRA CARACOLÍ'!H32</f>
        <v>310465</v>
      </c>
      <c r="I23" s="414">
        <v>1</v>
      </c>
      <c r="J23" s="413">
        <f t="shared" si="0"/>
        <v>-15239.328271999955</v>
      </c>
      <c r="K23" s="415">
        <f t="shared" si="1"/>
        <v>-4.9085495215241512E-2</v>
      </c>
      <c r="L23" s="412" t="str">
        <f t="shared" si="2"/>
        <v>Alpes menor</v>
      </c>
      <c r="M23" s="431">
        <f>MIN(tblComparativoIndexado[[#This Row],[VALOR INDEXADO ALPES]],tblComparativoIndexado[[#This Row],[VALOR INDEXADO CARACOLÍ]])</f>
        <v>295225.67172800004</v>
      </c>
    </row>
    <row r="24" spans="1:13" ht="64" x14ac:dyDescent="0.2">
      <c r="A24" s="314" t="str">
        <f>'[2]VALORES INDEXADOS OBRA ALPES'!D115</f>
        <v>SUMIDERO LATERAL SL-100, H=1.25M (FUNDIDO EN SITIO, CONCRETO PREMEZCLADO. INCL. SUMIN, FORM, REF. Y CONSTR. INCL. TAPA)</v>
      </c>
      <c r="B24" s="412" t="str">
        <f>'[2]VALORES INDEXADOS OBRA ALPES'!C115</f>
        <v>6.30</v>
      </c>
      <c r="C24" s="412" t="str">
        <f>'[2]VALORES INDEXADOS OBRA ALPES'!E115</f>
        <v>UN</v>
      </c>
      <c r="D24" s="413">
        <f>'VALORES INDEXADOS OBRA ALPES'!H115</f>
        <v>2655729.5497600003</v>
      </c>
      <c r="E24" s="314" t="str">
        <f>'[2]VALORES INDEXADOS OBRA CARACOLÍ'!D56</f>
        <v>SUMIDERO LATERAL SL-100, H=1.25M (FUNDIDO EN SITIO, CONCRETO PREMEZCLADO. INCL. SUMIN, FORM, REF. Y CONSTR. INCL. TAPA)</v>
      </c>
      <c r="F24" s="412" t="str">
        <f>'[2]VALORES INDEXADOS OBRA CARACOLÍ'!C56</f>
        <v>2.40</v>
      </c>
      <c r="G24" s="412" t="str">
        <f>'[2]VALORES INDEXADOS OBRA CARACOLÍ'!E56</f>
        <v>UN</v>
      </c>
      <c r="H24" s="413">
        <f>'VALORES INDEXADOS OBRA CARACOLÍ'!H56</f>
        <v>2120134</v>
      </c>
      <c r="I24" s="414">
        <v>1</v>
      </c>
      <c r="J24" s="413">
        <f t="shared" si="0"/>
        <v>535595.54976000031</v>
      </c>
      <c r="K24" s="415">
        <f t="shared" si="1"/>
        <v>0.25262344255598951</v>
      </c>
      <c r="L24" s="412" t="str">
        <f t="shared" si="2"/>
        <v>Alpes mayor</v>
      </c>
      <c r="M24" s="431">
        <f>MIN(tblComparativoIndexado[[#This Row],[VALOR INDEXADO ALPES]],tblComparativoIndexado[[#This Row],[VALOR INDEXADO CARACOLÍ]])</f>
        <v>2120134</v>
      </c>
    </row>
    <row r="25" spans="1:13" ht="48" x14ac:dyDescent="0.2">
      <c r="A25" s="314" t="str">
        <f>'[2]VALORES INDEXADOS OBRA ALPES'!D132</f>
        <v>INSPECCIÓN DE REDES DE ALCANTARILLADO CON SISTEMAS CCTV PARA DIÁMETROS ENTRE 6" A 36"</v>
      </c>
      <c r="B25" s="412" t="str">
        <f>'[2]VALORES INDEXADOS OBRA ALPES'!C132</f>
        <v>10.01</v>
      </c>
      <c r="C25" s="412" t="str">
        <f>'[2]VALORES INDEXADOS OBRA ALPES'!E132</f>
        <v>ML</v>
      </c>
      <c r="D25" s="413">
        <f>'VALORES INDEXADOS OBRA ALPES'!H132</f>
        <v>14403.76</v>
      </c>
      <c r="E25" s="314" t="str">
        <f>'[2]VALORES INDEXADOS OBRA CARACOLÍ'!D126</f>
        <v>INSPECCIÓN DE REDES DE ALCANTARILLADO CON SISTEMAS CCTV PARA DIÁMETROS ENTRE 6" A 36"</v>
      </c>
      <c r="F25" s="412" t="str">
        <f>'[2]VALORES INDEXADOS OBRA CARACOLÍ'!C126</f>
        <v>10.17</v>
      </c>
      <c r="G25" s="412" t="str">
        <f>'[2]VALORES INDEXADOS OBRA CARACOLÍ'!E126</f>
        <v>ML</v>
      </c>
      <c r="H25" s="413">
        <f>'VALORES INDEXADOS OBRA CARACOLÍ'!H126</f>
        <v>14566</v>
      </c>
      <c r="I25" s="414">
        <v>1</v>
      </c>
      <c r="J25" s="413">
        <f t="shared" si="0"/>
        <v>-162.23999999999978</v>
      </c>
      <c r="K25" s="415">
        <f t="shared" si="1"/>
        <v>-1.1138267197583398E-2</v>
      </c>
      <c r="L25" s="412" t="str">
        <f t="shared" si="2"/>
        <v>Alpes menor</v>
      </c>
      <c r="M25" s="431">
        <f>MIN(tblComparativoIndexado[[#This Row],[VALOR INDEXADO ALPES]],tblComparativoIndexado[[#This Row],[VALOR INDEXADO CARACOLÍ]])</f>
        <v>14403.76</v>
      </c>
    </row>
    <row r="26" spans="1:13" ht="112" x14ac:dyDescent="0.2">
      <c r="A26" s="314" t="str">
        <f>'[2]VALORES INDEXADOS OBRA ALPES'!D133</f>
        <v>LAVADO Y SONDEO DE REDES DE ALCANTARILLADO ENTRE 6" Y 18" DE DIÁMETRO Y CON GRADO DE COLMATACIÓN MENOR DEL 30%. INCL MANO DE OBRA IDÓNEA, SEÑALIZACIÓN BÁSICA, SUMIN DE COMBUSTIBLE Y AGUA. INCL. IVA</v>
      </c>
      <c r="B26" s="412" t="str">
        <f>'[2]VALORES INDEXADOS OBRA ALPES'!C133</f>
        <v>10.02</v>
      </c>
      <c r="C26" s="412" t="str">
        <f>'[2]VALORES INDEXADOS OBRA ALPES'!E133</f>
        <v>ML</v>
      </c>
      <c r="D26" s="413">
        <f>'VALORES INDEXADOS OBRA ALPES'!H133</f>
        <v>22253.68</v>
      </c>
      <c r="E26" s="314" t="str">
        <f>'[2]VALORES INDEXADOS OBRA CARACOLÍ'!D127</f>
        <v>LAVADO Y SONDEO DE REDES DE ALCANTARILLADO ENTRE 6" Y 18" DE DIÁMETRO Y CON GRADO DE COLMATACIÓN MENOR DEL 30%. INCL MANO DE OBRA IDÓNEA, SEÑALIZACIÓN BÁSICA, SUMIN DE COMBUSTIBLE Y AGUA. INCL. IVA</v>
      </c>
      <c r="F26" s="412" t="str">
        <f>'[2]VALORES INDEXADOS OBRA CARACOLÍ'!C127</f>
        <v>10.18</v>
      </c>
      <c r="G26" s="412" t="str">
        <f>'[2]VALORES INDEXADOS OBRA CARACOLÍ'!E127</f>
        <v>ML</v>
      </c>
      <c r="H26" s="413">
        <f>'VALORES INDEXADOS OBRA CARACOLÍ'!H127</f>
        <v>20230</v>
      </c>
      <c r="I26" s="414">
        <v>1</v>
      </c>
      <c r="J26" s="413">
        <f t="shared" si="0"/>
        <v>2023.6800000000003</v>
      </c>
      <c r="K26" s="415">
        <f t="shared" si="1"/>
        <v>0.10003361344537817</v>
      </c>
      <c r="L26" s="412" t="str">
        <f t="shared" si="2"/>
        <v>Alpes mayor</v>
      </c>
      <c r="M26" s="431">
        <f>MIN(tblComparativoIndexado[[#This Row],[VALOR INDEXADO ALPES]],tblComparativoIndexado[[#This Row],[VALOR INDEXADO CARACOLÍ]])</f>
        <v>20230</v>
      </c>
    </row>
    <row r="27" spans="1:13" ht="64" x14ac:dyDescent="0.2">
      <c r="A27" s="314" t="str">
        <f>'[2]VALORES INDEXADOS OBRA ALPES'!D154</f>
        <v>NIVELACIÓN DE POZO (HASTA RASANTE EN CONCRETO 3000 PSI HECHO EN OBRA, H=0.15M. INCLUYE SUMINISTRO Y CONSTRUCCIÓN)</v>
      </c>
      <c r="B27" s="412" t="str">
        <f>'[2]VALORES INDEXADOS OBRA ALPES'!C154</f>
        <v>10.23</v>
      </c>
      <c r="C27" s="412" t="str">
        <f>'[2]VALORES INDEXADOS OBRA ALPES'!E154</f>
        <v>UN</v>
      </c>
      <c r="D27" s="413">
        <f>'VALORES INDEXADOS OBRA ALPES'!H154</f>
        <v>183610.88</v>
      </c>
      <c r="E27" s="314" t="str">
        <f>'[2]VALORES INDEXADOS OBRA CARACOLÍ'!D21</f>
        <v>NIVELACIÓN DE POZO (HASTA RASANTE EN CONCRETO 3000 PSI HECHO EN OBRA, H=0.15M. INCLUYE SUMINISTRO Y CONSTRUCCIÓN)</v>
      </c>
      <c r="F27" s="412" t="str">
        <f>'[2]VALORES INDEXADOS OBRA CARACOLÍ'!C21</f>
        <v>2.5</v>
      </c>
      <c r="G27" s="412" t="str">
        <f>'[2]VALORES INDEXADOS OBRA CARACOLÍ'!E21</f>
        <v>UN</v>
      </c>
      <c r="H27" s="413">
        <f>'VALORES INDEXADOS OBRA CARACOLÍ'!H21</f>
        <v>114683</v>
      </c>
      <c r="I27" s="414">
        <v>1</v>
      </c>
      <c r="J27" s="413">
        <f t="shared" si="0"/>
        <v>68927.88</v>
      </c>
      <c r="K27" s="415">
        <f t="shared" si="1"/>
        <v>0.60102962078076094</v>
      </c>
      <c r="L27" s="412" t="str">
        <f t="shared" si="2"/>
        <v>Alpes mayor</v>
      </c>
      <c r="M27" s="431">
        <f>MIN(tblComparativoIndexado[[#This Row],[VALOR INDEXADO ALPES]],tblComparativoIndexado[[#This Row],[VALOR INDEXADO CARACOLÍ]])</f>
        <v>114683</v>
      </c>
    </row>
    <row r="28" spans="1:13" ht="64" x14ac:dyDescent="0.2">
      <c r="A28" s="314" t="str">
        <f>'[2]VALORES INDEXADOS OBRA ALPES'!D75</f>
        <v>BOLARDO EN HIERRO TIPO M-62 (SUMINISTRO E INSTALACIÓN, INCLUYE BASE EN CONCRETO 1500 PSI, PREMEZCLADO)</v>
      </c>
      <c r="B28" s="412" t="str">
        <f>'[2]VALORES INDEXADOS OBRA ALPES'!C75</f>
        <v>5.2</v>
      </c>
      <c r="C28" s="412" t="str">
        <f>'[2]VALORES INDEXADOS OBRA ALPES'!E75</f>
        <v>UN</v>
      </c>
      <c r="D28" s="413">
        <f>'VALORES INDEXADOS OBRA ALPES'!H75</f>
        <v>200728.99178400001</v>
      </c>
      <c r="E28" s="314" t="str">
        <f>'[2]VALORES INDEXADOS OBRA CARACOLÍ'!D104</f>
        <v>BOLARDO EN HIERRO TIPO M62 (SUMINISTRO E INSTALACIÓN. INCLUYE BASE EN CONCRETO 1500 PSI, PREMEZCLADO)</v>
      </c>
      <c r="F28" s="412" t="str">
        <f>'[2]VALORES INDEXADOS OBRA CARACOLÍ'!C104</f>
        <v>8.3</v>
      </c>
      <c r="G28" s="412" t="str">
        <f>'[2]VALORES INDEXADOS OBRA CARACOLÍ'!E104</f>
        <v>UN</v>
      </c>
      <c r="H28" s="413">
        <f>'VALORES INDEXADOS OBRA CARACOLÍ'!H104</f>
        <v>195549</v>
      </c>
      <c r="I28" s="414">
        <v>0.99487179000000003</v>
      </c>
      <c r="J28" s="413">
        <f t="shared" si="0"/>
        <v>5179.9917840000126</v>
      </c>
      <c r="K28" s="415">
        <f t="shared" si="1"/>
        <v>2.6489482349692468E-2</v>
      </c>
      <c r="L28" s="412" t="str">
        <f t="shared" si="2"/>
        <v>Alpes mayor</v>
      </c>
      <c r="M28" s="431">
        <f>MIN(tblComparativoIndexado[[#This Row],[VALOR INDEXADO ALPES]],tblComparativoIndexado[[#This Row],[VALOR INDEXADO CARACOLÍ]])</f>
        <v>195549</v>
      </c>
    </row>
    <row r="29" spans="1:13" ht="48" x14ac:dyDescent="0.2">
      <c r="A29" s="314" t="str">
        <f>'[2]VALORES INDEXADOS OBRA ALPES'!D45</f>
        <v>SARDINEL TIPO A-10 (SUMINISTRO E INSTALACIÓN, INCLUYE 3 CM MORTERO 1:5)</v>
      </c>
      <c r="B29" s="412" t="str">
        <f>'[2]VALORES INDEXADOS OBRA ALPES'!C45</f>
        <v>3.4</v>
      </c>
      <c r="C29" s="412" t="str">
        <f>'[2]VALORES INDEXADOS OBRA ALPES'!E45</f>
        <v>M</v>
      </c>
      <c r="D29" s="413">
        <f>'VALORES INDEXADOS OBRA ALPES'!H45</f>
        <v>72133.904552000007</v>
      </c>
      <c r="E29" s="314" t="str">
        <f>'[2]VALORES INDEXADOS OBRA CARACOLÍ'!D75</f>
        <v>SARDINEL TIPO A10 (SUMINISTRO E INSTALACIÓN. INCLUYE 3CM MORTERO 1:5)</v>
      </c>
      <c r="F29" s="412" t="str">
        <f>'[2]VALORES INDEXADOS OBRA CARACOLÍ'!C75</f>
        <v>4.5</v>
      </c>
      <c r="G29" s="412" t="str">
        <f>'[2]VALORES INDEXADOS OBRA CARACOLÍ'!E75</f>
        <v>ML</v>
      </c>
      <c r="H29" s="413">
        <f>'VALORES INDEXADOS OBRA CARACOLÍ'!H75</f>
        <v>78261</v>
      </c>
      <c r="I29" s="414">
        <v>0.98507462999999995</v>
      </c>
      <c r="J29" s="413">
        <f t="shared" si="0"/>
        <v>-6127.0954479999928</v>
      </c>
      <c r="K29" s="415">
        <f t="shared" si="1"/>
        <v>-7.829053357355506E-2</v>
      </c>
      <c r="L29" s="412" t="str">
        <f t="shared" si="2"/>
        <v>Alpes menor</v>
      </c>
      <c r="M29" s="431">
        <f>MIN(tblComparativoIndexado[[#This Row],[VALOR INDEXADO ALPES]],tblComparativoIndexado[[#This Row],[VALOR INDEXADO CARACOLÍ]])</f>
        <v>72133.904552000007</v>
      </c>
    </row>
    <row r="30" spans="1:13" ht="64" x14ac:dyDescent="0.2">
      <c r="A30" s="314" t="str">
        <f>'[2]VALORES INDEXADOS OBRA ALPES'!D56</f>
        <v>MALLA ELECTROSOLDADA DE 0,15X0,15 M (∅=8MM) (INCLUYE SUMINISTRO, FIJACIÒN E INSTALACIÒN )</v>
      </c>
      <c r="B30" s="412" t="str">
        <f>'[2]VALORES INDEXADOS OBRA ALPES'!C56</f>
        <v>3.15</v>
      </c>
      <c r="C30" s="412" t="str">
        <f>'[2]VALORES INDEXADOS OBRA ALPES'!E56</f>
        <v>KG</v>
      </c>
      <c r="D30" s="413">
        <f>'VALORES INDEXADOS OBRA ALPES'!H56</f>
        <v>4478.2931360000002</v>
      </c>
      <c r="E30" s="314" t="str">
        <f>'[2]VALORES INDEXADOS OBRA CARACOLÍ'!D67</f>
        <v>MALLA ELECTROSOLDADA 0.15X0.15M, D=8MM, 8MM (INCLUYE SUMINISTRO, FIJACIÓN E INSTALACIÓN)</v>
      </c>
      <c r="F30" s="412" t="str">
        <f>'[2]VALORES INDEXADOS OBRA CARACOLÍ'!C67</f>
        <v>3.8</v>
      </c>
      <c r="G30" s="412" t="str">
        <f>'[2]VALORES INDEXADOS OBRA CARACOLÍ'!E67</f>
        <v>KG</v>
      </c>
      <c r="H30" s="413">
        <f>'VALORES INDEXADOS OBRA CARACOLÍ'!H67</f>
        <v>4209</v>
      </c>
      <c r="I30" s="414">
        <v>0.95121951000000005</v>
      </c>
      <c r="J30" s="413">
        <f t="shared" si="0"/>
        <v>269.29313600000023</v>
      </c>
      <c r="K30" s="415">
        <f t="shared" si="1"/>
        <v>6.3980312663340519E-2</v>
      </c>
      <c r="L30" s="412" t="str">
        <f t="shared" si="2"/>
        <v>Alpes mayor</v>
      </c>
      <c r="M30" s="431">
        <f>MIN(tblComparativoIndexado[[#This Row],[VALOR INDEXADO ALPES]],tblComparativoIndexado[[#This Row],[VALOR INDEXADO CARACOLÍ]])</f>
        <v>4209</v>
      </c>
    </row>
  </sheetData>
  <mergeCells count="4">
    <mergeCell ref="A1:L1"/>
    <mergeCell ref="A2:L2"/>
    <mergeCell ref="A4:L4"/>
    <mergeCell ref="A5:L6"/>
  </mergeCells>
  <conditionalFormatting sqref="I9:I30">
    <cfRule type="cellIs" dxfId="3" priority="1" operator="equal">
      <formula>1</formula>
    </cfRule>
    <cfRule type="cellIs" dxfId="2" priority="2" operator="lessThan">
      <formula>1</formula>
    </cfRule>
  </conditionalFormatting>
  <conditionalFormatting sqref="J9:J30">
    <cfRule type="cellIs" dxfId="1" priority="3" operator="lessThan">
      <formula>0</formula>
    </cfRule>
    <cfRule type="cellIs" dxfId="0" priority="4" operator="greaterThan">
      <formula>0</formula>
    </cfRule>
  </conditionalFormatting>
  <pageMargins left="0.7" right="0.7" top="0.75" bottom="0.75" header="0.3" footer="0.3"/>
  <pageSetup orientation="portrait" horizontalDpi="0" verticalDpi="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36C4F-034D-004B-A110-5C961006FF57}">
  <sheetPr>
    <outlinePr summaryBelow="0"/>
  </sheetPr>
  <dimension ref="A2:I192"/>
  <sheetViews>
    <sheetView topLeftCell="A181" zoomScale="110" zoomScaleNormal="85" workbookViewId="0">
      <selection activeCell="D197" sqref="D197"/>
    </sheetView>
  </sheetViews>
  <sheetFormatPr baseColWidth="10" defaultColWidth="11.5" defaultRowHeight="15" customHeight="1" outlineLevelRow="1" x14ac:dyDescent="0.2"/>
  <cols>
    <col min="1" max="1" width="9.1640625" style="1" customWidth="1"/>
    <col min="2" max="2" width="1.6640625" style="1" customWidth="1"/>
    <col min="3" max="3" width="7.5" style="3" customWidth="1"/>
    <col min="4" max="4" width="65.83203125" style="4" customWidth="1"/>
    <col min="5" max="5" width="8.83203125" style="3" customWidth="1"/>
    <col min="6" max="7" width="20.33203125" style="1" customWidth="1"/>
    <col min="8" max="8" width="19.1640625" style="383" customWidth="1"/>
    <col min="9" max="9" width="21" style="1" customWidth="1"/>
    <col min="10" max="10" width="1.33203125" style="1" customWidth="1"/>
    <col min="11" max="16384" width="11.5" style="1"/>
  </cols>
  <sheetData>
    <row r="2" spans="1:9" ht="68.5" customHeight="1" x14ac:dyDescent="0.2">
      <c r="C2" s="490"/>
      <c r="D2" s="491"/>
      <c r="E2" s="491"/>
      <c r="F2" s="491"/>
      <c r="G2" s="491"/>
      <c r="H2" s="491"/>
      <c r="I2" s="492"/>
    </row>
    <row r="3" spans="1:9" ht="20.25" customHeight="1" x14ac:dyDescent="0.2">
      <c r="C3" s="490" t="s">
        <v>0</v>
      </c>
      <c r="D3" s="491"/>
      <c r="E3" s="491"/>
      <c r="F3" s="491"/>
      <c r="G3" s="491"/>
      <c r="H3" s="491"/>
      <c r="I3" s="492"/>
    </row>
    <row r="4" spans="1:9" ht="39.75" customHeight="1" x14ac:dyDescent="0.2">
      <c r="C4" s="595" t="s">
        <v>1</v>
      </c>
      <c r="D4" s="596"/>
      <c r="E4" s="596"/>
      <c r="F4" s="596"/>
      <c r="G4" s="596"/>
      <c r="H4" s="596"/>
      <c r="I4" s="597"/>
    </row>
    <row r="5" spans="1:9" ht="24" customHeight="1" x14ac:dyDescent="0.2">
      <c r="C5" s="490" t="s">
        <v>2</v>
      </c>
      <c r="D5" s="491"/>
      <c r="E5" s="491"/>
      <c r="F5" s="491"/>
      <c r="G5" s="491"/>
      <c r="H5" s="491"/>
      <c r="I5" s="492"/>
    </row>
    <row r="6" spans="1:9" ht="41.25" customHeight="1" x14ac:dyDescent="0.2">
      <c r="C6" s="595" t="s">
        <v>3</v>
      </c>
      <c r="D6" s="596"/>
      <c r="E6" s="596"/>
      <c r="F6" s="596"/>
      <c r="G6" s="596"/>
      <c r="H6" s="596"/>
      <c r="I6" s="597"/>
    </row>
    <row r="7" spans="1:9" ht="24" customHeight="1" x14ac:dyDescent="0.2">
      <c r="C7" s="595" t="s">
        <v>4</v>
      </c>
      <c r="D7" s="596"/>
      <c r="E7" s="596"/>
      <c r="F7" s="596"/>
      <c r="G7" s="596"/>
      <c r="H7" s="596"/>
      <c r="I7" s="597"/>
    </row>
    <row r="8" spans="1:9" ht="8" customHeight="1" thickBot="1" x14ac:dyDescent="0.25"/>
    <row r="9" spans="1:9" s="3" customFormat="1" ht="43.25" customHeight="1" x14ac:dyDescent="0.2">
      <c r="C9" s="470" t="s">
        <v>5</v>
      </c>
      <c r="D9" s="473" t="s">
        <v>6</v>
      </c>
      <c r="E9" s="476" t="s">
        <v>7</v>
      </c>
      <c r="F9" s="473" t="s">
        <v>8</v>
      </c>
      <c r="G9" s="601" t="s">
        <v>591</v>
      </c>
      <c r="H9" s="598" t="s">
        <v>590</v>
      </c>
      <c r="I9" s="482" t="s">
        <v>9</v>
      </c>
    </row>
    <row r="10" spans="1:9" s="3" customFormat="1" ht="13" x14ac:dyDescent="0.2">
      <c r="A10" s="5"/>
      <c r="C10" s="471"/>
      <c r="D10" s="474"/>
      <c r="E10" s="477"/>
      <c r="F10" s="474"/>
      <c r="G10" s="602"/>
      <c r="H10" s="599"/>
      <c r="I10" s="483"/>
    </row>
    <row r="11" spans="1:9" s="3" customFormat="1" ht="14" thickBot="1" x14ac:dyDescent="0.25">
      <c r="C11" s="472"/>
      <c r="D11" s="475"/>
      <c r="E11" s="478"/>
      <c r="F11" s="475"/>
      <c r="G11" s="603"/>
      <c r="H11" s="600"/>
      <c r="I11" s="484"/>
    </row>
    <row r="12" spans="1:9" ht="21" customHeight="1" x14ac:dyDescent="0.2">
      <c r="C12" s="11">
        <v>1</v>
      </c>
      <c r="D12" s="12" t="s">
        <v>14</v>
      </c>
      <c r="E12" s="13"/>
      <c r="F12" s="340"/>
      <c r="G12" s="341"/>
      <c r="H12" s="384"/>
      <c r="I12" s="342">
        <f>SUM(I13:I25)</f>
        <v>74839112.450000003</v>
      </c>
    </row>
    <row r="13" spans="1:9" ht="16" outlineLevel="1" x14ac:dyDescent="0.2">
      <c r="A13" s="3"/>
      <c r="C13" s="17" t="s">
        <v>15</v>
      </c>
      <c r="D13" s="22" t="s">
        <v>16</v>
      </c>
      <c r="E13" s="23" t="s">
        <v>188</v>
      </c>
      <c r="F13" s="24">
        <f>'CANTIDADES VALOR INICIAL'!G9</f>
        <v>95.740000000000009</v>
      </c>
      <c r="G13" s="25">
        <f>'CANTIDADES VALOR INICIAL'!H9</f>
        <v>645.33969999999999</v>
      </c>
      <c r="H13" s="385">
        <f>G13*'INDEX ICOCIV'!$R$85</f>
        <v>877.66199200000005</v>
      </c>
      <c r="I13" s="26">
        <f t="shared" ref="I13:I25" si="0">ROUND(F13*H13,2)</f>
        <v>84027.36</v>
      </c>
    </row>
    <row r="14" spans="1:9" ht="42" outlineLevel="1" x14ac:dyDescent="0.2">
      <c r="A14" s="3"/>
      <c r="C14" s="17" t="s">
        <v>17</v>
      </c>
      <c r="D14" s="22" t="s">
        <v>608</v>
      </c>
      <c r="E14" s="23" t="s">
        <v>183</v>
      </c>
      <c r="F14" s="24">
        <f>'CANTIDADES VALOR INICIAL'!G10</f>
        <v>0</v>
      </c>
      <c r="G14" s="25">
        <f>'CANTIDADES VALOR INICIAL'!H10</f>
        <v>25006.194199999998</v>
      </c>
      <c r="H14" s="385">
        <f>G14*'INDEX ICOCIV'!$R$85</f>
        <v>34008.424112000001</v>
      </c>
      <c r="I14" s="26">
        <f t="shared" si="0"/>
        <v>0</v>
      </c>
    </row>
    <row r="15" spans="1:9" ht="42" outlineLevel="1" x14ac:dyDescent="0.2">
      <c r="A15" s="3"/>
      <c r="C15" s="17" t="s">
        <v>18</v>
      </c>
      <c r="D15" s="22" t="s">
        <v>609</v>
      </c>
      <c r="E15" s="23" t="s">
        <v>183</v>
      </c>
      <c r="F15" s="24">
        <f>'CANTIDADES VALOR INICIAL'!G11</f>
        <v>43.02</v>
      </c>
      <c r="G15" s="25">
        <f>'CANTIDADES VALOR INICIAL'!H11</f>
        <v>37629.1538</v>
      </c>
      <c r="H15" s="385">
        <f>G15*'INDEX ICOCIV'!$R$85</f>
        <v>51175.649168000004</v>
      </c>
      <c r="I15" s="26">
        <f t="shared" si="0"/>
        <v>2201576.4300000002</v>
      </c>
    </row>
    <row r="16" spans="1:9" ht="28" outlineLevel="1" x14ac:dyDescent="0.2">
      <c r="A16" s="3"/>
      <c r="C16" s="17" t="s">
        <v>19</v>
      </c>
      <c r="D16" s="22" t="s">
        <v>610</v>
      </c>
      <c r="E16" s="23" t="s">
        <v>611</v>
      </c>
      <c r="F16" s="24">
        <f>'CANTIDADES VALOR INICIAL'!G12</f>
        <v>0</v>
      </c>
      <c r="G16" s="25">
        <f>'CANTIDADES VALOR INICIAL'!H12</f>
        <v>3999.5718999999999</v>
      </c>
      <c r="H16" s="385">
        <f>G16*'INDEX ICOCIV'!$R$85</f>
        <v>5439.4177840000002</v>
      </c>
      <c r="I16" s="26">
        <f t="shared" si="0"/>
        <v>0</v>
      </c>
    </row>
    <row r="17" spans="3:9" ht="16" outlineLevel="1" x14ac:dyDescent="0.2">
      <c r="C17" s="17" t="s">
        <v>20</v>
      </c>
      <c r="D17" s="22" t="s">
        <v>612</v>
      </c>
      <c r="E17" s="23" t="s">
        <v>176</v>
      </c>
      <c r="F17" s="24">
        <f>'CANTIDADES VALOR INICIAL'!G13</f>
        <v>0</v>
      </c>
      <c r="G17" s="25">
        <f>'CANTIDADES VALOR INICIAL'!H13</f>
        <v>123267.5539</v>
      </c>
      <c r="H17" s="385">
        <f>G17*'INDEX ICOCIV'!$R$85</f>
        <v>167643.87330400001</v>
      </c>
      <c r="I17" s="26">
        <f t="shared" si="0"/>
        <v>0</v>
      </c>
    </row>
    <row r="18" spans="3:9" ht="42" outlineLevel="1" x14ac:dyDescent="0.2">
      <c r="C18" s="17" t="s">
        <v>21</v>
      </c>
      <c r="D18" s="22" t="s">
        <v>22</v>
      </c>
      <c r="E18" s="23" t="s">
        <v>183</v>
      </c>
      <c r="F18" s="24">
        <f>'CANTIDADES VALOR INICIAL'!G14</f>
        <v>29.13</v>
      </c>
      <c r="G18" s="25">
        <f>'CANTIDADES VALOR INICIAL'!H14</f>
        <v>189872.74789999999</v>
      </c>
      <c r="H18" s="385">
        <f>G18*'INDEX ICOCIV'!$R$85</f>
        <v>258226.937144</v>
      </c>
      <c r="I18" s="26">
        <f t="shared" si="0"/>
        <v>7522150.6799999997</v>
      </c>
    </row>
    <row r="19" spans="3:9" ht="42" outlineLevel="1" x14ac:dyDescent="0.2">
      <c r="C19" s="17" t="s">
        <v>23</v>
      </c>
      <c r="D19" s="22" t="s">
        <v>613</v>
      </c>
      <c r="E19" s="23" t="s">
        <v>188</v>
      </c>
      <c r="F19" s="24">
        <f>'CANTIDADES VALOR INICIAL'!G15</f>
        <v>830.14</v>
      </c>
      <c r="G19" s="25">
        <f>'CANTIDADES VALOR INICIAL'!H15</f>
        <v>5232.7173000000003</v>
      </c>
      <c r="H19" s="385">
        <f>G19*'INDEX ICOCIV'!$R$85</f>
        <v>7116.4955280000013</v>
      </c>
      <c r="I19" s="26">
        <f t="shared" si="0"/>
        <v>5907687.5999999996</v>
      </c>
    </row>
    <row r="20" spans="3:9" ht="28" outlineLevel="1" x14ac:dyDescent="0.2">
      <c r="C20" s="17" t="s">
        <v>24</v>
      </c>
      <c r="D20" s="22" t="s">
        <v>614</v>
      </c>
      <c r="E20" s="23" t="s">
        <v>183</v>
      </c>
      <c r="F20" s="24">
        <f>'CANTIDADES VALOR INICIAL'!G16</f>
        <v>1</v>
      </c>
      <c r="G20" s="25">
        <f>'CANTIDADES VALOR INICIAL'!H16</f>
        <v>122712.3508</v>
      </c>
      <c r="H20" s="385">
        <f>G20*'INDEX ICOCIV'!$R$85</f>
        <v>166888.79708800002</v>
      </c>
      <c r="I20" s="26">
        <f t="shared" si="0"/>
        <v>166888.79999999999</v>
      </c>
    </row>
    <row r="21" spans="3:9" ht="16" outlineLevel="1" x14ac:dyDescent="0.2">
      <c r="C21" s="17" t="s">
        <v>25</v>
      </c>
      <c r="D21" s="22" t="s">
        <v>615</v>
      </c>
      <c r="E21" s="23" t="s">
        <v>183</v>
      </c>
      <c r="F21" s="24">
        <f>'CANTIDADES VALOR INICIAL'!G17</f>
        <v>645.33969999999999</v>
      </c>
      <c r="G21" s="25">
        <f>'CANTIDADES VALOR INICIAL'!H17</f>
        <v>4852.0339999999997</v>
      </c>
      <c r="H21" s="385">
        <f>G21*'INDEX ICOCIV'!$R$85</f>
        <v>6598.7662399999999</v>
      </c>
      <c r="I21" s="26">
        <f t="shared" si="0"/>
        <v>4258445.83</v>
      </c>
    </row>
    <row r="22" spans="3:9" ht="28" outlineLevel="1" x14ac:dyDescent="0.2">
      <c r="C22" s="17" t="s">
        <v>26</v>
      </c>
      <c r="D22" s="22" t="s">
        <v>27</v>
      </c>
      <c r="E22" s="23" t="s">
        <v>183</v>
      </c>
      <c r="F22" s="24">
        <f>'CANTIDADES VALOR INICIAL'!G18</f>
        <v>95.83</v>
      </c>
      <c r="G22" s="25">
        <f>'CANTIDADES VALOR INICIAL'!H18</f>
        <v>58604.132400000002</v>
      </c>
      <c r="H22" s="385">
        <f>G22*'INDEX ICOCIV'!$R$85</f>
        <v>79701.620064000002</v>
      </c>
      <c r="I22" s="26">
        <f t="shared" si="0"/>
        <v>7637806.25</v>
      </c>
    </row>
    <row r="23" spans="3:9" ht="28" outlineLevel="1" x14ac:dyDescent="0.2">
      <c r="C23" s="17" t="s">
        <v>28</v>
      </c>
      <c r="D23" s="22" t="s">
        <v>616</v>
      </c>
      <c r="E23" s="23" t="s">
        <v>183</v>
      </c>
      <c r="F23" s="24">
        <f>'CANTIDADES VALOR INICIAL'!G19</f>
        <v>0</v>
      </c>
      <c r="G23" s="25">
        <f>'CANTIDADES VALOR INICIAL'!H19</f>
        <v>75381.046799999996</v>
      </c>
      <c r="H23" s="385">
        <f>G23*'INDEX ICOCIV'!$R$85</f>
        <v>102518.223648</v>
      </c>
      <c r="I23" s="26">
        <f t="shared" si="0"/>
        <v>0</v>
      </c>
    </row>
    <row r="24" spans="3:9" ht="28" outlineLevel="1" x14ac:dyDescent="0.2">
      <c r="C24" s="17" t="s">
        <v>29</v>
      </c>
      <c r="D24" s="22" t="s">
        <v>617</v>
      </c>
      <c r="E24" s="23" t="s">
        <v>176</v>
      </c>
      <c r="F24" s="24">
        <f>'CANTIDADES VALOR INICIAL'!G20</f>
        <v>0</v>
      </c>
      <c r="G24" s="25">
        <f>'CANTIDADES VALOR INICIAL'!H20</f>
        <v>131088.34229999999</v>
      </c>
      <c r="H24" s="385">
        <f>G24*'INDEX ICOCIV'!$R$85</f>
        <v>178280.14552799999</v>
      </c>
      <c r="I24" s="26">
        <f t="shared" si="0"/>
        <v>0</v>
      </c>
    </row>
    <row r="25" spans="3:9" ht="56" outlineLevel="1" x14ac:dyDescent="0.2">
      <c r="C25" s="17" t="s">
        <v>30</v>
      </c>
      <c r="D25" s="22" t="s">
        <v>618</v>
      </c>
      <c r="E25" s="23" t="s">
        <v>183</v>
      </c>
      <c r="F25" s="24">
        <f>'CANTIDADES VALOR INICIAL'!G21</f>
        <v>1450.13</v>
      </c>
      <c r="G25" s="25">
        <f>'CANTIDADES VALOR INICIAL'!H21</f>
        <v>23862.226500000001</v>
      </c>
      <c r="H25" s="385">
        <f>G25*'INDEX ICOCIV'!$R$85</f>
        <v>32452.628040000003</v>
      </c>
      <c r="I25" s="26">
        <f t="shared" si="0"/>
        <v>47060529.5</v>
      </c>
    </row>
    <row r="26" spans="3:9" ht="21" customHeight="1" x14ac:dyDescent="0.2">
      <c r="C26" s="27">
        <v>2</v>
      </c>
      <c r="D26" s="28" t="s">
        <v>31</v>
      </c>
      <c r="E26" s="29"/>
      <c r="F26" s="30"/>
      <c r="G26" s="15"/>
      <c r="H26" s="384"/>
      <c r="I26" s="16">
        <f>SUM(I27:I40)</f>
        <v>414086489.08999997</v>
      </c>
    </row>
    <row r="27" spans="3:9" ht="16" outlineLevel="1" x14ac:dyDescent="0.2">
      <c r="C27" s="17" t="s">
        <v>32</v>
      </c>
      <c r="D27" s="22" t="s">
        <v>33</v>
      </c>
      <c r="E27" s="23" t="s">
        <v>188</v>
      </c>
      <c r="F27" s="24">
        <f>'CANTIDADES VALOR INICIAL'!G23</f>
        <v>2002.3700000000001</v>
      </c>
      <c r="G27" s="25">
        <f>'CANTIDADES VALOR INICIAL'!H23</f>
        <v>1128.6252999999999</v>
      </c>
      <c r="H27" s="385">
        <f>G27*'INDEX ICOCIV'!$R$85</f>
        <v>1534.9304079999999</v>
      </c>
      <c r="I27" s="26">
        <f t="shared" ref="I27:I40" si="1">ROUND(F27*H27,2)</f>
        <v>3073498.6</v>
      </c>
    </row>
    <row r="28" spans="3:9" ht="42" outlineLevel="1" x14ac:dyDescent="0.2">
      <c r="C28" s="17" t="s">
        <v>34</v>
      </c>
      <c r="D28" s="22" t="s">
        <v>35</v>
      </c>
      <c r="E28" s="23" t="s">
        <v>183</v>
      </c>
      <c r="F28" s="24">
        <f>'CANTIDADES VALOR INICIAL'!G24</f>
        <v>601.29000000000008</v>
      </c>
      <c r="G28" s="25">
        <f>'CANTIDADES VALOR INICIAL'!H24</f>
        <v>82634.166400000002</v>
      </c>
      <c r="H28" s="385">
        <f>G28*'INDEX ICOCIV'!$R$85</f>
        <v>112382.46630400002</v>
      </c>
      <c r="I28" s="26">
        <f t="shared" si="1"/>
        <v>67574453.159999996</v>
      </c>
    </row>
    <row r="29" spans="3:9" ht="42" outlineLevel="1" x14ac:dyDescent="0.2">
      <c r="C29" s="17" t="s">
        <v>36</v>
      </c>
      <c r="D29" s="22" t="s">
        <v>619</v>
      </c>
      <c r="E29" s="23" t="s">
        <v>183</v>
      </c>
      <c r="F29" s="24">
        <f>'CANTIDADES VALOR INICIAL'!G25</f>
        <v>0</v>
      </c>
      <c r="G29" s="25">
        <f>'CANTIDADES VALOR INICIAL'!H25</f>
        <v>112129.9304</v>
      </c>
      <c r="H29" s="385">
        <f>G29*'INDEX ICOCIV'!$R$85</f>
        <v>152496.70534400002</v>
      </c>
      <c r="I29" s="26">
        <f t="shared" si="1"/>
        <v>0</v>
      </c>
    </row>
    <row r="30" spans="3:9" ht="42" outlineLevel="1" x14ac:dyDescent="0.2">
      <c r="C30" s="17" t="s">
        <v>37</v>
      </c>
      <c r="D30" s="22" t="s">
        <v>620</v>
      </c>
      <c r="E30" s="23" t="s">
        <v>183</v>
      </c>
      <c r="F30" s="24">
        <f>'CANTIDADES VALOR INICIAL'!G26</f>
        <v>382.35</v>
      </c>
      <c r="G30" s="25">
        <f>'CANTIDADES VALOR INICIAL'!H26</f>
        <v>120001.5405</v>
      </c>
      <c r="H30" s="385">
        <f>G30*'INDEX ICOCIV'!$R$85</f>
        <v>163202.09508000003</v>
      </c>
      <c r="I30" s="26">
        <f t="shared" si="1"/>
        <v>62400321.049999997</v>
      </c>
    </row>
    <row r="31" spans="3:9" ht="28" outlineLevel="1" x14ac:dyDescent="0.2">
      <c r="C31" s="17" t="s">
        <v>38</v>
      </c>
      <c r="D31" s="22" t="s">
        <v>621</v>
      </c>
      <c r="E31" s="23" t="s">
        <v>188</v>
      </c>
      <c r="F31" s="24">
        <f>'CANTIDADES VALOR INICIAL'!G27</f>
        <v>49</v>
      </c>
      <c r="G31" s="25">
        <f>'CANTIDADES VALOR INICIAL'!H27</f>
        <v>2246.7026999999998</v>
      </c>
      <c r="H31" s="385">
        <f>G31*'INDEX ICOCIV'!$R$85</f>
        <v>3055.515672</v>
      </c>
      <c r="I31" s="26">
        <f t="shared" si="1"/>
        <v>149720.26999999999</v>
      </c>
    </row>
    <row r="32" spans="3:9" ht="56" outlineLevel="1" x14ac:dyDescent="0.2">
      <c r="C32" s="17" t="s">
        <v>39</v>
      </c>
      <c r="D32" s="22" t="s">
        <v>622</v>
      </c>
      <c r="E32" s="23" t="s">
        <v>183</v>
      </c>
      <c r="F32" s="24">
        <f>'CANTIDADES VALOR INICIAL'!G28</f>
        <v>15.35</v>
      </c>
      <c r="G32" s="25">
        <f>'CANTIDADES VALOR INICIAL'!H28</f>
        <v>597338.12490000005</v>
      </c>
      <c r="H32" s="385">
        <f>G32*'INDEX ICOCIV'!$R$85</f>
        <v>812379.84986400011</v>
      </c>
      <c r="I32" s="26">
        <f t="shared" si="1"/>
        <v>12470030.699999999</v>
      </c>
    </row>
    <row r="33" spans="3:9" ht="42" outlineLevel="1" x14ac:dyDescent="0.2">
      <c r="C33" s="17" t="s">
        <v>40</v>
      </c>
      <c r="D33" s="22" t="s">
        <v>623</v>
      </c>
      <c r="E33" s="23" t="s">
        <v>183</v>
      </c>
      <c r="F33" s="24">
        <f>'CANTIDADES VALOR INICIAL'!G29</f>
        <v>305.07000000000005</v>
      </c>
      <c r="G33" s="25">
        <f>'CANTIDADES VALOR INICIAL'!H29</f>
        <v>494529.66139999998</v>
      </c>
      <c r="H33" s="385">
        <f>G33*'INDEX ICOCIV'!$R$85</f>
        <v>672560.33950400003</v>
      </c>
      <c r="I33" s="26">
        <f t="shared" si="1"/>
        <v>205177982.77000001</v>
      </c>
    </row>
    <row r="34" spans="3:9" ht="16" outlineLevel="1" x14ac:dyDescent="0.2">
      <c r="C34" s="17" t="s">
        <v>41</v>
      </c>
      <c r="D34" s="22" t="s">
        <v>624</v>
      </c>
      <c r="E34" s="23" t="s">
        <v>188</v>
      </c>
      <c r="F34" s="24">
        <f>'CANTIDADES VALOR INICIAL'!G30</f>
        <v>945.06</v>
      </c>
      <c r="G34" s="25">
        <f>'CANTIDADES VALOR INICIAL'!H30</f>
        <v>1498.7607</v>
      </c>
      <c r="H34" s="385">
        <f>G34*'INDEX ICOCIV'!$R$85</f>
        <v>2038.3145520000003</v>
      </c>
      <c r="I34" s="26">
        <f t="shared" si="1"/>
        <v>1926329.55</v>
      </c>
    </row>
    <row r="35" spans="3:9" ht="28" outlineLevel="1" x14ac:dyDescent="0.2">
      <c r="C35" s="17" t="s">
        <v>42</v>
      </c>
      <c r="D35" s="22" t="s">
        <v>43</v>
      </c>
      <c r="E35" s="23" t="s">
        <v>611</v>
      </c>
      <c r="F35" s="24">
        <f>'CANTIDADES VALOR INICIAL'!G31</f>
        <v>1053.46</v>
      </c>
      <c r="G35" s="25">
        <f>'CANTIDADES VALOR INICIAL'!H31</f>
        <v>4657.3773000000001</v>
      </c>
      <c r="H35" s="385">
        <f>G35*'INDEX ICOCIV'!$R$85</f>
        <v>6334.0331280000009</v>
      </c>
      <c r="I35" s="26">
        <f t="shared" si="1"/>
        <v>6672650.54</v>
      </c>
    </row>
    <row r="36" spans="3:9" ht="28" outlineLevel="1" x14ac:dyDescent="0.2">
      <c r="C36" s="17" t="s">
        <v>44</v>
      </c>
      <c r="D36" s="22" t="s">
        <v>625</v>
      </c>
      <c r="E36" s="23" t="s">
        <v>611</v>
      </c>
      <c r="F36" s="24">
        <f>'CANTIDADES VALOR INICIAL'!G32</f>
        <v>1111.02</v>
      </c>
      <c r="G36" s="25">
        <f>'CANTIDADES VALOR INICIAL'!H32</f>
        <v>8735.5789999999997</v>
      </c>
      <c r="H36" s="385">
        <f>G36*'INDEX ICOCIV'!$R$85</f>
        <v>11880.38744</v>
      </c>
      <c r="I36" s="26">
        <f t="shared" si="1"/>
        <v>13199348.050000001</v>
      </c>
    </row>
    <row r="37" spans="3:9" ht="70" outlineLevel="1" x14ac:dyDescent="0.2">
      <c r="C37" s="17" t="s">
        <v>45</v>
      </c>
      <c r="D37" s="22" t="s">
        <v>46</v>
      </c>
      <c r="E37" s="23" t="s">
        <v>188</v>
      </c>
      <c r="F37" s="24">
        <f>'CANTIDADES VALOR INICIAL'!G33</f>
        <v>157</v>
      </c>
      <c r="G37" s="25">
        <f>'CANTIDADES VALOR INICIAL'!H33</f>
        <v>35499.436900000001</v>
      </c>
      <c r="H37" s="385">
        <f>G37*'INDEX ICOCIV'!$R$85</f>
        <v>48279.234184000001</v>
      </c>
      <c r="I37" s="26">
        <f t="shared" si="1"/>
        <v>7579839.7699999996</v>
      </c>
    </row>
    <row r="38" spans="3:9" ht="16" outlineLevel="1" x14ac:dyDescent="0.2">
      <c r="C38" s="17" t="s">
        <v>47</v>
      </c>
      <c r="D38" s="22" t="s">
        <v>626</v>
      </c>
      <c r="E38" s="23" t="s">
        <v>627</v>
      </c>
      <c r="F38" s="24">
        <f>'CANTIDADES VALOR INICIAL'!G34</f>
        <v>0</v>
      </c>
      <c r="G38" s="25">
        <f>'CANTIDADES VALOR INICIAL'!H34</f>
        <v>5276.8266999999996</v>
      </c>
      <c r="H38" s="385">
        <f>G38*'INDEX ICOCIV'!$R$85</f>
        <v>7176.4843119999996</v>
      </c>
      <c r="I38" s="26">
        <f t="shared" si="1"/>
        <v>0</v>
      </c>
    </row>
    <row r="39" spans="3:9" ht="16" outlineLevel="1" x14ac:dyDescent="0.2">
      <c r="C39" s="17" t="s">
        <v>48</v>
      </c>
      <c r="D39" s="22" t="s">
        <v>628</v>
      </c>
      <c r="E39" s="23" t="s">
        <v>627</v>
      </c>
      <c r="F39" s="24">
        <f>'CANTIDADES VALOR INICIAL'!G35</f>
        <v>1160.81</v>
      </c>
      <c r="G39" s="25">
        <f>'CANTIDADES VALOR INICIAL'!H35</f>
        <v>5138.7451000000001</v>
      </c>
      <c r="H39" s="385">
        <f>G39*'INDEX ICOCIV'!$R$85</f>
        <v>6988.6933360000003</v>
      </c>
      <c r="I39" s="26">
        <f t="shared" si="1"/>
        <v>8112545.1100000003</v>
      </c>
    </row>
    <row r="40" spans="3:9" ht="28" outlineLevel="1" x14ac:dyDescent="0.2">
      <c r="C40" s="17" t="s">
        <v>49</v>
      </c>
      <c r="D40" s="22" t="s">
        <v>629</v>
      </c>
      <c r="E40" s="23" t="s">
        <v>188</v>
      </c>
      <c r="F40" s="24">
        <f>'CANTIDADES VALOR INICIAL'!G36</f>
        <v>2777.1000000000004</v>
      </c>
      <c r="G40" s="25">
        <f>'CANTIDADES VALOR INICIAL'!H36</f>
        <v>6817.7789999999995</v>
      </c>
      <c r="H40" s="385">
        <f>G40*'INDEX ICOCIV'!$R$85</f>
        <v>9272.1794399999999</v>
      </c>
      <c r="I40" s="26">
        <f t="shared" si="1"/>
        <v>25749769.52</v>
      </c>
    </row>
    <row r="41" spans="3:9" ht="21" customHeight="1" x14ac:dyDescent="0.2">
      <c r="C41" s="27">
        <v>3</v>
      </c>
      <c r="D41" s="28" t="s">
        <v>50</v>
      </c>
      <c r="E41" s="29"/>
      <c r="F41" s="30"/>
      <c r="G41" s="15"/>
      <c r="H41" s="384"/>
      <c r="I41" s="16">
        <f>SUM(I42:I56)</f>
        <v>335228930.68000001</v>
      </c>
    </row>
    <row r="42" spans="3:9" ht="28" outlineLevel="1" x14ac:dyDescent="0.2">
      <c r="C42" s="17" t="s">
        <v>51</v>
      </c>
      <c r="D42" s="22" t="s">
        <v>630</v>
      </c>
      <c r="E42" s="23" t="s">
        <v>611</v>
      </c>
      <c r="F42" s="24">
        <f>'CANTIDADES VALOR INICIAL'!G38</f>
        <v>305.76</v>
      </c>
      <c r="G42" s="25">
        <f>'CANTIDADES VALOR INICIAL'!H38</f>
        <v>45956.241399999999</v>
      </c>
      <c r="H42" s="385">
        <f>G42*'INDEX ICOCIV'!$R$85</f>
        <v>62500.488304000006</v>
      </c>
      <c r="I42" s="26">
        <f t="shared" ref="I42:I56" si="2">ROUND(F42*H42,2)</f>
        <v>19110149.300000001</v>
      </c>
    </row>
    <row r="43" spans="3:9" ht="28" outlineLevel="1" x14ac:dyDescent="0.2">
      <c r="C43" s="17" t="s">
        <v>52</v>
      </c>
      <c r="D43" s="22" t="s">
        <v>631</v>
      </c>
      <c r="E43" s="23" t="s">
        <v>611</v>
      </c>
      <c r="F43" s="24">
        <f>'CANTIDADES VALOR INICIAL'!G39</f>
        <v>193.93</v>
      </c>
      <c r="G43" s="25">
        <f>'CANTIDADES VALOR INICIAL'!H39</f>
        <v>44708.712500000001</v>
      </c>
      <c r="H43" s="385">
        <f>G43*'INDEX ICOCIV'!$R$85</f>
        <v>60803.849000000009</v>
      </c>
      <c r="I43" s="26">
        <f t="shared" si="2"/>
        <v>11791690.439999999</v>
      </c>
    </row>
    <row r="44" spans="3:9" ht="56" outlineLevel="1" x14ac:dyDescent="0.2">
      <c r="C44" s="17" t="s">
        <v>53</v>
      </c>
      <c r="D44" s="22" t="s">
        <v>632</v>
      </c>
      <c r="E44" s="23" t="s">
        <v>188</v>
      </c>
      <c r="F44" s="24">
        <f>'CANTIDADES VALOR INICIAL'!G40</f>
        <v>0</v>
      </c>
      <c r="G44" s="25">
        <f>'CANTIDADES VALOR INICIAL'!H40</f>
        <v>114085.1275</v>
      </c>
      <c r="H44" s="385">
        <f>G44*'INDEX ICOCIV'!$R$85</f>
        <v>155155.77340000001</v>
      </c>
      <c r="I44" s="26">
        <f t="shared" si="2"/>
        <v>0</v>
      </c>
    </row>
    <row r="45" spans="3:9" ht="28" outlineLevel="1" x14ac:dyDescent="0.2">
      <c r="C45" s="17" t="s">
        <v>54</v>
      </c>
      <c r="D45" s="22" t="s">
        <v>55</v>
      </c>
      <c r="E45" s="23" t="s">
        <v>611</v>
      </c>
      <c r="F45" s="24">
        <f>'CANTIDADES VALOR INICIAL'!G41</f>
        <v>0</v>
      </c>
      <c r="G45" s="25">
        <f>'CANTIDADES VALOR INICIAL'!H41</f>
        <v>53039.635699999999</v>
      </c>
      <c r="H45" s="385">
        <f>G45*'INDEX ICOCIV'!$R$85</f>
        <v>72133.904552000007</v>
      </c>
      <c r="I45" s="26">
        <f t="shared" si="2"/>
        <v>0</v>
      </c>
    </row>
    <row r="46" spans="3:9" ht="28" outlineLevel="1" x14ac:dyDescent="0.2">
      <c r="C46" s="17" t="s">
        <v>56</v>
      </c>
      <c r="D46" s="22" t="s">
        <v>57</v>
      </c>
      <c r="E46" s="23" t="s">
        <v>188</v>
      </c>
      <c r="F46" s="24">
        <f>'CANTIDADES VALOR INICIAL'!G42</f>
        <v>45.2</v>
      </c>
      <c r="G46" s="25">
        <f>'CANTIDADES VALOR INICIAL'!H42</f>
        <v>68420.391699999993</v>
      </c>
      <c r="H46" s="385">
        <f>G46*'INDEX ICOCIV'!$R$85</f>
        <v>93051.732711999997</v>
      </c>
      <c r="I46" s="26">
        <f t="shared" si="2"/>
        <v>4205938.32</v>
      </c>
    </row>
    <row r="47" spans="3:9" ht="16" outlineLevel="1" x14ac:dyDescent="0.2">
      <c r="C47" s="17" t="s">
        <v>58</v>
      </c>
      <c r="D47" s="22" t="s">
        <v>59</v>
      </c>
      <c r="E47" s="23" t="s">
        <v>188</v>
      </c>
      <c r="F47" s="24">
        <f>'CANTIDADES VALOR INICIAL'!G43</f>
        <v>48.980000000000004</v>
      </c>
      <c r="G47" s="25">
        <f>'CANTIDADES VALOR INICIAL'!H43</f>
        <v>69898.056599999996</v>
      </c>
      <c r="H47" s="385">
        <f>G47*'INDEX ICOCIV'!$R$85</f>
        <v>95061.356975999995</v>
      </c>
      <c r="I47" s="26">
        <f t="shared" si="2"/>
        <v>4656105.26</v>
      </c>
    </row>
    <row r="48" spans="3:9" ht="28" outlineLevel="1" x14ac:dyDescent="0.2">
      <c r="C48" s="17" t="s">
        <v>60</v>
      </c>
      <c r="D48" s="22" t="s">
        <v>633</v>
      </c>
      <c r="E48" s="23" t="s">
        <v>188</v>
      </c>
      <c r="F48" s="24">
        <f>'CANTIDADES VALOR INICIAL'!G44</f>
        <v>1251.2</v>
      </c>
      <c r="G48" s="25">
        <f>'CANTIDADES VALOR INICIAL'!H44</f>
        <v>67936.147200000007</v>
      </c>
      <c r="H48" s="385">
        <f>G48*'INDEX ICOCIV'!$R$85</f>
        <v>92393.16019200001</v>
      </c>
      <c r="I48" s="26">
        <f t="shared" si="2"/>
        <v>115602322.03</v>
      </c>
    </row>
    <row r="49" spans="3:9" ht="42" outlineLevel="1" x14ac:dyDescent="0.2">
      <c r="C49" s="17" t="s">
        <v>61</v>
      </c>
      <c r="D49" s="22" t="s">
        <v>62</v>
      </c>
      <c r="E49" s="23" t="s">
        <v>183</v>
      </c>
      <c r="F49" s="24">
        <f>'CANTIDADES VALOR INICIAL'!G45</f>
        <v>97.95</v>
      </c>
      <c r="G49" s="25">
        <f>'CANTIDADES VALOR INICIAL'!H45</f>
        <v>584445.71439999994</v>
      </c>
      <c r="H49" s="385">
        <f>G49*'INDEX ICOCIV'!$R$85</f>
        <v>794846.171584</v>
      </c>
      <c r="I49" s="26">
        <f t="shared" si="2"/>
        <v>77855182.510000005</v>
      </c>
    </row>
    <row r="50" spans="3:9" ht="16" outlineLevel="1" x14ac:dyDescent="0.2">
      <c r="C50" s="17" t="s">
        <v>63</v>
      </c>
      <c r="D50" s="22" t="s">
        <v>626</v>
      </c>
      <c r="E50" s="23" t="s">
        <v>627</v>
      </c>
      <c r="F50" s="24">
        <f>'CANTIDADES VALOR INICIAL'!G46</f>
        <v>4382.75</v>
      </c>
      <c r="G50" s="25">
        <f>'CANTIDADES VALOR INICIAL'!H46</f>
        <v>5276.8266999999996</v>
      </c>
      <c r="H50" s="385">
        <f>G50*'INDEX ICOCIV'!$R$85</f>
        <v>7176.4843119999996</v>
      </c>
      <c r="I50" s="26">
        <f t="shared" si="2"/>
        <v>31452736.620000001</v>
      </c>
    </row>
    <row r="51" spans="3:9" ht="16" outlineLevel="1" x14ac:dyDescent="0.2">
      <c r="C51" s="17" t="s">
        <v>64</v>
      </c>
      <c r="D51" s="22" t="s">
        <v>65</v>
      </c>
      <c r="E51" s="23" t="s">
        <v>188</v>
      </c>
      <c r="F51" s="24">
        <f>'CANTIDADES VALOR INICIAL'!G47</f>
        <v>355.61</v>
      </c>
      <c r="G51" s="25">
        <f>'CANTIDADES VALOR INICIAL'!H47</f>
        <v>73313.6584</v>
      </c>
      <c r="H51" s="385">
        <f>G51*'INDEX ICOCIV'!$R$85</f>
        <v>99706.57542400001</v>
      </c>
      <c r="I51" s="26">
        <f t="shared" si="2"/>
        <v>35456655.289999999</v>
      </c>
    </row>
    <row r="52" spans="3:9" ht="28" outlineLevel="1" x14ac:dyDescent="0.2">
      <c r="C52" s="17" t="s">
        <v>66</v>
      </c>
      <c r="D52" s="22" t="s">
        <v>634</v>
      </c>
      <c r="E52" s="23" t="s">
        <v>611</v>
      </c>
      <c r="F52" s="24">
        <f>'CANTIDADES VALOR INICIAL'!G48</f>
        <v>1692.6</v>
      </c>
      <c r="G52" s="25">
        <f>'CANTIDADES VALOR INICIAL'!H48</f>
        <v>10072.285599999999</v>
      </c>
      <c r="H52" s="385">
        <f>G52*'INDEX ICOCIV'!$R$85</f>
        <v>13698.308416</v>
      </c>
      <c r="I52" s="26">
        <f t="shared" si="2"/>
        <v>23185756.82</v>
      </c>
    </row>
    <row r="53" spans="3:9" ht="28" outlineLevel="1" x14ac:dyDescent="0.2">
      <c r="C53" s="17" t="s">
        <v>67</v>
      </c>
      <c r="D53" s="22" t="s">
        <v>635</v>
      </c>
      <c r="E53" s="23" t="s">
        <v>188</v>
      </c>
      <c r="F53" s="24">
        <f>'CANTIDADES VALOR INICIAL'!G49</f>
        <v>0</v>
      </c>
      <c r="G53" s="25">
        <f>'CANTIDADES VALOR INICIAL'!H49</f>
        <v>9934.2039999999997</v>
      </c>
      <c r="H53" s="385">
        <f>G53*'INDEX ICOCIV'!$R$85</f>
        <v>13510.517440000001</v>
      </c>
      <c r="I53" s="26">
        <f t="shared" si="2"/>
        <v>0</v>
      </c>
    </row>
    <row r="54" spans="3:9" ht="28" outlineLevel="1" x14ac:dyDescent="0.2">
      <c r="C54" s="17" t="s">
        <v>68</v>
      </c>
      <c r="D54" s="22" t="s">
        <v>636</v>
      </c>
      <c r="E54" s="23" t="s">
        <v>183</v>
      </c>
      <c r="F54" s="24">
        <f>'CANTIDADES VALOR INICIAL'!G50</f>
        <v>0</v>
      </c>
      <c r="G54" s="25">
        <f>'CANTIDADES VALOR INICIAL'!H50</f>
        <v>117005.9369</v>
      </c>
      <c r="H54" s="385">
        <f>G54*'INDEX ICOCIV'!$R$85</f>
        <v>159128.07418400003</v>
      </c>
      <c r="I54" s="26">
        <f t="shared" si="2"/>
        <v>0</v>
      </c>
    </row>
    <row r="55" spans="3:9" ht="16" outlineLevel="1" x14ac:dyDescent="0.2">
      <c r="C55" s="17" t="s">
        <v>69</v>
      </c>
      <c r="D55" s="22" t="s">
        <v>637</v>
      </c>
      <c r="E55" s="23" t="s">
        <v>171</v>
      </c>
      <c r="F55" s="24">
        <f>'CANTIDADES VALOR INICIAL'!G51</f>
        <v>0</v>
      </c>
      <c r="G55" s="25">
        <f>'CANTIDADES VALOR INICIAL'!H51</f>
        <v>57444.8223</v>
      </c>
      <c r="H55" s="385">
        <f>G55*'INDEX ICOCIV'!$R$85</f>
        <v>78124.958328000008</v>
      </c>
      <c r="I55" s="26">
        <f t="shared" si="2"/>
        <v>0</v>
      </c>
    </row>
    <row r="56" spans="3:9" ht="28" outlineLevel="1" x14ac:dyDescent="0.2">
      <c r="C56" s="17" t="s">
        <v>70</v>
      </c>
      <c r="D56" s="22" t="s">
        <v>638</v>
      </c>
      <c r="E56" s="23" t="s">
        <v>627</v>
      </c>
      <c r="F56" s="24">
        <f>'CANTIDADES VALOR INICIAL'!G52</f>
        <v>2660.03</v>
      </c>
      <c r="G56" s="25">
        <f>'CANTIDADES VALOR INICIAL'!H52</f>
        <v>3292.8625999999999</v>
      </c>
      <c r="H56" s="385">
        <f>G56*'INDEX ICOCIV'!$R$85</f>
        <v>4478.2931360000002</v>
      </c>
      <c r="I56" s="26">
        <f t="shared" si="2"/>
        <v>11912394.09</v>
      </c>
    </row>
    <row r="57" spans="3:9" ht="21" customHeight="1" x14ac:dyDescent="0.2">
      <c r="C57" s="27">
        <v>4</v>
      </c>
      <c r="D57" s="28" t="s">
        <v>71</v>
      </c>
      <c r="E57" s="29"/>
      <c r="F57" s="30"/>
      <c r="G57" s="15"/>
      <c r="H57" s="384"/>
      <c r="I57" s="16">
        <f>SUM(I58:I72)</f>
        <v>846887146.45000005</v>
      </c>
    </row>
    <row r="58" spans="3:9" ht="84" outlineLevel="1" x14ac:dyDescent="0.2">
      <c r="C58" s="17" t="s">
        <v>72</v>
      </c>
      <c r="D58" s="22" t="s">
        <v>639</v>
      </c>
      <c r="E58" s="23" t="s">
        <v>611</v>
      </c>
      <c r="F58" s="24">
        <f>'CANTIDADES VALOR INICIAL'!G54</f>
        <v>33.9</v>
      </c>
      <c r="G58" s="25">
        <f>'CANTIDADES VALOR INICIAL'!H54</f>
        <v>1720577.2836</v>
      </c>
      <c r="H58" s="385">
        <f>G58*'INDEX ICOCIV'!$R$85</f>
        <v>2339985.1056960002</v>
      </c>
      <c r="I58" s="26">
        <f t="shared" ref="I58:I72" si="3">ROUND(F58*H58,2)</f>
        <v>79325495.079999998</v>
      </c>
    </row>
    <row r="59" spans="3:9" ht="84" outlineLevel="1" x14ac:dyDescent="0.2">
      <c r="C59" s="17" t="s">
        <v>73</v>
      </c>
      <c r="D59" s="22" t="s">
        <v>640</v>
      </c>
      <c r="E59" s="23" t="s">
        <v>611</v>
      </c>
      <c r="F59" s="24">
        <f>'CANTIDADES VALOR INICIAL'!G55</f>
        <v>50.5</v>
      </c>
      <c r="G59" s="25">
        <f>'CANTIDADES VALOR INICIAL'!H55</f>
        <v>1368834.5445000001</v>
      </c>
      <c r="H59" s="385">
        <f>G59*'INDEX ICOCIV'!$R$85</f>
        <v>1861614.9805200002</v>
      </c>
      <c r="I59" s="26">
        <f t="shared" si="3"/>
        <v>94011556.519999996</v>
      </c>
    </row>
    <row r="60" spans="3:9" ht="84" outlineLevel="1" x14ac:dyDescent="0.2">
      <c r="C60" s="17" t="s">
        <v>74</v>
      </c>
      <c r="D60" s="22" t="s">
        <v>641</v>
      </c>
      <c r="E60" s="23" t="s">
        <v>611</v>
      </c>
      <c r="F60" s="24">
        <f>'CANTIDADES VALOR INICIAL'!G56</f>
        <v>137.19999999999999</v>
      </c>
      <c r="G60" s="25">
        <f>'CANTIDADES VALOR INICIAL'!H56</f>
        <v>1114585.0862</v>
      </c>
      <c r="H60" s="385">
        <f>G60*'INDEX ICOCIV'!$R$85</f>
        <v>1515835.7172320001</v>
      </c>
      <c r="I60" s="26">
        <f t="shared" si="3"/>
        <v>207972660.40000001</v>
      </c>
    </row>
    <row r="61" spans="3:9" ht="76.25" customHeight="1" outlineLevel="1" x14ac:dyDescent="0.2">
      <c r="C61" s="17" t="s">
        <v>75</v>
      </c>
      <c r="D61" s="22" t="s">
        <v>642</v>
      </c>
      <c r="E61" s="23" t="s">
        <v>611</v>
      </c>
      <c r="F61" s="24">
        <f>'CANTIDADES VALOR INICIAL'!G57</f>
        <v>249.07999999999998</v>
      </c>
      <c r="G61" s="25">
        <f>'CANTIDADES VALOR INICIAL'!H57</f>
        <v>843851.17799999996</v>
      </c>
      <c r="H61" s="385">
        <f>G61*'INDEX ICOCIV'!$R$85</f>
        <v>1147637.6020800001</v>
      </c>
      <c r="I61" s="26">
        <f t="shared" si="3"/>
        <v>285853573.93000001</v>
      </c>
    </row>
    <row r="62" spans="3:9" ht="70" outlineLevel="1" x14ac:dyDescent="0.2">
      <c r="C62" s="17" t="s">
        <v>76</v>
      </c>
      <c r="D62" s="22" t="s">
        <v>643</v>
      </c>
      <c r="E62" s="23" t="s">
        <v>611</v>
      </c>
      <c r="F62" s="24">
        <f>'CANTIDADES VALOR INICIAL'!G58</f>
        <v>75.599999999999994</v>
      </c>
      <c r="G62" s="25">
        <f>'CANTIDADES VALOR INICIAL'!H58</f>
        <v>504624.00170000002</v>
      </c>
      <c r="H62" s="385">
        <f>G62*'INDEX ICOCIV'!$R$85</f>
        <v>686288.64231200004</v>
      </c>
      <c r="I62" s="26">
        <f t="shared" si="3"/>
        <v>51883421.359999999</v>
      </c>
    </row>
    <row r="63" spans="3:9" ht="70" outlineLevel="1" x14ac:dyDescent="0.2">
      <c r="C63" s="17" t="s">
        <v>77</v>
      </c>
      <c r="D63" s="22" t="s">
        <v>644</v>
      </c>
      <c r="E63" s="23" t="s">
        <v>611</v>
      </c>
      <c r="F63" s="24">
        <f>'CANTIDADES VALOR INICIAL'!G59</f>
        <v>109.8</v>
      </c>
      <c r="G63" s="25">
        <f>'CANTIDADES VALOR INICIAL'!H59</f>
        <v>486925.58439999999</v>
      </c>
      <c r="H63" s="385">
        <f>G63*'INDEX ICOCIV'!$R$85</f>
        <v>662218.79478400003</v>
      </c>
      <c r="I63" s="26">
        <f t="shared" si="3"/>
        <v>72711623.670000002</v>
      </c>
    </row>
    <row r="64" spans="3:9" ht="70" outlineLevel="1" x14ac:dyDescent="0.2">
      <c r="C64" s="17" t="s">
        <v>78</v>
      </c>
      <c r="D64" s="22" t="s">
        <v>645</v>
      </c>
      <c r="E64" s="23" t="s">
        <v>611</v>
      </c>
      <c r="F64" s="24">
        <f>'CANTIDADES VALOR INICIAL'!G60</f>
        <v>93</v>
      </c>
      <c r="G64" s="25">
        <f>'CANTIDADES VALOR INICIAL'!H60</f>
        <v>370252.38579999999</v>
      </c>
      <c r="H64" s="385">
        <f>G64*'INDEX ICOCIV'!$R$85</f>
        <v>503543.24468800001</v>
      </c>
      <c r="I64" s="26">
        <f t="shared" si="3"/>
        <v>46829521.759999998</v>
      </c>
    </row>
    <row r="65" spans="3:9" ht="70" outlineLevel="1" x14ac:dyDescent="0.2">
      <c r="C65" s="17" t="s">
        <v>79</v>
      </c>
      <c r="D65" s="22" t="s">
        <v>646</v>
      </c>
      <c r="E65" s="23" t="s">
        <v>611</v>
      </c>
      <c r="F65" s="24">
        <f>'CANTIDADES VALOR INICIAL'!G61</f>
        <v>18.5</v>
      </c>
      <c r="G65" s="25">
        <f>'CANTIDADES VALOR INICIAL'!H61</f>
        <v>329860.64110000001</v>
      </c>
      <c r="H65" s="385">
        <f>G65*'INDEX ICOCIV'!$R$85</f>
        <v>448610.47189600003</v>
      </c>
      <c r="I65" s="26">
        <f t="shared" si="3"/>
        <v>8299293.7300000004</v>
      </c>
    </row>
    <row r="66" spans="3:9" ht="42" outlineLevel="1" x14ac:dyDescent="0.2">
      <c r="C66" s="17" t="s">
        <v>80</v>
      </c>
      <c r="D66" s="22" t="s">
        <v>647</v>
      </c>
      <c r="E66" s="23" t="s">
        <v>183</v>
      </c>
      <c r="F66" s="24">
        <f>'CANTIDADES VALOR INICIAL'!G62</f>
        <v>0</v>
      </c>
      <c r="G66" s="25">
        <f>'CANTIDADES VALOR INICIAL'!H62</f>
        <v>717353</v>
      </c>
      <c r="H66" s="385">
        <f>G66*'INDEX ICOCIV'!$R$85</f>
        <v>975600.08000000007</v>
      </c>
      <c r="I66" s="26">
        <f t="shared" si="3"/>
        <v>0</v>
      </c>
    </row>
    <row r="67" spans="3:9" ht="16" outlineLevel="1" x14ac:dyDescent="0.2">
      <c r="C67" s="17" t="s">
        <v>81</v>
      </c>
      <c r="D67" s="22" t="s">
        <v>626</v>
      </c>
      <c r="E67" s="23" t="s">
        <v>627</v>
      </c>
      <c r="F67" s="24">
        <f>'CANTIDADES VALOR INICIAL'!G63</f>
        <v>0</v>
      </c>
      <c r="G67" s="25">
        <f>'CANTIDADES VALOR INICIAL'!H63</f>
        <v>2514</v>
      </c>
      <c r="H67" s="385">
        <f>G67*'INDEX ICOCIV'!$R$85</f>
        <v>3419.0400000000004</v>
      </c>
      <c r="I67" s="26">
        <f t="shared" si="3"/>
        <v>0</v>
      </c>
    </row>
    <row r="68" spans="3:9" ht="16" outlineLevel="1" x14ac:dyDescent="0.2">
      <c r="C68" s="17" t="s">
        <v>82</v>
      </c>
      <c r="D68" s="22" t="s">
        <v>648</v>
      </c>
      <c r="E68" s="23" t="s">
        <v>188</v>
      </c>
      <c r="F68" s="24">
        <f>'CANTIDADES VALOR INICIAL'!G64</f>
        <v>0</v>
      </c>
      <c r="G68" s="25">
        <f>'CANTIDADES VALOR INICIAL'!H64</f>
        <v>1363</v>
      </c>
      <c r="H68" s="385">
        <f>G68*'INDEX ICOCIV'!$R$85</f>
        <v>1853.68</v>
      </c>
      <c r="I68" s="26">
        <f t="shared" si="3"/>
        <v>0</v>
      </c>
    </row>
    <row r="69" spans="3:9" ht="28" outlineLevel="1" x14ac:dyDescent="0.2">
      <c r="C69" s="17" t="s">
        <v>83</v>
      </c>
      <c r="D69" s="22" t="s">
        <v>649</v>
      </c>
      <c r="E69" s="23" t="s">
        <v>183</v>
      </c>
      <c r="F69" s="24">
        <f>'CANTIDADES VALOR INICIAL'!G65</f>
        <v>0</v>
      </c>
      <c r="G69" s="25">
        <f>'CANTIDADES VALOR INICIAL'!H65</f>
        <v>283846</v>
      </c>
      <c r="H69" s="385">
        <f>G69*'INDEX ICOCIV'!$R$85</f>
        <v>386030.56000000006</v>
      </c>
      <c r="I69" s="26">
        <f t="shared" si="3"/>
        <v>0</v>
      </c>
    </row>
    <row r="70" spans="3:9" ht="16" outlineLevel="1" x14ac:dyDescent="0.2">
      <c r="C70" s="17" t="s">
        <v>84</v>
      </c>
      <c r="D70" s="22" t="s">
        <v>85</v>
      </c>
      <c r="E70" s="23" t="s">
        <v>171</v>
      </c>
      <c r="F70" s="24">
        <f>'CANTIDADES VALOR INICIAL'!G66</f>
        <v>0</v>
      </c>
      <c r="G70" s="25">
        <f>'CANTIDADES VALOR INICIAL'!H66</f>
        <v>27733</v>
      </c>
      <c r="H70" s="385">
        <f>G70*'INDEX ICOCIV'!$R$85</f>
        <v>37716.880000000005</v>
      </c>
      <c r="I70" s="26">
        <f t="shared" si="3"/>
        <v>0</v>
      </c>
    </row>
    <row r="71" spans="3:9" ht="28" outlineLevel="1" x14ac:dyDescent="0.2">
      <c r="C71" s="17" t="s">
        <v>86</v>
      </c>
      <c r="D71" s="22" t="s">
        <v>650</v>
      </c>
      <c r="E71" s="23" t="s">
        <v>171</v>
      </c>
      <c r="F71" s="24">
        <f>'CANTIDADES VALOR INICIAL'!G67</f>
        <v>0</v>
      </c>
      <c r="G71" s="25">
        <f>'CANTIDADES VALOR INICIAL'!H67</f>
        <v>24040</v>
      </c>
      <c r="H71" s="385">
        <f>G71*'INDEX ICOCIV'!$R$85</f>
        <v>32694.400000000001</v>
      </c>
      <c r="I71" s="26">
        <f t="shared" si="3"/>
        <v>0</v>
      </c>
    </row>
    <row r="72" spans="3:9" ht="16" outlineLevel="1" x14ac:dyDescent="0.2">
      <c r="C72" s="17" t="s">
        <v>87</v>
      </c>
      <c r="D72" s="22" t="s">
        <v>651</v>
      </c>
      <c r="E72" s="23" t="s">
        <v>171</v>
      </c>
      <c r="F72" s="24">
        <f>'CANTIDADES VALOR INICIAL'!G68</f>
        <v>0</v>
      </c>
      <c r="G72" s="25">
        <f>'CANTIDADES VALOR INICIAL'!H68</f>
        <v>9962</v>
      </c>
      <c r="H72" s="385">
        <f>G72*'INDEX ICOCIV'!$R$85</f>
        <v>13548.320000000002</v>
      </c>
      <c r="I72" s="26">
        <f t="shared" si="3"/>
        <v>0</v>
      </c>
    </row>
    <row r="73" spans="3:9" ht="21" customHeight="1" x14ac:dyDescent="0.2">
      <c r="C73" s="27">
        <v>5</v>
      </c>
      <c r="D73" s="28" t="s">
        <v>88</v>
      </c>
      <c r="E73" s="29"/>
      <c r="F73" s="14"/>
      <c r="G73" s="15"/>
      <c r="H73" s="384"/>
      <c r="I73" s="16">
        <f>SUM(I74:I84)</f>
        <v>244414813.56000003</v>
      </c>
    </row>
    <row r="74" spans="3:9" ht="16" outlineLevel="1" x14ac:dyDescent="0.2">
      <c r="C74" s="17" t="s">
        <v>89</v>
      </c>
      <c r="D74" s="22" t="s">
        <v>652</v>
      </c>
      <c r="E74" s="23" t="s">
        <v>611</v>
      </c>
      <c r="F74" s="24">
        <f>'CANTIDADES VALOR INICIAL'!G70</f>
        <v>819.4</v>
      </c>
      <c r="G74" s="25">
        <f>'CANTIDADES VALOR INICIAL'!H70</f>
        <v>218193.85939999999</v>
      </c>
      <c r="H74" s="385">
        <f>G74*'INDEX ICOCIV'!$R$85</f>
        <v>296743.64878400002</v>
      </c>
      <c r="I74" s="26">
        <f t="shared" ref="I74:I84" si="4">ROUND(F74*H74,2)</f>
        <v>243151745.81</v>
      </c>
    </row>
    <row r="75" spans="3:9" ht="28" outlineLevel="1" x14ac:dyDescent="0.2">
      <c r="C75" s="17" t="s">
        <v>90</v>
      </c>
      <c r="D75" s="22" t="s">
        <v>91</v>
      </c>
      <c r="E75" s="23" t="s">
        <v>176</v>
      </c>
      <c r="F75" s="24">
        <f>'CANTIDADES VALOR INICIAL'!G71</f>
        <v>1</v>
      </c>
      <c r="G75" s="25">
        <f>'CANTIDADES VALOR INICIAL'!H71</f>
        <v>147594.8469</v>
      </c>
      <c r="H75" s="385">
        <f>G75*'INDEX ICOCIV'!$R$85</f>
        <v>200728.99178400001</v>
      </c>
      <c r="I75" s="26">
        <f t="shared" si="4"/>
        <v>200728.99</v>
      </c>
    </row>
    <row r="76" spans="3:9" ht="16" outlineLevel="1" x14ac:dyDescent="0.2">
      <c r="C76" s="17" t="s">
        <v>92</v>
      </c>
      <c r="D76" s="22" t="s">
        <v>653</v>
      </c>
      <c r="E76" s="23" t="s">
        <v>176</v>
      </c>
      <c r="F76" s="24">
        <f>'CANTIDADES VALOR INICIAL'!G72</f>
        <v>0</v>
      </c>
      <c r="G76" s="25">
        <f>'CANTIDADES VALOR INICIAL'!H72</f>
        <v>147961.14670000001</v>
      </c>
      <c r="H76" s="385">
        <f>G76*'INDEX ICOCIV'!$R$85</f>
        <v>201227.15951200004</v>
      </c>
      <c r="I76" s="26">
        <f t="shared" si="4"/>
        <v>0</v>
      </c>
    </row>
    <row r="77" spans="3:9" ht="42" outlineLevel="1" x14ac:dyDescent="0.2">
      <c r="C77" s="17" t="s">
        <v>93</v>
      </c>
      <c r="D77" s="22" t="s">
        <v>94</v>
      </c>
      <c r="E77" s="23" t="s">
        <v>176</v>
      </c>
      <c r="F77" s="24">
        <f>'CANTIDADES VALOR INICIAL'!G73</f>
        <v>1</v>
      </c>
      <c r="G77" s="25">
        <f>'CANTIDADES VALOR INICIAL'!H73</f>
        <v>529077.86950000003</v>
      </c>
      <c r="H77" s="385">
        <f>G77*'INDEX ICOCIV'!$R$85</f>
        <v>719545.90252000012</v>
      </c>
      <c r="I77" s="26">
        <f t="shared" si="4"/>
        <v>719545.9</v>
      </c>
    </row>
    <row r="78" spans="3:9" ht="42" outlineLevel="1" x14ac:dyDescent="0.2">
      <c r="C78" s="17" t="s">
        <v>95</v>
      </c>
      <c r="D78" s="22" t="s">
        <v>96</v>
      </c>
      <c r="E78" s="23" t="s">
        <v>188</v>
      </c>
      <c r="F78" s="24">
        <f>'CANTIDADES VALOR INICIAL'!G74</f>
        <v>0</v>
      </c>
      <c r="G78" s="25">
        <f>'CANTIDADES VALOR INICIAL'!H74</f>
        <v>618142.41929999995</v>
      </c>
      <c r="H78" s="385">
        <f>G78*'INDEX ICOCIV'!$R$85</f>
        <v>840673.69024799997</v>
      </c>
      <c r="I78" s="26">
        <f t="shared" si="4"/>
        <v>0</v>
      </c>
    </row>
    <row r="79" spans="3:9" ht="28" outlineLevel="1" x14ac:dyDescent="0.2">
      <c r="C79" s="17" t="s">
        <v>97</v>
      </c>
      <c r="D79" s="22" t="s">
        <v>98</v>
      </c>
      <c r="E79" s="23" t="s">
        <v>611</v>
      </c>
      <c r="F79" s="24">
        <f>'CANTIDADES VALOR INICIAL'!G75</f>
        <v>0</v>
      </c>
      <c r="G79" s="25">
        <f>'CANTIDADES VALOR INICIAL'!H75</f>
        <v>27576.046200000001</v>
      </c>
      <c r="H79" s="385">
        <f>G79*'INDEX ICOCIV'!$R$85</f>
        <v>37503.422832000004</v>
      </c>
      <c r="I79" s="26">
        <f t="shared" si="4"/>
        <v>0</v>
      </c>
    </row>
    <row r="80" spans="3:9" ht="28" outlineLevel="1" x14ac:dyDescent="0.2">
      <c r="C80" s="17" t="s">
        <v>99</v>
      </c>
      <c r="D80" s="22" t="s">
        <v>100</v>
      </c>
      <c r="E80" s="23" t="s">
        <v>183</v>
      </c>
      <c r="F80" s="24">
        <f>'CANTIDADES VALOR INICIAL'!G76</f>
        <v>1</v>
      </c>
      <c r="G80" s="25">
        <f>'CANTIDADES VALOR INICIAL'!H76</f>
        <v>32422.326799999999</v>
      </c>
      <c r="H80" s="385">
        <f>G80*'INDEX ICOCIV'!$R$85</f>
        <v>44094.364448</v>
      </c>
      <c r="I80" s="26">
        <f t="shared" si="4"/>
        <v>44094.36</v>
      </c>
    </row>
    <row r="81" spans="3:9" ht="42" outlineLevel="1" x14ac:dyDescent="0.2">
      <c r="C81" s="17" t="s">
        <v>101</v>
      </c>
      <c r="D81" s="22" t="s">
        <v>654</v>
      </c>
      <c r="E81" s="23" t="s">
        <v>176</v>
      </c>
      <c r="F81" s="24">
        <f>'CANTIDADES VALOR INICIAL'!G77</f>
        <v>0</v>
      </c>
      <c r="G81" s="25">
        <f>'CANTIDADES VALOR INICIAL'!H77</f>
        <v>218273.44810000001</v>
      </c>
      <c r="H81" s="385">
        <f>G81*'INDEX ICOCIV'!$R$85</f>
        <v>296851.88941600005</v>
      </c>
      <c r="I81" s="26">
        <f t="shared" si="4"/>
        <v>0</v>
      </c>
    </row>
    <row r="82" spans="3:9" ht="42" outlineLevel="1" x14ac:dyDescent="0.2">
      <c r="C82" s="17" t="s">
        <v>102</v>
      </c>
      <c r="D82" s="22" t="s">
        <v>655</v>
      </c>
      <c r="E82" s="23" t="s">
        <v>176</v>
      </c>
      <c r="F82" s="24">
        <f>'CANTIDADES VALOR INICIAL'!G78</f>
        <v>0</v>
      </c>
      <c r="G82" s="25">
        <f>'CANTIDADES VALOR INICIAL'!H78</f>
        <v>211951.4204</v>
      </c>
      <c r="H82" s="385">
        <f>G82*'INDEX ICOCIV'!$R$85</f>
        <v>288253.931744</v>
      </c>
      <c r="I82" s="26">
        <f t="shared" si="4"/>
        <v>0</v>
      </c>
    </row>
    <row r="83" spans="3:9" ht="42" outlineLevel="1" x14ac:dyDescent="0.2">
      <c r="C83" s="17" t="s">
        <v>103</v>
      </c>
      <c r="D83" s="22" t="s">
        <v>104</v>
      </c>
      <c r="E83" s="23" t="s">
        <v>176</v>
      </c>
      <c r="F83" s="24">
        <f>'CANTIDADES VALOR INICIAL'!G79</f>
        <v>0</v>
      </c>
      <c r="G83" s="25">
        <f>'CANTIDADES VALOR INICIAL'!H79</f>
        <v>211952.3793</v>
      </c>
      <c r="H83" s="385">
        <f>G83*'INDEX ICOCIV'!$R$85</f>
        <v>288255.23584800004</v>
      </c>
      <c r="I83" s="26">
        <f t="shared" si="4"/>
        <v>0</v>
      </c>
    </row>
    <row r="84" spans="3:9" ht="16" outlineLevel="1" x14ac:dyDescent="0.2">
      <c r="C84" s="17" t="s">
        <v>105</v>
      </c>
      <c r="D84" s="22" t="s">
        <v>106</v>
      </c>
      <c r="E84" s="23" t="s">
        <v>188</v>
      </c>
      <c r="F84" s="24">
        <f>'CANTIDADES VALOR INICIAL'!G80</f>
        <v>5</v>
      </c>
      <c r="G84" s="25">
        <f>'CANTIDADES VALOR INICIAL'!H80</f>
        <v>43926.250099999997</v>
      </c>
      <c r="H84" s="385">
        <f>G84*'INDEX ICOCIV'!$R$85</f>
        <v>59739.700135999999</v>
      </c>
      <c r="I84" s="26">
        <f t="shared" si="4"/>
        <v>298698.5</v>
      </c>
    </row>
    <row r="85" spans="3:9" ht="21" customHeight="1" x14ac:dyDescent="0.2">
      <c r="C85" s="27">
        <v>6</v>
      </c>
      <c r="D85" s="28" t="s">
        <v>107</v>
      </c>
      <c r="E85" s="29"/>
      <c r="F85" s="14"/>
      <c r="G85" s="15"/>
      <c r="H85" s="384"/>
      <c r="I85" s="16">
        <f>SUM(I86:I117)</f>
        <v>174812315.33999997</v>
      </c>
    </row>
    <row r="86" spans="3:9" ht="28" outlineLevel="1" x14ac:dyDescent="0.2">
      <c r="C86" s="17" t="s">
        <v>108</v>
      </c>
      <c r="D86" s="22" t="s">
        <v>656</v>
      </c>
      <c r="E86" s="23" t="s">
        <v>176</v>
      </c>
      <c r="F86" s="24">
        <f>'CANTIDADES VALOR INICIAL'!G82</f>
        <v>44.599999999999994</v>
      </c>
      <c r="G86" s="25">
        <f>'CANTIDADES VALOR INICIAL'!H82</f>
        <v>331564.60639999999</v>
      </c>
      <c r="H86" s="385">
        <f>G86*'INDEX ICOCIV'!$R$85</f>
        <v>450927.86470400001</v>
      </c>
      <c r="I86" s="26">
        <f t="shared" ref="I86:I117" si="5">ROUND(F86*H86,2)</f>
        <v>20111382.77</v>
      </c>
    </row>
    <row r="87" spans="3:9" ht="42" outlineLevel="1" x14ac:dyDescent="0.2">
      <c r="C87" s="17" t="s">
        <v>109</v>
      </c>
      <c r="D87" s="22" t="s">
        <v>657</v>
      </c>
      <c r="E87" s="23" t="s">
        <v>176</v>
      </c>
      <c r="F87" s="24">
        <f>'CANTIDADES VALOR INICIAL'!G83</f>
        <v>60</v>
      </c>
      <c r="G87" s="25">
        <f>'CANTIDADES VALOR INICIAL'!H83</f>
        <v>246192.78049999999</v>
      </c>
      <c r="H87" s="385">
        <f>G87*'INDEX ICOCIV'!$R$85</f>
        <v>334822.18148000003</v>
      </c>
      <c r="I87" s="26">
        <f t="shared" si="5"/>
        <v>20089330.890000001</v>
      </c>
    </row>
    <row r="88" spans="3:9" ht="42" outlineLevel="1" x14ac:dyDescent="0.2">
      <c r="C88" s="17" t="s">
        <v>110</v>
      </c>
      <c r="D88" s="22" t="s">
        <v>111</v>
      </c>
      <c r="E88" s="23" t="s">
        <v>176</v>
      </c>
      <c r="F88" s="24">
        <f>'CANTIDADES VALOR INICIAL'!G84</f>
        <v>9</v>
      </c>
      <c r="G88" s="25">
        <f>'CANTIDADES VALOR INICIAL'!H84</f>
        <v>2916246.9537999998</v>
      </c>
      <c r="H88" s="385">
        <f>G88*'INDEX ICOCIV'!$R$85</f>
        <v>3966095.8571680002</v>
      </c>
      <c r="I88" s="26">
        <f t="shared" si="5"/>
        <v>35694862.710000001</v>
      </c>
    </row>
    <row r="89" spans="3:9" ht="28" outlineLevel="1" x14ac:dyDescent="0.2">
      <c r="C89" s="17" t="s">
        <v>112</v>
      </c>
      <c r="D89" s="22" t="s">
        <v>658</v>
      </c>
      <c r="E89" s="23" t="s">
        <v>176</v>
      </c>
      <c r="F89" s="24">
        <f>'CANTIDADES VALOR INICIAL'!G85</f>
        <v>9</v>
      </c>
      <c r="G89" s="25">
        <f>'CANTIDADES VALOR INICIAL'!H85</f>
        <v>1240107.9728999999</v>
      </c>
      <c r="H89" s="385">
        <f>G89*'INDEX ICOCIV'!$R$85</f>
        <v>1686546.843144</v>
      </c>
      <c r="I89" s="26">
        <f t="shared" si="5"/>
        <v>15178921.59</v>
      </c>
    </row>
    <row r="90" spans="3:9" ht="16" outlineLevel="1" x14ac:dyDescent="0.2">
      <c r="C90" s="17" t="s">
        <v>113</v>
      </c>
      <c r="D90" s="22" t="s">
        <v>114</v>
      </c>
      <c r="E90" s="23" t="s">
        <v>176</v>
      </c>
      <c r="F90" s="24">
        <f>'CANTIDADES VALOR INICIAL'!G86</f>
        <v>8</v>
      </c>
      <c r="G90" s="25">
        <f>'CANTIDADES VALOR INICIAL'!H86</f>
        <v>5537763.5268999999</v>
      </c>
      <c r="H90" s="385">
        <f>G90*'INDEX ICOCIV'!$R$85</f>
        <v>7531358.3965840004</v>
      </c>
      <c r="I90" s="26">
        <f t="shared" si="5"/>
        <v>60250867.170000002</v>
      </c>
    </row>
    <row r="91" spans="3:9" ht="28" outlineLevel="1" x14ac:dyDescent="0.2">
      <c r="C91" s="17" t="s">
        <v>115</v>
      </c>
      <c r="D91" s="22" t="s">
        <v>659</v>
      </c>
      <c r="E91" s="23" t="s">
        <v>611</v>
      </c>
      <c r="F91" s="24">
        <f>'CANTIDADES VALOR INICIAL'!G87</f>
        <v>0</v>
      </c>
      <c r="G91" s="25">
        <f>'CANTIDADES VALOR INICIAL'!H87</f>
        <v>174771.0318</v>
      </c>
      <c r="H91" s="385">
        <f>G91*'INDEX ICOCIV'!$R$85</f>
        <v>237688.603248</v>
      </c>
      <c r="I91" s="26">
        <f t="shared" si="5"/>
        <v>0</v>
      </c>
    </row>
    <row r="92" spans="3:9" ht="16" outlineLevel="1" x14ac:dyDescent="0.2">
      <c r="C92" s="17" t="s">
        <v>116</v>
      </c>
      <c r="D92" s="22" t="s">
        <v>117</v>
      </c>
      <c r="E92" s="23" t="s">
        <v>183</v>
      </c>
      <c r="F92" s="24">
        <f>'CANTIDADES VALOR INICIAL'!G88</f>
        <v>0</v>
      </c>
      <c r="G92" s="25">
        <f>'CANTIDADES VALOR INICIAL'!H88</f>
        <v>598917.43319999997</v>
      </c>
      <c r="H92" s="385">
        <f>G92*'INDEX ICOCIV'!$R$85</f>
        <v>814527.70915200002</v>
      </c>
      <c r="I92" s="26">
        <f t="shared" si="5"/>
        <v>0</v>
      </c>
    </row>
    <row r="93" spans="3:9" ht="28" outlineLevel="1" x14ac:dyDescent="0.2">
      <c r="C93" s="17" t="s">
        <v>118</v>
      </c>
      <c r="D93" s="22" t="s">
        <v>660</v>
      </c>
      <c r="E93" s="23" t="s">
        <v>183</v>
      </c>
      <c r="F93" s="24">
        <f>'CANTIDADES VALOR INICIAL'!G89</f>
        <v>60</v>
      </c>
      <c r="G93" s="25">
        <f>'CANTIDADES VALOR INICIAL'!H89</f>
        <v>4852.0339999999997</v>
      </c>
      <c r="H93" s="385">
        <f>G93*'INDEX ICOCIV'!$R$85</f>
        <v>6598.7662399999999</v>
      </c>
      <c r="I93" s="26">
        <f t="shared" si="5"/>
        <v>395925.97</v>
      </c>
    </row>
    <row r="94" spans="3:9" ht="28" outlineLevel="1" x14ac:dyDescent="0.2">
      <c r="C94" s="17" t="s">
        <v>119</v>
      </c>
      <c r="D94" s="22" t="s">
        <v>661</v>
      </c>
      <c r="E94" s="23" t="s">
        <v>183</v>
      </c>
      <c r="F94" s="24">
        <f>'CANTIDADES VALOR INICIAL'!G90</f>
        <v>50.47</v>
      </c>
      <c r="G94" s="25">
        <f>'CANTIDADES VALOR INICIAL'!H90</f>
        <v>67202.588699999993</v>
      </c>
      <c r="H94" s="385">
        <f>G94*'INDEX ICOCIV'!$R$85</f>
        <v>91395.520632</v>
      </c>
      <c r="I94" s="26">
        <f t="shared" si="5"/>
        <v>4612731.93</v>
      </c>
    </row>
    <row r="95" spans="3:9" ht="42" outlineLevel="1" x14ac:dyDescent="0.2">
      <c r="C95" s="17" t="s">
        <v>120</v>
      </c>
      <c r="D95" s="22" t="s">
        <v>121</v>
      </c>
      <c r="E95" s="23" t="s">
        <v>183</v>
      </c>
      <c r="F95" s="24">
        <f>'CANTIDADES VALOR INICIAL'!G91</f>
        <v>0</v>
      </c>
      <c r="G95" s="25">
        <f>'CANTIDADES VALOR INICIAL'!H91</f>
        <v>100695.04790000001</v>
      </c>
      <c r="H95" s="385">
        <f>G95*'INDEX ICOCIV'!$R$85</f>
        <v>136945.265144</v>
      </c>
      <c r="I95" s="26">
        <f t="shared" si="5"/>
        <v>0</v>
      </c>
    </row>
    <row r="96" spans="3:9" ht="28" outlineLevel="1" x14ac:dyDescent="0.2">
      <c r="C96" s="17" t="s">
        <v>122</v>
      </c>
      <c r="D96" s="22" t="s">
        <v>662</v>
      </c>
      <c r="E96" s="23" t="s">
        <v>183</v>
      </c>
      <c r="F96" s="24">
        <f>'CANTIDADES VALOR INICIAL'!G92</f>
        <v>7.5</v>
      </c>
      <c r="G96" s="25">
        <f>'CANTIDADES VALOR INICIAL'!H92</f>
        <v>129145.6109</v>
      </c>
      <c r="H96" s="385">
        <f>G96*'INDEX ICOCIV'!$R$85</f>
        <v>175638.03082400002</v>
      </c>
      <c r="I96" s="26">
        <f t="shared" si="5"/>
        <v>1317285.23</v>
      </c>
    </row>
    <row r="97" spans="3:9" ht="28" outlineLevel="1" x14ac:dyDescent="0.2">
      <c r="C97" s="17" t="s">
        <v>123</v>
      </c>
      <c r="D97" s="22" t="s">
        <v>124</v>
      </c>
      <c r="E97" s="23" t="s">
        <v>188</v>
      </c>
      <c r="F97" s="24">
        <f>'CANTIDADES VALOR INICIAL'!G93</f>
        <v>0</v>
      </c>
      <c r="G97" s="25">
        <f>'CANTIDADES VALOR INICIAL'!H93</f>
        <v>52047.174200000001</v>
      </c>
      <c r="H97" s="385">
        <f>G97*'INDEX ICOCIV'!$R$85</f>
        <v>70784.156912000006</v>
      </c>
      <c r="I97" s="26">
        <f t="shared" si="5"/>
        <v>0</v>
      </c>
    </row>
    <row r="98" spans="3:9" ht="28" outlineLevel="1" x14ac:dyDescent="0.2">
      <c r="C98" s="17" t="s">
        <v>125</v>
      </c>
      <c r="D98" s="22" t="s">
        <v>663</v>
      </c>
      <c r="E98" s="23" t="s">
        <v>611</v>
      </c>
      <c r="F98" s="24">
        <f>'CANTIDADES VALOR INICIAL'!G94</f>
        <v>0</v>
      </c>
      <c r="G98" s="25">
        <f>'CANTIDADES VALOR INICIAL'!H94</f>
        <v>43766.113799999999</v>
      </c>
      <c r="H98" s="385">
        <f>G98*'INDEX ICOCIV'!$R$85</f>
        <v>59521.914768000002</v>
      </c>
      <c r="I98" s="26">
        <f t="shared" si="5"/>
        <v>0</v>
      </c>
    </row>
    <row r="99" spans="3:9" ht="28" outlineLevel="1" x14ac:dyDescent="0.2">
      <c r="C99" s="17" t="s">
        <v>126</v>
      </c>
      <c r="D99" s="22" t="s">
        <v>664</v>
      </c>
      <c r="E99" s="23" t="s">
        <v>611</v>
      </c>
      <c r="F99" s="24">
        <f>'CANTIDADES VALOR INICIAL'!G95</f>
        <v>30</v>
      </c>
      <c r="G99" s="25">
        <f>'CANTIDADES VALOR INICIAL'!H95</f>
        <v>51428.683700000001</v>
      </c>
      <c r="H99" s="385">
        <f>G99*'INDEX ICOCIV'!$R$85</f>
        <v>69943.009832000011</v>
      </c>
      <c r="I99" s="26">
        <f t="shared" si="5"/>
        <v>2098290.29</v>
      </c>
    </row>
    <row r="100" spans="3:9" ht="28" outlineLevel="1" x14ac:dyDescent="0.2">
      <c r="C100" s="17" t="s">
        <v>127</v>
      </c>
      <c r="D100" s="22" t="s">
        <v>665</v>
      </c>
      <c r="E100" s="23" t="s">
        <v>611</v>
      </c>
      <c r="F100" s="24">
        <f>'CANTIDADES VALOR INICIAL'!G96</f>
        <v>0</v>
      </c>
      <c r="G100" s="25">
        <f>'CANTIDADES VALOR INICIAL'!H96</f>
        <v>85259.634600000005</v>
      </c>
      <c r="H100" s="385">
        <f>G100*'INDEX ICOCIV'!$R$85</f>
        <v>115953.10305600002</v>
      </c>
      <c r="I100" s="26">
        <f t="shared" si="5"/>
        <v>0</v>
      </c>
    </row>
    <row r="101" spans="3:9" ht="28" outlineLevel="1" x14ac:dyDescent="0.2">
      <c r="C101" s="17" t="s">
        <v>128</v>
      </c>
      <c r="D101" s="22" t="s">
        <v>666</v>
      </c>
      <c r="E101" s="23" t="s">
        <v>611</v>
      </c>
      <c r="F101" s="24">
        <f>'CANTIDADES VALOR INICIAL'!G97</f>
        <v>0</v>
      </c>
      <c r="G101" s="25">
        <f>'CANTIDADES VALOR INICIAL'!H97</f>
        <v>115168.6845</v>
      </c>
      <c r="H101" s="385">
        <f>G101*'INDEX ICOCIV'!$R$85</f>
        <v>156629.41092000002</v>
      </c>
      <c r="I101" s="26">
        <f t="shared" si="5"/>
        <v>0</v>
      </c>
    </row>
    <row r="102" spans="3:9" ht="28" outlineLevel="1" x14ac:dyDescent="0.2">
      <c r="C102" s="17" t="s">
        <v>129</v>
      </c>
      <c r="D102" s="22" t="s">
        <v>667</v>
      </c>
      <c r="E102" s="23" t="s">
        <v>611</v>
      </c>
      <c r="F102" s="24">
        <f>'CANTIDADES VALOR INICIAL'!G98</f>
        <v>0</v>
      </c>
      <c r="G102" s="25">
        <f>'CANTIDADES VALOR INICIAL'!H98</f>
        <v>129086.1591</v>
      </c>
      <c r="H102" s="385">
        <f>G102*'INDEX ICOCIV'!$R$85</f>
        <v>175557.17637600002</v>
      </c>
      <c r="I102" s="26">
        <f t="shared" si="5"/>
        <v>0</v>
      </c>
    </row>
    <row r="103" spans="3:9" ht="28" outlineLevel="1" x14ac:dyDescent="0.2">
      <c r="C103" s="17" t="s">
        <v>130</v>
      </c>
      <c r="D103" s="22" t="s">
        <v>668</v>
      </c>
      <c r="E103" s="23" t="s">
        <v>611</v>
      </c>
      <c r="F103" s="24">
        <f>'CANTIDADES VALOR INICIAL'!G99</f>
        <v>0</v>
      </c>
      <c r="G103" s="25">
        <f>'CANTIDADES VALOR INICIAL'!H99</f>
        <v>167573.52840000001</v>
      </c>
      <c r="H103" s="385">
        <f>G103*'INDEX ICOCIV'!$R$85</f>
        <v>227899.99862400003</v>
      </c>
      <c r="I103" s="26">
        <f t="shared" si="5"/>
        <v>0</v>
      </c>
    </row>
    <row r="104" spans="3:9" ht="28" outlineLevel="1" x14ac:dyDescent="0.2">
      <c r="C104" s="17" t="s">
        <v>131</v>
      </c>
      <c r="D104" s="22" t="s">
        <v>669</v>
      </c>
      <c r="E104" s="23" t="s">
        <v>611</v>
      </c>
      <c r="F104" s="24">
        <f>'CANTIDADES VALOR INICIAL'!G100</f>
        <v>0</v>
      </c>
      <c r="G104" s="25">
        <f>'CANTIDADES VALOR INICIAL'!H100</f>
        <v>217077.6998</v>
      </c>
      <c r="H104" s="385">
        <f>G104*'INDEX ICOCIV'!$R$85</f>
        <v>295225.67172800004</v>
      </c>
      <c r="I104" s="26">
        <f t="shared" si="5"/>
        <v>0</v>
      </c>
    </row>
    <row r="105" spans="3:9" ht="28" outlineLevel="1" x14ac:dyDescent="0.2">
      <c r="C105" s="17" t="s">
        <v>132</v>
      </c>
      <c r="D105" s="22" t="s">
        <v>670</v>
      </c>
      <c r="E105" s="23" t="s">
        <v>611</v>
      </c>
      <c r="F105" s="24">
        <f>'CANTIDADES VALOR INICIAL'!G101</f>
        <v>0</v>
      </c>
      <c r="G105" s="25">
        <f>'CANTIDADES VALOR INICIAL'!H101</f>
        <v>288916.57</v>
      </c>
      <c r="H105" s="385">
        <f>G105*'INDEX ICOCIV'!$R$85</f>
        <v>392926.53520000004</v>
      </c>
      <c r="I105" s="26">
        <f t="shared" si="5"/>
        <v>0</v>
      </c>
    </row>
    <row r="106" spans="3:9" ht="28" outlineLevel="1" x14ac:dyDescent="0.2">
      <c r="C106" s="17" t="s">
        <v>133</v>
      </c>
      <c r="D106" s="22" t="s">
        <v>671</v>
      </c>
      <c r="E106" s="23" t="s">
        <v>611</v>
      </c>
      <c r="F106" s="24">
        <f>'CANTIDADES VALOR INICIAL'!G102</f>
        <v>0</v>
      </c>
      <c r="G106" s="25">
        <f>'CANTIDADES VALOR INICIAL'!H102</f>
        <v>309759.22039999999</v>
      </c>
      <c r="H106" s="385">
        <f>G106*'INDEX ICOCIV'!$R$85</f>
        <v>421272.53974400001</v>
      </c>
      <c r="I106" s="26">
        <f t="shared" si="5"/>
        <v>0</v>
      </c>
    </row>
    <row r="107" spans="3:9" ht="28" outlineLevel="1" x14ac:dyDescent="0.2">
      <c r="C107" s="17" t="s">
        <v>134</v>
      </c>
      <c r="D107" s="22" t="s">
        <v>672</v>
      </c>
      <c r="E107" s="23" t="s">
        <v>611</v>
      </c>
      <c r="F107" s="24">
        <f>'CANTIDADES VALOR INICIAL'!G103</f>
        <v>0</v>
      </c>
      <c r="G107" s="25">
        <f>'CANTIDADES VALOR INICIAL'!H103</f>
        <v>379500.97629999998</v>
      </c>
      <c r="H107" s="385">
        <f>G107*'INDEX ICOCIV'!$R$85</f>
        <v>516121.32776800002</v>
      </c>
      <c r="I107" s="26">
        <f t="shared" si="5"/>
        <v>0</v>
      </c>
    </row>
    <row r="108" spans="3:9" ht="28" outlineLevel="1" x14ac:dyDescent="0.2">
      <c r="C108" s="17" t="s">
        <v>135</v>
      </c>
      <c r="D108" s="22" t="s">
        <v>673</v>
      </c>
      <c r="E108" s="23" t="s">
        <v>611</v>
      </c>
      <c r="F108" s="24">
        <f>'CANTIDADES VALOR INICIAL'!G104</f>
        <v>0</v>
      </c>
      <c r="G108" s="25">
        <f>'CANTIDADES VALOR INICIAL'!H104</f>
        <v>1062803.5273</v>
      </c>
      <c r="H108" s="385">
        <f>G108*'INDEX ICOCIV'!$R$85</f>
        <v>1445412.7971280001</v>
      </c>
      <c r="I108" s="26">
        <f t="shared" si="5"/>
        <v>0</v>
      </c>
    </row>
    <row r="109" spans="3:9" ht="16" outlineLevel="1" x14ac:dyDescent="0.2">
      <c r="C109" s="17" t="s">
        <v>136</v>
      </c>
      <c r="D109" s="22" t="s">
        <v>674</v>
      </c>
      <c r="E109" s="23" t="s">
        <v>176</v>
      </c>
      <c r="F109" s="24">
        <f>'CANTIDADES VALOR INICIAL'!G105</f>
        <v>0</v>
      </c>
      <c r="G109" s="25">
        <f>'CANTIDADES VALOR INICIAL'!H105</f>
        <v>66330.948600000003</v>
      </c>
      <c r="H109" s="385">
        <f>G109*'INDEX ICOCIV'!$R$85</f>
        <v>90210.090096000014</v>
      </c>
      <c r="I109" s="26">
        <f t="shared" si="5"/>
        <v>0</v>
      </c>
    </row>
    <row r="110" spans="3:9" ht="28" outlineLevel="1" x14ac:dyDescent="0.2">
      <c r="C110" s="17" t="s">
        <v>137</v>
      </c>
      <c r="D110" s="22" t="s">
        <v>675</v>
      </c>
      <c r="E110" s="23" t="s">
        <v>611</v>
      </c>
      <c r="F110" s="24">
        <f>'CANTIDADES VALOR INICIAL'!G106</f>
        <v>0</v>
      </c>
      <c r="G110" s="25">
        <f>'CANTIDADES VALOR INICIAL'!H106</f>
        <v>72277.087499999994</v>
      </c>
      <c r="H110" s="385">
        <f>G110*'INDEX ICOCIV'!$R$85</f>
        <v>98296.838999999993</v>
      </c>
      <c r="I110" s="26">
        <f t="shared" si="5"/>
        <v>0</v>
      </c>
    </row>
    <row r="111" spans="3:9" ht="28" outlineLevel="1" x14ac:dyDescent="0.2">
      <c r="C111" s="17" t="s">
        <v>138</v>
      </c>
      <c r="D111" s="22" t="s">
        <v>676</v>
      </c>
      <c r="E111" s="23" t="s">
        <v>611</v>
      </c>
      <c r="F111" s="24">
        <f>'CANTIDADES VALOR INICIAL'!G107</f>
        <v>0</v>
      </c>
      <c r="G111" s="25">
        <f>'CANTIDADES VALOR INICIAL'!H107</f>
        <v>440286.60619999998</v>
      </c>
      <c r="H111" s="385">
        <f>G111*'INDEX ICOCIV'!$R$85</f>
        <v>598789.78443200001</v>
      </c>
      <c r="I111" s="26">
        <f t="shared" si="5"/>
        <v>0</v>
      </c>
    </row>
    <row r="112" spans="3:9" ht="28" outlineLevel="1" x14ac:dyDescent="0.2">
      <c r="C112" s="17" t="s">
        <v>139</v>
      </c>
      <c r="D112" s="22" t="s">
        <v>630</v>
      </c>
      <c r="E112" s="23" t="s">
        <v>176</v>
      </c>
      <c r="F112" s="24">
        <f>'CANTIDADES VALOR INICIAL'!G108</f>
        <v>0</v>
      </c>
      <c r="G112" s="25">
        <f>'CANTIDADES VALOR INICIAL'!H108</f>
        <v>45956.241399999999</v>
      </c>
      <c r="H112" s="385">
        <f>G112*'INDEX ICOCIV'!$R$85</f>
        <v>62500.488304000006</v>
      </c>
      <c r="I112" s="26">
        <f t="shared" si="5"/>
        <v>0</v>
      </c>
    </row>
    <row r="113" spans="3:9" ht="28" outlineLevel="1" x14ac:dyDescent="0.2">
      <c r="C113" s="17" t="s">
        <v>140</v>
      </c>
      <c r="D113" s="22" t="s">
        <v>677</v>
      </c>
      <c r="E113" s="23" t="s">
        <v>176</v>
      </c>
      <c r="F113" s="24">
        <f>'CANTIDADES VALOR INICIAL'!G109</f>
        <v>0</v>
      </c>
      <c r="G113" s="25">
        <f>'CANTIDADES VALOR INICIAL'!H109</f>
        <v>497397.73129999998</v>
      </c>
      <c r="H113" s="385">
        <f>G113*'INDEX ICOCIV'!$R$85</f>
        <v>676460.91456800001</v>
      </c>
      <c r="I113" s="26">
        <f t="shared" si="5"/>
        <v>0</v>
      </c>
    </row>
    <row r="114" spans="3:9" ht="28" outlineLevel="1" x14ac:dyDescent="0.2">
      <c r="C114" s="17" t="s">
        <v>141</v>
      </c>
      <c r="D114" s="22" t="s">
        <v>658</v>
      </c>
      <c r="E114" s="23" t="s">
        <v>176</v>
      </c>
      <c r="F114" s="24">
        <f>'CANTIDADES VALOR INICIAL'!G110</f>
        <v>0</v>
      </c>
      <c r="G114" s="25">
        <f>'CANTIDADES VALOR INICIAL'!H110</f>
        <v>1240107.9728999999</v>
      </c>
      <c r="H114" s="385">
        <f>G114*'INDEX ICOCIV'!$R$85</f>
        <v>1686546.843144</v>
      </c>
      <c r="I114" s="26">
        <f t="shared" si="5"/>
        <v>0</v>
      </c>
    </row>
    <row r="115" spans="3:9" ht="28" outlineLevel="1" x14ac:dyDescent="0.2">
      <c r="C115" s="17" t="s">
        <v>142</v>
      </c>
      <c r="D115" s="22" t="s">
        <v>678</v>
      </c>
      <c r="E115" s="23" t="s">
        <v>176</v>
      </c>
      <c r="F115" s="24">
        <f>'CANTIDADES VALOR INICIAL'!G111</f>
        <v>0</v>
      </c>
      <c r="G115" s="25">
        <f>'CANTIDADES VALOR INICIAL'!H111</f>
        <v>1952742.3160000001</v>
      </c>
      <c r="H115" s="385">
        <f>G115*'INDEX ICOCIV'!$R$85</f>
        <v>2655729.5497600003</v>
      </c>
      <c r="I115" s="26">
        <f t="shared" si="5"/>
        <v>0</v>
      </c>
    </row>
    <row r="116" spans="3:9" ht="28" outlineLevel="1" x14ac:dyDescent="0.2">
      <c r="C116" s="17" t="s">
        <v>143</v>
      </c>
      <c r="D116" s="22" t="s">
        <v>679</v>
      </c>
      <c r="E116" s="23" t="s">
        <v>176</v>
      </c>
      <c r="F116" s="24">
        <f>'CANTIDADES VALOR INICIAL'!G112</f>
        <v>0</v>
      </c>
      <c r="G116" s="25">
        <f>'CANTIDADES VALOR INICIAL'!H112</f>
        <v>3103243.9605999999</v>
      </c>
      <c r="H116" s="385">
        <f>G116*'INDEX ICOCIV'!$R$85</f>
        <v>4220411.7864159998</v>
      </c>
      <c r="I116" s="26">
        <f t="shared" si="5"/>
        <v>0</v>
      </c>
    </row>
    <row r="117" spans="3:9" ht="16" outlineLevel="1" x14ac:dyDescent="0.2">
      <c r="C117" s="17" t="s">
        <v>144</v>
      </c>
      <c r="D117" s="22" t="s">
        <v>145</v>
      </c>
      <c r="E117" s="23" t="s">
        <v>176</v>
      </c>
      <c r="F117" s="24">
        <f>'CANTIDADES VALOR INICIAL'!G113</f>
        <v>2</v>
      </c>
      <c r="G117" s="25">
        <f>'CANTIDADES VALOR INICIAL'!H113</f>
        <v>5537763.5268999999</v>
      </c>
      <c r="H117" s="385">
        <f>G117*'INDEX ICOCIV'!$R$85</f>
        <v>7531358.3965840004</v>
      </c>
      <c r="I117" s="26">
        <f t="shared" si="5"/>
        <v>15062716.789999999</v>
      </c>
    </row>
    <row r="118" spans="3:9" ht="21" customHeight="1" x14ac:dyDescent="0.2">
      <c r="C118" s="27">
        <v>7</v>
      </c>
      <c r="D118" s="28" t="s">
        <v>146</v>
      </c>
      <c r="E118" s="29"/>
      <c r="F118" s="14"/>
      <c r="G118" s="15"/>
      <c r="H118" s="384"/>
      <c r="I118" s="16">
        <f>SUM(I119)</f>
        <v>10133117.6</v>
      </c>
    </row>
    <row r="119" spans="3:9" ht="28" outlineLevel="1" x14ac:dyDescent="0.2">
      <c r="C119" s="17" t="s">
        <v>147</v>
      </c>
      <c r="D119" s="22" t="s">
        <v>680</v>
      </c>
      <c r="E119" s="23" t="s">
        <v>176</v>
      </c>
      <c r="F119" s="24">
        <f>'CANTIDADES VALOR INICIAL'!G115</f>
        <v>16</v>
      </c>
      <c r="G119" s="25">
        <f>'CANTIDADES VALOR INICIAL'!H115</f>
        <v>465676.36040000001</v>
      </c>
      <c r="H119" s="385">
        <f>G119*'INDEX ICOCIV'!$R$85</f>
        <v>633319.85014400003</v>
      </c>
      <c r="I119" s="26">
        <f>ROUND(F119*H119,2)</f>
        <v>10133117.6</v>
      </c>
    </row>
    <row r="120" spans="3:9" ht="21" customHeight="1" x14ac:dyDescent="0.2">
      <c r="C120" s="27">
        <v>8</v>
      </c>
      <c r="D120" s="28" t="s">
        <v>148</v>
      </c>
      <c r="E120" s="29"/>
      <c r="F120" s="14"/>
      <c r="G120" s="15"/>
      <c r="H120" s="384"/>
      <c r="I120" s="16">
        <f>SUM(I121:I125)</f>
        <v>4625835.76</v>
      </c>
    </row>
    <row r="121" spans="3:9" ht="28" outlineLevel="1" x14ac:dyDescent="0.2">
      <c r="C121" s="17" t="s">
        <v>149</v>
      </c>
      <c r="D121" s="22" t="s">
        <v>150</v>
      </c>
      <c r="E121" s="23" t="s">
        <v>171</v>
      </c>
      <c r="F121" s="24">
        <f>'CANTIDADES VALOR INICIAL'!G117</f>
        <v>28.98</v>
      </c>
      <c r="G121" s="25">
        <f>'CANTIDADES VALOR INICIAL'!H117</f>
        <v>98711.083799999993</v>
      </c>
      <c r="H121" s="385">
        <f>G121*'INDEX ICOCIV'!$R$85</f>
        <v>134247.07396800001</v>
      </c>
      <c r="I121" s="26">
        <f>ROUND(F121*H121,2)</f>
        <v>3890480.2</v>
      </c>
    </row>
    <row r="122" spans="3:9" ht="28" outlineLevel="1" x14ac:dyDescent="0.2">
      <c r="C122" s="17" t="s">
        <v>151</v>
      </c>
      <c r="D122" s="22" t="s">
        <v>152</v>
      </c>
      <c r="E122" s="23" t="s">
        <v>176</v>
      </c>
      <c r="F122" s="24">
        <f>'CANTIDADES VALOR INICIAL'!G118</f>
        <v>1</v>
      </c>
      <c r="G122" s="25">
        <f>'CANTIDADES VALOR INICIAL'!H118</f>
        <v>540702.61419999995</v>
      </c>
      <c r="H122" s="385">
        <f>G122*'INDEX ICOCIV'!$R$85</f>
        <v>735355.55531199998</v>
      </c>
      <c r="I122" s="26">
        <f>ROUND(F122*H122,2)</f>
        <v>735355.56</v>
      </c>
    </row>
    <row r="123" spans="3:9" ht="28" outlineLevel="1" x14ac:dyDescent="0.2">
      <c r="C123" s="17" t="s">
        <v>153</v>
      </c>
      <c r="D123" s="22" t="s">
        <v>154</v>
      </c>
      <c r="E123" s="23" t="s">
        <v>176</v>
      </c>
      <c r="F123" s="24">
        <f>'CANTIDADES VALOR INICIAL'!G119</f>
        <v>0</v>
      </c>
      <c r="G123" s="25">
        <f>'CANTIDADES VALOR INICIAL'!H119</f>
        <v>1096889.5456000001</v>
      </c>
      <c r="H123" s="385">
        <f>G123*'INDEX ICOCIV'!$R$85</f>
        <v>1491769.7820160002</v>
      </c>
      <c r="I123" s="26">
        <f>ROUND(F123*H123,2)</f>
        <v>0</v>
      </c>
    </row>
    <row r="124" spans="3:9" ht="28" outlineLevel="1" x14ac:dyDescent="0.2">
      <c r="C124" s="17" t="s">
        <v>155</v>
      </c>
      <c r="D124" s="22" t="s">
        <v>156</v>
      </c>
      <c r="E124" s="23" t="s">
        <v>176</v>
      </c>
      <c r="F124" s="24">
        <f>'CANTIDADES VALOR INICIAL'!G120</f>
        <v>0</v>
      </c>
      <c r="G124" s="25">
        <f>'CANTIDADES VALOR INICIAL'!H120</f>
        <v>1688946.0493000001</v>
      </c>
      <c r="H124" s="385">
        <f>G124*'INDEX ICOCIV'!$R$85</f>
        <v>2296966.6270480002</v>
      </c>
      <c r="I124" s="26">
        <f>ROUND(F124*H124,2)</f>
        <v>0</v>
      </c>
    </row>
    <row r="125" spans="3:9" ht="16" outlineLevel="1" x14ac:dyDescent="0.2">
      <c r="C125" s="17" t="s">
        <v>157</v>
      </c>
      <c r="D125" s="22" t="s">
        <v>158</v>
      </c>
      <c r="E125" s="23" t="s">
        <v>176</v>
      </c>
      <c r="F125" s="24">
        <f>'CANTIDADES VALOR INICIAL'!G121</f>
        <v>0</v>
      </c>
      <c r="G125" s="25">
        <f>'CANTIDADES VALOR INICIAL'!H121</f>
        <v>2592864.6411000001</v>
      </c>
      <c r="H125" s="385">
        <f>G125*'INDEX ICOCIV'!$R$85</f>
        <v>3526295.9118960006</v>
      </c>
      <c r="I125" s="26">
        <f>ROUND(F125*H125,2)</f>
        <v>0</v>
      </c>
    </row>
    <row r="126" spans="3:9" ht="21" customHeight="1" x14ac:dyDescent="0.2">
      <c r="C126" s="27">
        <v>9</v>
      </c>
      <c r="D126" s="28" t="s">
        <v>159</v>
      </c>
      <c r="E126" s="29"/>
      <c r="F126" s="14"/>
      <c r="G126" s="15"/>
      <c r="H126" s="384"/>
      <c r="I126" s="16">
        <f>SUM(I127:I130)</f>
        <v>1740770.19</v>
      </c>
    </row>
    <row r="127" spans="3:9" ht="28" outlineLevel="1" x14ac:dyDescent="0.2">
      <c r="C127" s="17" t="s">
        <v>160</v>
      </c>
      <c r="D127" s="22" t="s">
        <v>161</v>
      </c>
      <c r="E127" s="23" t="s">
        <v>171</v>
      </c>
      <c r="F127" s="24">
        <f>'CANTIDADES VALOR INICIAL'!G123</f>
        <v>10</v>
      </c>
      <c r="G127" s="25">
        <f>'CANTIDADES VALOR INICIAL'!H123</f>
        <v>56407.292499999996</v>
      </c>
      <c r="H127" s="385">
        <f>G127*'INDEX ICOCIV'!$R$85</f>
        <v>76713.917799999996</v>
      </c>
      <c r="I127" s="26">
        <f>ROUND(F127*H127,2)</f>
        <v>767139.18</v>
      </c>
    </row>
    <row r="128" spans="3:9" ht="28" outlineLevel="1" x14ac:dyDescent="0.2">
      <c r="C128" s="17" t="s">
        <v>162</v>
      </c>
      <c r="D128" s="22" t="s">
        <v>163</v>
      </c>
      <c r="E128" s="23" t="s">
        <v>176</v>
      </c>
      <c r="F128" s="24">
        <f>'CANTIDADES VALOR INICIAL'!G124</f>
        <v>1</v>
      </c>
      <c r="G128" s="25">
        <f>'CANTIDADES VALOR INICIAL'!H124</f>
        <v>715905.15099999995</v>
      </c>
      <c r="H128" s="385">
        <f>G128*'INDEX ICOCIV'!$R$85</f>
        <v>973631.00535999995</v>
      </c>
      <c r="I128" s="26">
        <f>ROUND(F128*H128,2)</f>
        <v>973631.01</v>
      </c>
    </row>
    <row r="129" spans="3:9" ht="28" outlineLevel="1" x14ac:dyDescent="0.2">
      <c r="C129" s="17" t="s">
        <v>164</v>
      </c>
      <c r="D129" s="22" t="s">
        <v>165</v>
      </c>
      <c r="E129" s="23" t="s">
        <v>176</v>
      </c>
      <c r="F129" s="24">
        <f>'CANTIDADES VALOR INICIAL'!G125</f>
        <v>0</v>
      </c>
      <c r="G129" s="25">
        <f>'CANTIDADES VALOR INICIAL'!H125</f>
        <v>1644013.9131</v>
      </c>
      <c r="H129" s="385">
        <f>G129*'INDEX ICOCIV'!$R$85</f>
        <v>2235858.9218160002</v>
      </c>
      <c r="I129" s="26">
        <f>ROUND(F129*H129,2)</f>
        <v>0</v>
      </c>
    </row>
    <row r="130" spans="3:9" ht="22.5" customHeight="1" outlineLevel="1" x14ac:dyDescent="0.2">
      <c r="C130" s="17" t="s">
        <v>166</v>
      </c>
      <c r="D130" s="22" t="s">
        <v>167</v>
      </c>
      <c r="E130" s="23" t="s">
        <v>176</v>
      </c>
      <c r="F130" s="24">
        <f>'CANTIDADES VALOR INICIAL'!G126</f>
        <v>0</v>
      </c>
      <c r="G130" s="25">
        <f>'CANTIDADES VALOR INICIAL'!H126</f>
        <v>2345521.1806000001</v>
      </c>
      <c r="H130" s="385">
        <f>G130*'INDEX ICOCIV'!$R$85</f>
        <v>3189908.8056160002</v>
      </c>
      <c r="I130" s="26">
        <f>ROUND(F130*H130,2)</f>
        <v>0</v>
      </c>
    </row>
    <row r="131" spans="3:9" ht="21" customHeight="1" x14ac:dyDescent="0.2">
      <c r="C131" s="27">
        <v>10</v>
      </c>
      <c r="D131" s="28" t="s">
        <v>168</v>
      </c>
      <c r="E131" s="29"/>
      <c r="F131" s="14"/>
      <c r="G131" s="15"/>
      <c r="H131" s="384"/>
      <c r="I131" s="16">
        <f>SUM(I132:I189)</f>
        <v>0</v>
      </c>
    </row>
    <row r="132" spans="3:9" ht="28" outlineLevel="1" x14ac:dyDescent="0.2">
      <c r="C132" s="17" t="s">
        <v>169</v>
      </c>
      <c r="D132" s="22" t="s">
        <v>170</v>
      </c>
      <c r="E132" s="23" t="s">
        <v>171</v>
      </c>
      <c r="F132" s="24">
        <f>'CANTIDADES VALOR INICIAL'!G128</f>
        <v>0</v>
      </c>
      <c r="G132" s="25">
        <f>'CANTIDADES VALOR INICIAL'!H128</f>
        <v>10591</v>
      </c>
      <c r="H132" s="385">
        <f>G132*'INDEX ICOCIV'!$R$85</f>
        <v>14403.76</v>
      </c>
      <c r="I132" s="26">
        <f t="shared" ref="I132:I163" si="6">ROUND(F132*H132,2)</f>
        <v>0</v>
      </c>
    </row>
    <row r="133" spans="3:9" ht="56" outlineLevel="1" x14ac:dyDescent="0.2">
      <c r="C133" s="17" t="s">
        <v>172</v>
      </c>
      <c r="D133" s="22" t="s">
        <v>173</v>
      </c>
      <c r="E133" s="23" t="s">
        <v>171</v>
      </c>
      <c r="F133" s="24">
        <f>'CANTIDADES VALOR INICIAL'!G129</f>
        <v>0</v>
      </c>
      <c r="G133" s="25">
        <f>'CANTIDADES VALOR INICIAL'!H129</f>
        <v>16363</v>
      </c>
      <c r="H133" s="385">
        <f>G133*'INDEX ICOCIV'!$R$85</f>
        <v>22253.68</v>
      </c>
      <c r="I133" s="26">
        <f t="shared" si="6"/>
        <v>0</v>
      </c>
    </row>
    <row r="134" spans="3:9" ht="28" outlineLevel="1" x14ac:dyDescent="0.2">
      <c r="C134" s="17" t="s">
        <v>174</v>
      </c>
      <c r="D134" s="22" t="s">
        <v>175</v>
      </c>
      <c r="E134" s="23" t="s">
        <v>176</v>
      </c>
      <c r="F134" s="24">
        <f>'CANTIDADES VALOR INICIAL'!G130</f>
        <v>0</v>
      </c>
      <c r="G134" s="25">
        <f>'CANTIDADES VALOR INICIAL'!H130</f>
        <v>809485.25</v>
      </c>
      <c r="H134" s="385">
        <f>G134*'INDEX ICOCIV'!$R$85</f>
        <v>1100899.9400000002</v>
      </c>
      <c r="I134" s="26">
        <f t="shared" si="6"/>
        <v>0</v>
      </c>
    </row>
    <row r="135" spans="3:9" ht="28" outlineLevel="1" x14ac:dyDescent="0.2">
      <c r="C135" s="17" t="s">
        <v>177</v>
      </c>
      <c r="D135" s="22" t="s">
        <v>178</v>
      </c>
      <c r="E135" s="23" t="s">
        <v>171</v>
      </c>
      <c r="F135" s="24">
        <f>'CANTIDADES VALOR INICIAL'!G131</f>
        <v>0</v>
      </c>
      <c r="G135" s="25">
        <f>'CANTIDADES VALOR INICIAL'!H131</f>
        <v>8712</v>
      </c>
      <c r="H135" s="385">
        <f>G135*'INDEX ICOCIV'!$R$85</f>
        <v>11848.320000000002</v>
      </c>
      <c r="I135" s="26">
        <f t="shared" si="6"/>
        <v>0</v>
      </c>
    </row>
    <row r="136" spans="3:9" ht="16" outlineLevel="1" x14ac:dyDescent="0.2">
      <c r="C136" s="17" t="s">
        <v>179</v>
      </c>
      <c r="D136" s="22" t="s">
        <v>180</v>
      </c>
      <c r="E136" s="23" t="s">
        <v>176</v>
      </c>
      <c r="F136" s="24">
        <f>'CANTIDADES VALOR INICIAL'!G132</f>
        <v>0</v>
      </c>
      <c r="G136" s="25">
        <f>'CANTIDADES VALOR INICIAL'!H132</f>
        <v>808938</v>
      </c>
      <c r="H136" s="385">
        <f>G136*'INDEX ICOCIV'!$R$85</f>
        <v>1100155.6800000002</v>
      </c>
      <c r="I136" s="26">
        <f t="shared" si="6"/>
        <v>0</v>
      </c>
    </row>
    <row r="137" spans="3:9" ht="28" outlineLevel="1" x14ac:dyDescent="0.2">
      <c r="C137" s="17" t="s">
        <v>181</v>
      </c>
      <c r="D137" s="22" t="s">
        <v>182</v>
      </c>
      <c r="E137" s="23" t="s">
        <v>183</v>
      </c>
      <c r="F137" s="24">
        <f>'CANTIDADES VALOR INICIAL'!G133</f>
        <v>0</v>
      </c>
      <c r="G137" s="25">
        <f>'CANTIDADES VALOR INICIAL'!H133</f>
        <v>523590</v>
      </c>
      <c r="H137" s="385">
        <f>G137*'INDEX ICOCIV'!$R$85</f>
        <v>712082.4</v>
      </c>
      <c r="I137" s="26">
        <f t="shared" si="6"/>
        <v>0</v>
      </c>
    </row>
    <row r="138" spans="3:9" ht="42" outlineLevel="1" x14ac:dyDescent="0.2">
      <c r="C138" s="17" t="s">
        <v>184</v>
      </c>
      <c r="D138" s="22" t="s">
        <v>185</v>
      </c>
      <c r="E138" s="23" t="s">
        <v>183</v>
      </c>
      <c r="F138" s="24">
        <f>'CANTIDADES VALOR INICIAL'!G134</f>
        <v>0</v>
      </c>
      <c r="G138" s="25">
        <f>'CANTIDADES VALOR INICIAL'!H134</f>
        <v>165189</v>
      </c>
      <c r="H138" s="385">
        <f>G138*'INDEX ICOCIV'!$R$85</f>
        <v>224657.04</v>
      </c>
      <c r="I138" s="26">
        <f t="shared" si="6"/>
        <v>0</v>
      </c>
    </row>
    <row r="139" spans="3:9" ht="28" outlineLevel="1" x14ac:dyDescent="0.2">
      <c r="C139" s="17" t="s">
        <v>186</v>
      </c>
      <c r="D139" s="22" t="s">
        <v>187</v>
      </c>
      <c r="E139" s="23" t="s">
        <v>188</v>
      </c>
      <c r="F139" s="24">
        <f>'CANTIDADES VALOR INICIAL'!G135</f>
        <v>0</v>
      </c>
      <c r="G139" s="25">
        <f>'CANTIDADES VALOR INICIAL'!H135</f>
        <v>6630</v>
      </c>
      <c r="H139" s="385">
        <f>G139*'INDEX ICOCIV'!$R$85</f>
        <v>9016.8000000000011</v>
      </c>
      <c r="I139" s="26">
        <f t="shared" si="6"/>
        <v>0</v>
      </c>
    </row>
    <row r="140" spans="3:9" ht="28" outlineLevel="1" x14ac:dyDescent="0.2">
      <c r="C140" s="17" t="s">
        <v>189</v>
      </c>
      <c r="D140" s="22" t="s">
        <v>190</v>
      </c>
      <c r="E140" s="23" t="s">
        <v>188</v>
      </c>
      <c r="F140" s="24">
        <f>'CANTIDADES VALOR INICIAL'!G136</f>
        <v>0</v>
      </c>
      <c r="G140" s="25">
        <f>'CANTIDADES VALOR INICIAL'!H136</f>
        <v>8077</v>
      </c>
      <c r="H140" s="385">
        <f>G140*'INDEX ICOCIV'!$R$85</f>
        <v>10984.720000000001</v>
      </c>
      <c r="I140" s="26">
        <f t="shared" si="6"/>
        <v>0</v>
      </c>
    </row>
    <row r="141" spans="3:9" ht="28" outlineLevel="1" x14ac:dyDescent="0.2">
      <c r="C141" s="17" t="s">
        <v>191</v>
      </c>
      <c r="D141" s="22" t="s">
        <v>192</v>
      </c>
      <c r="E141" s="23" t="s">
        <v>183</v>
      </c>
      <c r="F141" s="24">
        <f>'CANTIDADES VALOR INICIAL'!G137</f>
        <v>0</v>
      </c>
      <c r="G141" s="25">
        <f>'CANTIDADES VALOR INICIAL'!H137</f>
        <v>366280</v>
      </c>
      <c r="H141" s="385">
        <f>G141*'INDEX ICOCIV'!$R$85</f>
        <v>498140.80000000005</v>
      </c>
      <c r="I141" s="26">
        <f t="shared" si="6"/>
        <v>0</v>
      </c>
    </row>
    <row r="142" spans="3:9" ht="16" outlineLevel="1" x14ac:dyDescent="0.2">
      <c r="C142" s="17" t="s">
        <v>193</v>
      </c>
      <c r="D142" s="22" t="s">
        <v>194</v>
      </c>
      <c r="E142" s="23" t="s">
        <v>171</v>
      </c>
      <c r="F142" s="24">
        <f>'CANTIDADES VALOR INICIAL'!G138</f>
        <v>0</v>
      </c>
      <c r="G142" s="25">
        <f>'CANTIDADES VALOR INICIAL'!H138</f>
        <v>60978.33</v>
      </c>
      <c r="H142" s="385">
        <f>G142*'INDEX ICOCIV'!$R$85</f>
        <v>82930.528800000015</v>
      </c>
      <c r="I142" s="26">
        <f t="shared" si="6"/>
        <v>0</v>
      </c>
    </row>
    <row r="143" spans="3:9" ht="16" outlineLevel="1" x14ac:dyDescent="0.2">
      <c r="C143" s="17" t="s">
        <v>195</v>
      </c>
      <c r="D143" s="22" t="s">
        <v>681</v>
      </c>
      <c r="E143" s="23" t="s">
        <v>176</v>
      </c>
      <c r="F143" s="24">
        <f>'CANTIDADES VALOR INICIAL'!G139</f>
        <v>0</v>
      </c>
      <c r="G143" s="25">
        <f>'CANTIDADES VALOR INICIAL'!H139</f>
        <v>486385.09</v>
      </c>
      <c r="H143" s="385">
        <f>G143*'INDEX ICOCIV'!$R$85</f>
        <v>661483.72240000009</v>
      </c>
      <c r="I143" s="26">
        <f t="shared" si="6"/>
        <v>0</v>
      </c>
    </row>
    <row r="144" spans="3:9" ht="28" outlineLevel="1" x14ac:dyDescent="0.2">
      <c r="C144" s="17" t="s">
        <v>196</v>
      </c>
      <c r="D144" s="22" t="s">
        <v>682</v>
      </c>
      <c r="E144" s="23" t="s">
        <v>188</v>
      </c>
      <c r="F144" s="24">
        <f>'CANTIDADES VALOR INICIAL'!G140</f>
        <v>0</v>
      </c>
      <c r="G144" s="25">
        <f>'CANTIDADES VALOR INICIAL'!H140</f>
        <v>91229.97</v>
      </c>
      <c r="H144" s="385">
        <f>G144*'INDEX ICOCIV'!$R$85</f>
        <v>124072.75920000001</v>
      </c>
      <c r="I144" s="26">
        <f t="shared" si="6"/>
        <v>0</v>
      </c>
    </row>
    <row r="145" spans="3:9" ht="16" outlineLevel="1" x14ac:dyDescent="0.2">
      <c r="C145" s="17" t="s">
        <v>197</v>
      </c>
      <c r="D145" s="22" t="s">
        <v>198</v>
      </c>
      <c r="E145" s="23" t="s">
        <v>171</v>
      </c>
      <c r="F145" s="24">
        <f>'CANTIDADES VALOR INICIAL'!G141</f>
        <v>0</v>
      </c>
      <c r="G145" s="25">
        <f>'CANTIDADES VALOR INICIAL'!H141</f>
        <v>78593</v>
      </c>
      <c r="H145" s="385">
        <f>G145*'INDEX ICOCIV'!$R$85</f>
        <v>106886.48000000001</v>
      </c>
      <c r="I145" s="26">
        <f t="shared" si="6"/>
        <v>0</v>
      </c>
    </row>
    <row r="146" spans="3:9" ht="16" outlineLevel="1" x14ac:dyDescent="0.2">
      <c r="C146" s="17" t="s">
        <v>199</v>
      </c>
      <c r="D146" s="22" t="s">
        <v>200</v>
      </c>
      <c r="E146" s="23" t="s">
        <v>183</v>
      </c>
      <c r="F146" s="24">
        <f>'CANTIDADES VALOR INICIAL'!G142</f>
        <v>0</v>
      </c>
      <c r="G146" s="25">
        <f>'CANTIDADES VALOR INICIAL'!H142</f>
        <v>93427</v>
      </c>
      <c r="H146" s="385">
        <f>G146*'INDEX ICOCIV'!$R$85</f>
        <v>127060.72000000002</v>
      </c>
      <c r="I146" s="26">
        <f t="shared" si="6"/>
        <v>0</v>
      </c>
    </row>
    <row r="147" spans="3:9" ht="16" outlineLevel="1" x14ac:dyDescent="0.2">
      <c r="C147" s="17" t="s">
        <v>201</v>
      </c>
      <c r="D147" s="22" t="s">
        <v>202</v>
      </c>
      <c r="E147" s="23" t="s">
        <v>188</v>
      </c>
      <c r="F147" s="24">
        <f>'CANTIDADES VALOR INICIAL'!G143</f>
        <v>0</v>
      </c>
      <c r="G147" s="25">
        <f>'CANTIDADES VALOR INICIAL'!H143</f>
        <v>34999</v>
      </c>
      <c r="H147" s="385">
        <f>G147*'INDEX ICOCIV'!$R$85</f>
        <v>47598.640000000007</v>
      </c>
      <c r="I147" s="26">
        <f t="shared" si="6"/>
        <v>0</v>
      </c>
    </row>
    <row r="148" spans="3:9" ht="16" outlineLevel="1" x14ac:dyDescent="0.2">
      <c r="C148" s="17" t="s">
        <v>203</v>
      </c>
      <c r="D148" s="22" t="s">
        <v>204</v>
      </c>
      <c r="E148" s="23" t="s">
        <v>176</v>
      </c>
      <c r="F148" s="24">
        <f>'CANTIDADES VALOR INICIAL'!G144</f>
        <v>0</v>
      </c>
      <c r="G148" s="25">
        <f>'CANTIDADES VALOR INICIAL'!H144</f>
        <v>30840</v>
      </c>
      <c r="H148" s="385">
        <f>G148*'INDEX ICOCIV'!$R$85</f>
        <v>41942.400000000001</v>
      </c>
      <c r="I148" s="26">
        <f t="shared" si="6"/>
        <v>0</v>
      </c>
    </row>
    <row r="149" spans="3:9" ht="28" outlineLevel="1" x14ac:dyDescent="0.2">
      <c r="C149" s="17" t="s">
        <v>205</v>
      </c>
      <c r="D149" s="22" t="s">
        <v>206</v>
      </c>
      <c r="E149" s="23" t="s">
        <v>176</v>
      </c>
      <c r="F149" s="24">
        <f>'CANTIDADES VALOR INICIAL'!G145</f>
        <v>0</v>
      </c>
      <c r="G149" s="25">
        <f>'CANTIDADES VALOR INICIAL'!H145</f>
        <v>782503</v>
      </c>
      <c r="H149" s="385">
        <f>G149*'INDEX ICOCIV'!$R$85</f>
        <v>1064204.08</v>
      </c>
      <c r="I149" s="26">
        <f t="shared" si="6"/>
        <v>0</v>
      </c>
    </row>
    <row r="150" spans="3:9" ht="16" outlineLevel="1" x14ac:dyDescent="0.2">
      <c r="C150" s="17" t="s">
        <v>207</v>
      </c>
      <c r="D150" s="22" t="s">
        <v>208</v>
      </c>
      <c r="E150" s="23" t="s">
        <v>176</v>
      </c>
      <c r="F150" s="24">
        <f>'CANTIDADES VALOR INICIAL'!G146</f>
        <v>0</v>
      </c>
      <c r="G150" s="25">
        <f>'CANTIDADES VALOR INICIAL'!H146</f>
        <v>74938</v>
      </c>
      <c r="H150" s="385">
        <f>G150*'INDEX ICOCIV'!$R$85</f>
        <v>101915.68000000001</v>
      </c>
      <c r="I150" s="26">
        <f t="shared" si="6"/>
        <v>0</v>
      </c>
    </row>
    <row r="151" spans="3:9" ht="16" outlineLevel="1" x14ac:dyDescent="0.2">
      <c r="C151" s="17" t="s">
        <v>209</v>
      </c>
      <c r="D151" s="22" t="s">
        <v>210</v>
      </c>
      <c r="E151" s="23" t="s">
        <v>176</v>
      </c>
      <c r="F151" s="24">
        <f>'CANTIDADES VALOR INICIAL'!G147</f>
        <v>0</v>
      </c>
      <c r="G151" s="25">
        <f>'CANTIDADES VALOR INICIAL'!H147</f>
        <v>637075</v>
      </c>
      <c r="H151" s="385">
        <f>G151*'INDEX ICOCIV'!$R$85</f>
        <v>866422.00000000012</v>
      </c>
      <c r="I151" s="26">
        <f t="shared" si="6"/>
        <v>0</v>
      </c>
    </row>
    <row r="152" spans="3:9" ht="42" outlineLevel="1" x14ac:dyDescent="0.2">
      <c r="C152" s="17" t="s">
        <v>211</v>
      </c>
      <c r="D152" s="22" t="s">
        <v>212</v>
      </c>
      <c r="E152" s="23" t="s">
        <v>176</v>
      </c>
      <c r="F152" s="24">
        <f>'CANTIDADES VALOR INICIAL'!G148</f>
        <v>0</v>
      </c>
      <c r="G152" s="25">
        <f>'CANTIDADES VALOR INICIAL'!H148</f>
        <v>3219769</v>
      </c>
      <c r="H152" s="385">
        <f>G152*'INDEX ICOCIV'!$R$85</f>
        <v>4378885.84</v>
      </c>
      <c r="I152" s="26">
        <f t="shared" si="6"/>
        <v>0</v>
      </c>
    </row>
    <row r="153" spans="3:9" ht="16" outlineLevel="1" x14ac:dyDescent="0.2">
      <c r="C153" s="17" t="s">
        <v>213</v>
      </c>
      <c r="D153" s="22" t="s">
        <v>214</v>
      </c>
      <c r="E153" s="23" t="s">
        <v>176</v>
      </c>
      <c r="F153" s="24">
        <f>'CANTIDADES VALOR INICIAL'!G149</f>
        <v>0</v>
      </c>
      <c r="G153" s="25">
        <f>'CANTIDADES VALOR INICIAL'!H149</f>
        <v>131036</v>
      </c>
      <c r="H153" s="385">
        <f>G153*'INDEX ICOCIV'!$R$85</f>
        <v>178208.96000000002</v>
      </c>
      <c r="I153" s="26">
        <f t="shared" si="6"/>
        <v>0</v>
      </c>
    </row>
    <row r="154" spans="3:9" ht="28" outlineLevel="1" x14ac:dyDescent="0.2">
      <c r="C154" s="17" t="s">
        <v>215</v>
      </c>
      <c r="D154" s="22" t="s">
        <v>216</v>
      </c>
      <c r="E154" s="23" t="s">
        <v>176</v>
      </c>
      <c r="F154" s="24">
        <f>'CANTIDADES VALOR INICIAL'!G150</f>
        <v>0</v>
      </c>
      <c r="G154" s="25">
        <f>'CANTIDADES VALOR INICIAL'!H150</f>
        <v>135008</v>
      </c>
      <c r="H154" s="385">
        <f>G154*'INDEX ICOCIV'!$R$85</f>
        <v>183610.88</v>
      </c>
      <c r="I154" s="26">
        <f t="shared" si="6"/>
        <v>0</v>
      </c>
    </row>
    <row r="155" spans="3:9" ht="16" outlineLevel="1" x14ac:dyDescent="0.2">
      <c r="C155" s="17" t="s">
        <v>217</v>
      </c>
      <c r="D155" s="22" t="s">
        <v>218</v>
      </c>
      <c r="E155" s="23" t="s">
        <v>183</v>
      </c>
      <c r="F155" s="24">
        <f>'CANTIDADES VALOR INICIAL'!G151</f>
        <v>0</v>
      </c>
      <c r="G155" s="25">
        <f>'CANTIDADES VALOR INICIAL'!H151</f>
        <v>86589</v>
      </c>
      <c r="H155" s="385">
        <f>G155*'INDEX ICOCIV'!$R$85</f>
        <v>117761.04000000001</v>
      </c>
      <c r="I155" s="26">
        <f t="shared" si="6"/>
        <v>0</v>
      </c>
    </row>
    <row r="156" spans="3:9" ht="16" outlineLevel="1" x14ac:dyDescent="0.2">
      <c r="C156" s="17" t="s">
        <v>219</v>
      </c>
      <c r="D156" s="22" t="s">
        <v>220</v>
      </c>
      <c r="E156" s="23" t="s">
        <v>183</v>
      </c>
      <c r="F156" s="24">
        <f>'CANTIDADES VALOR INICIAL'!G152</f>
        <v>0</v>
      </c>
      <c r="G156" s="25">
        <f>'CANTIDADES VALOR INICIAL'!H152</f>
        <v>103425</v>
      </c>
      <c r="H156" s="385">
        <f>G156*'INDEX ICOCIV'!$R$85</f>
        <v>140658</v>
      </c>
      <c r="I156" s="26">
        <f t="shared" si="6"/>
        <v>0</v>
      </c>
    </row>
    <row r="157" spans="3:9" ht="16" outlineLevel="1" x14ac:dyDescent="0.2">
      <c r="C157" s="17" t="s">
        <v>221</v>
      </c>
      <c r="D157" s="22" t="s">
        <v>222</v>
      </c>
      <c r="E157" s="23" t="s">
        <v>183</v>
      </c>
      <c r="F157" s="24">
        <f>'CANTIDADES VALOR INICIAL'!G153</f>
        <v>0</v>
      </c>
      <c r="G157" s="25">
        <f>'CANTIDADES VALOR INICIAL'!H153</f>
        <v>130567</v>
      </c>
      <c r="H157" s="385">
        <f>G157*'INDEX ICOCIV'!$R$85</f>
        <v>177571.12000000002</v>
      </c>
      <c r="I157" s="26">
        <f t="shared" si="6"/>
        <v>0</v>
      </c>
    </row>
    <row r="158" spans="3:9" ht="16" outlineLevel="1" x14ac:dyDescent="0.2">
      <c r="C158" s="17" t="s">
        <v>223</v>
      </c>
      <c r="D158" s="22" t="s">
        <v>224</v>
      </c>
      <c r="E158" s="23" t="s">
        <v>627</v>
      </c>
      <c r="F158" s="24">
        <f>'CANTIDADES VALOR INICIAL'!G154</f>
        <v>0</v>
      </c>
      <c r="G158" s="25">
        <f>'CANTIDADES VALOR INICIAL'!H154</f>
        <v>316</v>
      </c>
      <c r="H158" s="385">
        <f>G158*'INDEX ICOCIV'!$R$85</f>
        <v>429.76000000000005</v>
      </c>
      <c r="I158" s="26">
        <f t="shared" si="6"/>
        <v>0</v>
      </c>
    </row>
    <row r="159" spans="3:9" ht="16" outlineLevel="1" x14ac:dyDescent="0.2">
      <c r="C159" s="17" t="s">
        <v>225</v>
      </c>
      <c r="D159" s="22" t="s">
        <v>226</v>
      </c>
      <c r="E159" s="23" t="s">
        <v>188</v>
      </c>
      <c r="F159" s="24">
        <f>'CANTIDADES VALOR INICIAL'!G155</f>
        <v>0</v>
      </c>
      <c r="G159" s="25">
        <f>'CANTIDADES VALOR INICIAL'!H155</f>
        <v>5582</v>
      </c>
      <c r="H159" s="385">
        <f>G159*'INDEX ICOCIV'!$R$85</f>
        <v>7591.52</v>
      </c>
      <c r="I159" s="26">
        <f t="shared" si="6"/>
        <v>0</v>
      </c>
    </row>
    <row r="160" spans="3:9" ht="16" outlineLevel="1" x14ac:dyDescent="0.2">
      <c r="C160" s="17" t="s">
        <v>227</v>
      </c>
      <c r="D160" s="22" t="s">
        <v>228</v>
      </c>
      <c r="E160" s="23" t="s">
        <v>171</v>
      </c>
      <c r="F160" s="24">
        <f>'CANTIDADES VALOR INICIAL'!G156</f>
        <v>0</v>
      </c>
      <c r="G160" s="25">
        <f>'CANTIDADES VALOR INICIAL'!H156</f>
        <v>9835</v>
      </c>
      <c r="H160" s="385">
        <f>G160*'INDEX ICOCIV'!$R$85</f>
        <v>13375.6</v>
      </c>
      <c r="I160" s="26">
        <f t="shared" si="6"/>
        <v>0</v>
      </c>
    </row>
    <row r="161" spans="3:9" ht="16" outlineLevel="1" x14ac:dyDescent="0.2">
      <c r="C161" s="17" t="s">
        <v>229</v>
      </c>
      <c r="D161" s="22" t="s">
        <v>683</v>
      </c>
      <c r="E161" s="23" t="s">
        <v>183</v>
      </c>
      <c r="F161" s="24">
        <f>'CANTIDADES VALOR INICIAL'!G157</f>
        <v>0</v>
      </c>
      <c r="G161" s="25">
        <f>'CANTIDADES VALOR INICIAL'!H157</f>
        <v>130176</v>
      </c>
      <c r="H161" s="385">
        <f>G161*'INDEX ICOCIV'!$R$85</f>
        <v>177039.36000000002</v>
      </c>
      <c r="I161" s="26">
        <f t="shared" si="6"/>
        <v>0</v>
      </c>
    </row>
    <row r="162" spans="3:9" ht="16" outlineLevel="1" x14ac:dyDescent="0.2">
      <c r="C162" s="17" t="s">
        <v>230</v>
      </c>
      <c r="D162" s="22" t="s">
        <v>231</v>
      </c>
      <c r="E162" s="23" t="s">
        <v>267</v>
      </c>
      <c r="F162" s="24">
        <f>'CANTIDADES VALOR INICIAL'!G158</f>
        <v>0</v>
      </c>
      <c r="G162" s="25">
        <f>'CANTIDADES VALOR INICIAL'!H158</f>
        <v>159884</v>
      </c>
      <c r="H162" s="385">
        <f>G162*'INDEX ICOCIV'!$R$85</f>
        <v>217442.24000000002</v>
      </c>
      <c r="I162" s="26">
        <f t="shared" si="6"/>
        <v>0</v>
      </c>
    </row>
    <row r="163" spans="3:9" ht="16" outlineLevel="1" x14ac:dyDescent="0.2">
      <c r="C163" s="17" t="s">
        <v>232</v>
      </c>
      <c r="D163" s="22" t="s">
        <v>684</v>
      </c>
      <c r="E163" s="23" t="s">
        <v>267</v>
      </c>
      <c r="F163" s="24">
        <f>'CANTIDADES VALOR INICIAL'!G159</f>
        <v>0</v>
      </c>
      <c r="G163" s="25">
        <f>'CANTIDADES VALOR INICIAL'!H159</f>
        <v>251309</v>
      </c>
      <c r="H163" s="385">
        <f>G163*'INDEX ICOCIV'!$R$85</f>
        <v>341780.24000000005</v>
      </c>
      <c r="I163" s="26">
        <f t="shared" si="6"/>
        <v>0</v>
      </c>
    </row>
    <row r="164" spans="3:9" ht="28" outlineLevel="1" x14ac:dyDescent="0.2">
      <c r="C164" s="17" t="s">
        <v>233</v>
      </c>
      <c r="D164" s="22" t="s">
        <v>234</v>
      </c>
      <c r="E164" s="23" t="s">
        <v>267</v>
      </c>
      <c r="F164" s="24">
        <f>'CANTIDADES VALOR INICIAL'!G160</f>
        <v>0</v>
      </c>
      <c r="G164" s="25">
        <f>'CANTIDADES VALOR INICIAL'!H160</f>
        <v>167895</v>
      </c>
      <c r="H164" s="385">
        <f>G164*'INDEX ICOCIV'!$R$85</f>
        <v>228337.2</v>
      </c>
      <c r="I164" s="26">
        <f t="shared" ref="I164:I189" si="7">ROUND(F164*H164,2)</f>
        <v>0</v>
      </c>
    </row>
    <row r="165" spans="3:9" ht="16" outlineLevel="1" x14ac:dyDescent="0.2">
      <c r="C165" s="17" t="s">
        <v>235</v>
      </c>
      <c r="D165" s="22" t="s">
        <v>236</v>
      </c>
      <c r="E165" s="23" t="s">
        <v>188</v>
      </c>
      <c r="F165" s="24">
        <f>'CANTIDADES VALOR INICIAL'!G161</f>
        <v>0</v>
      </c>
      <c r="G165" s="25">
        <f>'CANTIDADES VALOR INICIAL'!H161</f>
        <v>2786</v>
      </c>
      <c r="H165" s="385">
        <f>G165*'INDEX ICOCIV'!$R$85</f>
        <v>3788.9600000000005</v>
      </c>
      <c r="I165" s="26">
        <f t="shared" si="7"/>
        <v>0</v>
      </c>
    </row>
    <row r="166" spans="3:9" ht="16" outlineLevel="1" x14ac:dyDescent="0.2">
      <c r="C166" s="17" t="s">
        <v>237</v>
      </c>
      <c r="D166" s="22" t="s">
        <v>685</v>
      </c>
      <c r="E166" s="23" t="s">
        <v>188</v>
      </c>
      <c r="F166" s="24">
        <f>'CANTIDADES VALOR INICIAL'!G162</f>
        <v>0</v>
      </c>
      <c r="G166" s="25">
        <f>'CANTIDADES VALOR INICIAL'!H162</f>
        <v>37726</v>
      </c>
      <c r="H166" s="385">
        <f>G166*'INDEX ICOCIV'!$R$85</f>
        <v>51307.360000000001</v>
      </c>
      <c r="I166" s="26">
        <f t="shared" si="7"/>
        <v>0</v>
      </c>
    </row>
    <row r="167" spans="3:9" ht="28" outlineLevel="1" x14ac:dyDescent="0.2">
      <c r="C167" s="17" t="s">
        <v>238</v>
      </c>
      <c r="D167" s="22" t="s">
        <v>686</v>
      </c>
      <c r="E167" s="23" t="s">
        <v>183</v>
      </c>
      <c r="F167" s="24">
        <f>'CANTIDADES VALOR INICIAL'!G163</f>
        <v>0</v>
      </c>
      <c r="G167" s="25">
        <f>'CANTIDADES VALOR INICIAL'!H163</f>
        <v>366977</v>
      </c>
      <c r="H167" s="385">
        <f>G167*'INDEX ICOCIV'!$R$85</f>
        <v>499088.72000000003</v>
      </c>
      <c r="I167" s="26">
        <f t="shared" si="7"/>
        <v>0</v>
      </c>
    </row>
    <row r="168" spans="3:9" ht="16" outlineLevel="1" x14ac:dyDescent="0.2">
      <c r="C168" s="17" t="s">
        <v>239</v>
      </c>
      <c r="D168" s="22" t="s">
        <v>687</v>
      </c>
      <c r="E168" s="23" t="s">
        <v>188</v>
      </c>
      <c r="F168" s="24">
        <f>'CANTIDADES VALOR INICIAL'!G164</f>
        <v>0</v>
      </c>
      <c r="G168" s="25">
        <f>'CANTIDADES VALOR INICIAL'!H164</f>
        <v>6750</v>
      </c>
      <c r="H168" s="385">
        <f>G168*'INDEX ICOCIV'!$R$85</f>
        <v>9180</v>
      </c>
      <c r="I168" s="26">
        <f t="shared" si="7"/>
        <v>0</v>
      </c>
    </row>
    <row r="169" spans="3:9" ht="28" outlineLevel="1" x14ac:dyDescent="0.2">
      <c r="C169" s="17" t="s">
        <v>240</v>
      </c>
      <c r="D169" s="22" t="s">
        <v>241</v>
      </c>
      <c r="E169" s="23" t="s">
        <v>267</v>
      </c>
      <c r="F169" s="24">
        <f>'CANTIDADES VALOR INICIAL'!G165</f>
        <v>0</v>
      </c>
      <c r="G169" s="25">
        <f>'CANTIDADES VALOR INICIAL'!H165</f>
        <v>979835</v>
      </c>
      <c r="H169" s="385">
        <f>G169*'INDEX ICOCIV'!$R$85</f>
        <v>1332575.6000000001</v>
      </c>
      <c r="I169" s="26">
        <f t="shared" si="7"/>
        <v>0</v>
      </c>
    </row>
    <row r="170" spans="3:9" ht="70" outlineLevel="1" x14ac:dyDescent="0.2">
      <c r="C170" s="17" t="s">
        <v>242</v>
      </c>
      <c r="D170" s="22" t="s">
        <v>688</v>
      </c>
      <c r="E170" s="23" t="s">
        <v>183</v>
      </c>
      <c r="F170" s="24">
        <f>'CANTIDADES VALOR INICIAL'!G166</f>
        <v>0</v>
      </c>
      <c r="G170" s="25">
        <f>'CANTIDADES VALOR INICIAL'!H166</f>
        <v>1383714</v>
      </c>
      <c r="H170" s="385">
        <f>G170*'INDEX ICOCIV'!$R$85</f>
        <v>1881851.04</v>
      </c>
      <c r="I170" s="26">
        <f t="shared" si="7"/>
        <v>0</v>
      </c>
    </row>
    <row r="171" spans="3:9" ht="16" outlineLevel="1" x14ac:dyDescent="0.2">
      <c r="C171" s="17" t="s">
        <v>243</v>
      </c>
      <c r="D171" s="22" t="s">
        <v>244</v>
      </c>
      <c r="E171" s="23" t="s">
        <v>267</v>
      </c>
      <c r="F171" s="24">
        <f>'CANTIDADES VALOR INICIAL'!G167</f>
        <v>0</v>
      </c>
      <c r="G171" s="25">
        <f>'CANTIDADES VALOR INICIAL'!H167</f>
        <v>66613</v>
      </c>
      <c r="H171" s="385">
        <f>G171*'INDEX ICOCIV'!$R$85</f>
        <v>90593.680000000008</v>
      </c>
      <c r="I171" s="26">
        <f t="shared" si="7"/>
        <v>0</v>
      </c>
    </row>
    <row r="172" spans="3:9" ht="16" outlineLevel="1" x14ac:dyDescent="0.2">
      <c r="C172" s="17" t="s">
        <v>245</v>
      </c>
      <c r="D172" s="22" t="s">
        <v>246</v>
      </c>
      <c r="E172" s="23" t="s">
        <v>267</v>
      </c>
      <c r="F172" s="24">
        <f>'CANTIDADES VALOR INICIAL'!G168</f>
        <v>0</v>
      </c>
      <c r="G172" s="25">
        <f>'CANTIDADES VALOR INICIAL'!H168</f>
        <v>193619</v>
      </c>
      <c r="H172" s="385">
        <f>G172*'INDEX ICOCIV'!$R$85</f>
        <v>263321.84000000003</v>
      </c>
      <c r="I172" s="26">
        <f t="shared" si="7"/>
        <v>0</v>
      </c>
    </row>
    <row r="173" spans="3:9" ht="28" outlineLevel="1" x14ac:dyDescent="0.2">
      <c r="C173" s="17" t="s">
        <v>247</v>
      </c>
      <c r="D173" s="22" t="s">
        <v>248</v>
      </c>
      <c r="E173" s="23" t="s">
        <v>267</v>
      </c>
      <c r="F173" s="24">
        <f>'CANTIDADES VALOR INICIAL'!G169</f>
        <v>0</v>
      </c>
      <c r="G173" s="25">
        <f>'CANTIDADES VALOR INICIAL'!H169</f>
        <v>512843</v>
      </c>
      <c r="H173" s="385">
        <f>G173*'INDEX ICOCIV'!$R$85</f>
        <v>697466.4800000001</v>
      </c>
      <c r="I173" s="26">
        <f t="shared" si="7"/>
        <v>0</v>
      </c>
    </row>
    <row r="174" spans="3:9" ht="16" outlineLevel="1" x14ac:dyDescent="0.2">
      <c r="C174" s="17" t="s">
        <v>249</v>
      </c>
      <c r="D174" s="22" t="s">
        <v>250</v>
      </c>
      <c r="E174" s="23" t="s">
        <v>267</v>
      </c>
      <c r="F174" s="24">
        <f>'CANTIDADES VALOR INICIAL'!G170</f>
        <v>0</v>
      </c>
      <c r="G174" s="25">
        <f>'CANTIDADES VALOR INICIAL'!H170</f>
        <v>521079</v>
      </c>
      <c r="H174" s="385">
        <f>G174*'INDEX ICOCIV'!$R$85</f>
        <v>708667.44000000006</v>
      </c>
      <c r="I174" s="26">
        <f t="shared" si="7"/>
        <v>0</v>
      </c>
    </row>
    <row r="175" spans="3:9" ht="16" outlineLevel="1" x14ac:dyDescent="0.2">
      <c r="C175" s="17" t="s">
        <v>251</v>
      </c>
      <c r="D175" s="22" t="s">
        <v>252</v>
      </c>
      <c r="E175" s="23" t="s">
        <v>171</v>
      </c>
      <c r="F175" s="24">
        <f>'CANTIDADES VALOR INICIAL'!G171</f>
        <v>0</v>
      </c>
      <c r="G175" s="25">
        <f>'CANTIDADES VALOR INICIAL'!H171</f>
        <v>86856</v>
      </c>
      <c r="H175" s="385">
        <f>G175*'INDEX ICOCIV'!$R$85</f>
        <v>118124.16</v>
      </c>
      <c r="I175" s="26">
        <f t="shared" si="7"/>
        <v>0</v>
      </c>
    </row>
    <row r="176" spans="3:9" ht="28" outlineLevel="1" x14ac:dyDescent="0.2">
      <c r="C176" s="17" t="s">
        <v>253</v>
      </c>
      <c r="D176" s="22" t="s">
        <v>254</v>
      </c>
      <c r="E176" s="23" t="s">
        <v>267</v>
      </c>
      <c r="F176" s="24">
        <f>'CANTIDADES VALOR INICIAL'!G172</f>
        <v>0</v>
      </c>
      <c r="G176" s="25">
        <f>'CANTIDADES VALOR INICIAL'!H172</f>
        <v>192632</v>
      </c>
      <c r="H176" s="385">
        <f>G176*'INDEX ICOCIV'!$R$85</f>
        <v>261979.52000000002</v>
      </c>
      <c r="I176" s="26">
        <f t="shared" si="7"/>
        <v>0</v>
      </c>
    </row>
    <row r="177" spans="3:9" ht="16" outlineLevel="1" x14ac:dyDescent="0.2">
      <c r="C177" s="17" t="s">
        <v>255</v>
      </c>
      <c r="D177" s="22" t="s">
        <v>256</v>
      </c>
      <c r="E177" s="23" t="s">
        <v>267</v>
      </c>
      <c r="F177" s="24">
        <f>'CANTIDADES VALOR INICIAL'!G173</f>
        <v>0</v>
      </c>
      <c r="G177" s="25">
        <f>'CANTIDADES VALOR INICIAL'!H173</f>
        <v>151913</v>
      </c>
      <c r="H177" s="385">
        <f>G177*'INDEX ICOCIV'!$R$85</f>
        <v>206601.68000000002</v>
      </c>
      <c r="I177" s="26">
        <f t="shared" si="7"/>
        <v>0</v>
      </c>
    </row>
    <row r="178" spans="3:9" ht="16" outlineLevel="1" x14ac:dyDescent="0.2">
      <c r="C178" s="17" t="s">
        <v>257</v>
      </c>
      <c r="D178" s="22" t="s">
        <v>258</v>
      </c>
      <c r="E178" s="23" t="s">
        <v>267</v>
      </c>
      <c r="F178" s="24">
        <f>'CANTIDADES VALOR INICIAL'!G174</f>
        <v>0</v>
      </c>
      <c r="G178" s="25">
        <f>'CANTIDADES VALOR INICIAL'!H174</f>
        <v>143947</v>
      </c>
      <c r="H178" s="385">
        <f>G178*'INDEX ICOCIV'!$R$85</f>
        <v>195767.92</v>
      </c>
      <c r="I178" s="26">
        <f t="shared" si="7"/>
        <v>0</v>
      </c>
    </row>
    <row r="179" spans="3:9" ht="28" outlineLevel="1" x14ac:dyDescent="0.2">
      <c r="C179" s="17" t="s">
        <v>259</v>
      </c>
      <c r="D179" s="22" t="s">
        <v>260</v>
      </c>
      <c r="E179" s="23" t="s">
        <v>267</v>
      </c>
      <c r="F179" s="24">
        <f>'CANTIDADES VALOR INICIAL'!G175</f>
        <v>0</v>
      </c>
      <c r="G179" s="25">
        <f>'CANTIDADES VALOR INICIAL'!H175</f>
        <v>327496</v>
      </c>
      <c r="H179" s="385">
        <f>G179*'INDEX ICOCIV'!$R$85</f>
        <v>445394.56000000006</v>
      </c>
      <c r="I179" s="26">
        <f t="shared" si="7"/>
        <v>0</v>
      </c>
    </row>
    <row r="180" spans="3:9" ht="16" outlineLevel="1" x14ac:dyDescent="0.2">
      <c r="C180" s="17" t="s">
        <v>261</v>
      </c>
      <c r="D180" s="22" t="s">
        <v>262</v>
      </c>
      <c r="E180" s="23" t="s">
        <v>267</v>
      </c>
      <c r="F180" s="24">
        <f>'CANTIDADES VALOR INICIAL'!G176</f>
        <v>0</v>
      </c>
      <c r="G180" s="25">
        <f>'CANTIDADES VALOR INICIAL'!H176</f>
        <v>31207</v>
      </c>
      <c r="H180" s="385">
        <f>G180*'INDEX ICOCIV'!$R$85</f>
        <v>42441.520000000004</v>
      </c>
      <c r="I180" s="26">
        <f t="shared" si="7"/>
        <v>0</v>
      </c>
    </row>
    <row r="181" spans="3:9" ht="42" outlineLevel="1" x14ac:dyDescent="0.2">
      <c r="C181" s="17" t="s">
        <v>263</v>
      </c>
      <c r="D181" s="22" t="s">
        <v>264</v>
      </c>
      <c r="E181" s="23" t="s">
        <v>183</v>
      </c>
      <c r="F181" s="24">
        <f>'CANTIDADES VALOR INICIAL'!G177</f>
        <v>0</v>
      </c>
      <c r="G181" s="25">
        <f>'CANTIDADES VALOR INICIAL'!H177</f>
        <v>173937.3</v>
      </c>
      <c r="H181" s="385">
        <f>G181*'INDEX ICOCIV'!$R$85</f>
        <v>236554.728</v>
      </c>
      <c r="I181" s="26">
        <f t="shared" si="7"/>
        <v>0</v>
      </c>
    </row>
    <row r="182" spans="3:9" ht="98" outlineLevel="1" x14ac:dyDescent="0.2">
      <c r="C182" s="17" t="s">
        <v>265</v>
      </c>
      <c r="D182" s="22" t="s">
        <v>266</v>
      </c>
      <c r="E182" s="23" t="s">
        <v>267</v>
      </c>
      <c r="F182" s="24">
        <f>'CANTIDADES VALOR INICIAL'!G178</f>
        <v>0</v>
      </c>
      <c r="G182" s="25">
        <f>'CANTIDADES VALOR INICIAL'!H178</f>
        <v>443202.7</v>
      </c>
      <c r="H182" s="385">
        <f>G182*'INDEX ICOCIV'!$R$85</f>
        <v>602755.67200000002</v>
      </c>
      <c r="I182" s="26">
        <f t="shared" si="7"/>
        <v>0</v>
      </c>
    </row>
    <row r="183" spans="3:9" ht="16" outlineLevel="1" x14ac:dyDescent="0.2">
      <c r="C183" s="17" t="s">
        <v>268</v>
      </c>
      <c r="D183" s="22" t="s">
        <v>269</v>
      </c>
      <c r="E183" s="23" t="s">
        <v>171</v>
      </c>
      <c r="F183" s="24">
        <f>'CANTIDADES VALOR INICIAL'!G179</f>
        <v>0</v>
      </c>
      <c r="G183" s="25">
        <f>'CANTIDADES VALOR INICIAL'!H179</f>
        <v>149796.39000000001</v>
      </c>
      <c r="H183" s="385">
        <f>G183*'INDEX ICOCIV'!$R$85</f>
        <v>203723.09040000004</v>
      </c>
      <c r="I183" s="26">
        <f t="shared" si="7"/>
        <v>0</v>
      </c>
    </row>
    <row r="184" spans="3:9" ht="16" outlineLevel="1" x14ac:dyDescent="0.2">
      <c r="C184" s="17" t="s">
        <v>270</v>
      </c>
      <c r="D184" s="22" t="s">
        <v>271</v>
      </c>
      <c r="E184" s="23" t="s">
        <v>267</v>
      </c>
      <c r="F184" s="24">
        <f>'CANTIDADES VALOR INICIAL'!G180</f>
        <v>0</v>
      </c>
      <c r="G184" s="25">
        <f>'CANTIDADES VALOR INICIAL'!H180</f>
        <v>89517.9</v>
      </c>
      <c r="H184" s="385">
        <f>G184*'INDEX ICOCIV'!$R$85</f>
        <v>121744.344</v>
      </c>
      <c r="I184" s="26">
        <f t="shared" si="7"/>
        <v>0</v>
      </c>
    </row>
    <row r="185" spans="3:9" ht="16" outlineLevel="1" x14ac:dyDescent="0.2">
      <c r="C185" s="17" t="s">
        <v>272</v>
      </c>
      <c r="D185" s="22" t="s">
        <v>273</v>
      </c>
      <c r="E185" s="23" t="s">
        <v>267</v>
      </c>
      <c r="F185" s="24">
        <f>'CANTIDADES VALOR INICIAL'!G181</f>
        <v>0</v>
      </c>
      <c r="G185" s="25">
        <f>'CANTIDADES VALOR INICIAL'!H181</f>
        <v>84038.9</v>
      </c>
      <c r="H185" s="385">
        <f>G185*'INDEX ICOCIV'!$R$85</f>
        <v>114292.90399999999</v>
      </c>
      <c r="I185" s="26">
        <f t="shared" si="7"/>
        <v>0</v>
      </c>
    </row>
    <row r="186" spans="3:9" ht="16" outlineLevel="1" x14ac:dyDescent="0.2">
      <c r="C186" s="17" t="s">
        <v>274</v>
      </c>
      <c r="D186" s="22" t="s">
        <v>275</v>
      </c>
      <c r="E186" s="23" t="s">
        <v>267</v>
      </c>
      <c r="F186" s="24">
        <f>'CANTIDADES VALOR INICIAL'!G182</f>
        <v>0</v>
      </c>
      <c r="G186" s="25">
        <f>'CANTIDADES VALOR INICIAL'!H182</f>
        <v>58334.9</v>
      </c>
      <c r="H186" s="385">
        <f>G186*'INDEX ICOCIV'!$R$85</f>
        <v>79335.464000000007</v>
      </c>
      <c r="I186" s="26">
        <f t="shared" si="7"/>
        <v>0</v>
      </c>
    </row>
    <row r="187" spans="3:9" ht="16" outlineLevel="1" x14ac:dyDescent="0.2">
      <c r="C187" s="17" t="s">
        <v>276</v>
      </c>
      <c r="D187" s="22" t="s">
        <v>277</v>
      </c>
      <c r="E187" s="23" t="s">
        <v>267</v>
      </c>
      <c r="F187" s="24">
        <f>'CANTIDADES VALOR INICIAL'!G183</f>
        <v>0</v>
      </c>
      <c r="G187" s="25">
        <f>'CANTIDADES VALOR INICIAL'!H183</f>
        <v>114657</v>
      </c>
      <c r="H187" s="385">
        <f>G187*'INDEX ICOCIV'!$R$85</f>
        <v>155933.52000000002</v>
      </c>
      <c r="I187" s="26">
        <f t="shared" si="7"/>
        <v>0</v>
      </c>
    </row>
    <row r="188" spans="3:9" ht="56" outlineLevel="1" x14ac:dyDescent="0.2">
      <c r="C188" s="17" t="s">
        <v>278</v>
      </c>
      <c r="D188" s="22" t="s">
        <v>719</v>
      </c>
      <c r="E188" s="23" t="s">
        <v>183</v>
      </c>
      <c r="F188" s="24">
        <f>'CANTIDADES VALOR INICIAL'!G184</f>
        <v>0</v>
      </c>
      <c r="G188" s="25">
        <f>'CANTIDADES VALOR INICIAL'!H184</f>
        <v>1089924.55</v>
      </c>
      <c r="H188" s="385">
        <f>G188*'INDEX ICOCIV'!$R$85</f>
        <v>1482297.3880000003</v>
      </c>
      <c r="I188" s="26">
        <f t="shared" si="7"/>
        <v>0</v>
      </c>
    </row>
    <row r="189" spans="3:9" ht="22.5" customHeight="1" outlineLevel="1" thickBot="1" x14ac:dyDescent="0.25">
      <c r="C189" s="327" t="s">
        <v>279</v>
      </c>
      <c r="D189" s="68" t="s">
        <v>280</v>
      </c>
      <c r="E189" s="69" t="s">
        <v>183</v>
      </c>
      <c r="F189" s="71">
        <f>'CANTIDADES VALOR INICIAL'!G185</f>
        <v>0</v>
      </c>
      <c r="G189" s="343">
        <f>'CANTIDADES VALOR INICIAL'!H185</f>
        <v>792704</v>
      </c>
      <c r="H189" s="385">
        <f>G189*'INDEX ICOCIV'!$R$85</f>
        <v>1078077.4400000002</v>
      </c>
      <c r="I189" s="344">
        <f t="shared" si="7"/>
        <v>0</v>
      </c>
    </row>
    <row r="191" spans="3:9" ht="15" customHeight="1" x14ac:dyDescent="0.2">
      <c r="I191" s="56"/>
    </row>
    <row r="192" spans="3:9" ht="15" customHeight="1" x14ac:dyDescent="0.2">
      <c r="I192" s="56"/>
    </row>
  </sheetData>
  <autoFilter ref="C9:I189" xr:uid="{64146A1C-DAC3-4499-852A-509B8BEBAC2D}"/>
  <mergeCells count="13">
    <mergeCell ref="I9:I11"/>
    <mergeCell ref="C2:I2"/>
    <mergeCell ref="C3:I3"/>
    <mergeCell ref="C4:I4"/>
    <mergeCell ref="C5:I5"/>
    <mergeCell ref="C6:I6"/>
    <mergeCell ref="C7:I7"/>
    <mergeCell ref="H9:H11"/>
    <mergeCell ref="C9:C11"/>
    <mergeCell ref="D9:D11"/>
    <mergeCell ref="E9:E11"/>
    <mergeCell ref="F9:F11"/>
    <mergeCell ref="G9:G11"/>
  </mergeCells>
  <pageMargins left="0.70866141732283472" right="0.70866141732283472" top="0.74803149606299213" bottom="0.74803149606299213" header="0.31496062992125984" footer="0.31496062992125984"/>
  <pageSetup paperSize="9" scale="32" orientation="portrait" r:id="rId1"/>
  <rowBreaks count="1" manualBreakCount="1">
    <brk id="98" min="1" max="1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AE2F2-CF8D-4F4D-AC96-31783BBA7696}">
  <sheetPr>
    <outlinePr summaryBelow="0"/>
  </sheetPr>
  <dimension ref="A2:I129"/>
  <sheetViews>
    <sheetView showGridLines="0" zoomScale="75" zoomScaleNormal="80" zoomScaleSheetLayoutView="70" workbookViewId="0">
      <selection activeCell="H126" sqref="H126"/>
    </sheetView>
  </sheetViews>
  <sheetFormatPr baseColWidth="10" defaultColWidth="11.5" defaultRowHeight="15" customHeight="1" outlineLevelRow="1" x14ac:dyDescent="0.2"/>
  <cols>
    <col min="1" max="1" width="9.1640625" style="1" customWidth="1"/>
    <col min="2" max="2" width="1.6640625" style="1" customWidth="1"/>
    <col min="3" max="3" width="9.1640625" style="3" customWidth="1"/>
    <col min="4" max="4" width="65.83203125" style="4" customWidth="1"/>
    <col min="5" max="5" width="8.83203125" style="3" customWidth="1"/>
    <col min="6" max="7" width="20.33203125" style="1" customWidth="1"/>
    <col min="8" max="8" width="20" style="1" customWidth="1"/>
    <col min="9" max="9" width="22.33203125" style="1" customWidth="1"/>
    <col min="10" max="11" width="1.33203125" style="1" customWidth="1"/>
    <col min="12" max="16384" width="11.5" style="1"/>
  </cols>
  <sheetData>
    <row r="2" spans="1:9" ht="68.5" customHeight="1" x14ac:dyDescent="0.2">
      <c r="C2" s="490"/>
      <c r="D2" s="491"/>
      <c r="E2" s="491"/>
      <c r="F2" s="491"/>
      <c r="G2" s="491"/>
      <c r="H2" s="491"/>
      <c r="I2" s="492"/>
    </row>
    <row r="3" spans="1:9" ht="20.25" customHeight="1" x14ac:dyDescent="0.2">
      <c r="C3" s="490" t="str">
        <f>+'[3]Interv-E y D CIVs Lote 4'!B1</f>
        <v>INTERVENCIONES INTEGRALES DEL HÁBITAT</v>
      </c>
      <c r="D3" s="491"/>
      <c r="E3" s="491"/>
      <c r="F3" s="491"/>
      <c r="G3" s="491"/>
      <c r="H3" s="491"/>
      <c r="I3" s="492"/>
    </row>
    <row r="4" spans="1:9" ht="39.75" customHeight="1" x14ac:dyDescent="0.2">
      <c r="C4" s="595" t="str">
        <f>+'[3]Interv-E y D CIVs Lote 4'!B2</f>
        <v xml:space="preserve">PROYECTO DIAGNÓSTICO, ACTUALIZACIÓN ESTUDIOS, DISEÑOS Y CULMINACIÓN DE OBRAS EN ESPACIO PÚBLICO PARA EL MEJORAMIENTO INTEGRAL DEL BARRIO CARACOLÍ QUE HACE PARTE DEL TERRITORIO PRORIZADO POR LA SECRETARIA DISTRITAL EN LA LOCALIDAD DE CIUDAD BOLIVAR </v>
      </c>
      <c r="D4" s="596"/>
      <c r="E4" s="596"/>
      <c r="F4" s="596"/>
      <c r="G4" s="596"/>
      <c r="H4" s="596"/>
      <c r="I4" s="597"/>
    </row>
    <row r="5" spans="1:9" ht="24" customHeight="1" x14ac:dyDescent="0.2">
      <c r="C5" s="490" t="str">
        <f>+'[3]Interv-E y D CIVs Lote 4'!B3</f>
        <v>DIRECCIÓN DE HABITAT Y ENTORNOS-LLAVE EN MANO 
SUBSECRETARÍA DE INTERVENCIONES INTEGRALES</v>
      </c>
      <c r="D5" s="491"/>
      <c r="E5" s="491"/>
      <c r="F5" s="491"/>
      <c r="G5" s="491"/>
      <c r="H5" s="491"/>
      <c r="I5" s="492"/>
    </row>
    <row r="6" spans="1:9" ht="41.25" customHeight="1" x14ac:dyDescent="0.2">
      <c r="C6" s="595" t="s">
        <v>710</v>
      </c>
      <c r="D6" s="596"/>
      <c r="E6" s="596"/>
      <c r="F6" s="596"/>
      <c r="G6" s="596"/>
      <c r="H6" s="596"/>
      <c r="I6" s="597"/>
    </row>
    <row r="7" spans="1:9" ht="24" customHeight="1" x14ac:dyDescent="0.2">
      <c r="C7" s="595" t="s">
        <v>711</v>
      </c>
      <c r="D7" s="596"/>
      <c r="E7" s="596"/>
      <c r="F7" s="596"/>
      <c r="G7" s="596"/>
      <c r="H7" s="596"/>
      <c r="I7" s="597"/>
    </row>
    <row r="8" spans="1:9" ht="8" customHeight="1" x14ac:dyDescent="0.2"/>
    <row r="9" spans="1:9" s="3" customFormat="1" ht="13" x14ac:dyDescent="0.2">
      <c r="C9" s="477" t="s">
        <v>5</v>
      </c>
      <c r="D9" s="474" t="s">
        <v>6</v>
      </c>
      <c r="E9" s="477" t="s">
        <v>7</v>
      </c>
      <c r="F9" s="474" t="s">
        <v>8</v>
      </c>
      <c r="G9" s="474" t="s">
        <v>712</v>
      </c>
      <c r="H9" s="606" t="s">
        <v>713</v>
      </c>
      <c r="I9" s="474" t="s">
        <v>9</v>
      </c>
    </row>
    <row r="10" spans="1:9" s="3" customFormat="1" ht="34" customHeight="1" x14ac:dyDescent="0.2">
      <c r="A10" s="5"/>
      <c r="C10" s="477"/>
      <c r="D10" s="474"/>
      <c r="E10" s="477"/>
      <c r="F10" s="474"/>
      <c r="G10" s="474"/>
      <c r="H10" s="607"/>
      <c r="I10" s="474"/>
    </row>
    <row r="11" spans="1:9" s="3" customFormat="1" ht="14" thickBot="1" x14ac:dyDescent="0.25">
      <c r="C11" s="605"/>
      <c r="D11" s="604"/>
      <c r="E11" s="605"/>
      <c r="F11" s="604"/>
      <c r="G11" s="604"/>
      <c r="H11" s="608"/>
      <c r="I11" s="604"/>
    </row>
    <row r="12" spans="1:9" ht="21" customHeight="1" x14ac:dyDescent="0.2">
      <c r="C12" s="11">
        <f>'[4]CANTIDADES VALOR INICIAL'!C8</f>
        <v>1</v>
      </c>
      <c r="D12" s="12" t="str">
        <f>'[4]CANTIDADES VALOR INICIAL'!D8</f>
        <v>PRELIMINARES</v>
      </c>
      <c r="E12" s="13"/>
      <c r="F12" s="14"/>
      <c r="G12" s="432"/>
      <c r="H12" s="433"/>
      <c r="I12" s="434">
        <f>SUM(I13:I15)</f>
        <v>71220819</v>
      </c>
    </row>
    <row r="13" spans="1:9" ht="18" customHeight="1" outlineLevel="1" x14ac:dyDescent="0.2">
      <c r="A13" s="3"/>
      <c r="C13" s="17" t="str">
        <f>'[4]CANTIDADES VALOR INICIAL'!C9</f>
        <v>1.1</v>
      </c>
      <c r="D13" s="22" t="str">
        <f>'[4]CANTIDADES VALOR INICIAL'!D9</f>
        <v>REPLANTEO GENERAL</v>
      </c>
      <c r="E13" s="23" t="str">
        <f>'[4]CANTIDADES VALOR INICIAL'!E9</f>
        <v>M2</v>
      </c>
      <c r="F13" s="24">
        <f>'[4]CANTIDADES VALOR INICIAL'!G9</f>
        <v>0.13</v>
      </c>
      <c r="G13" s="435">
        <f>'[4]CANTIDADES VALOR INICIAL'!H9</f>
        <v>606</v>
      </c>
      <c r="H13" s="435">
        <f>'[4]CANTIDADES VALOR INICIAL'!I9</f>
        <v>824</v>
      </c>
      <c r="I13" s="436">
        <f>ROUND(F13*H13,0)</f>
        <v>107</v>
      </c>
    </row>
    <row r="14" spans="1:9" ht="40.5" customHeight="1" outlineLevel="1" x14ac:dyDescent="0.2">
      <c r="A14" s="3"/>
      <c r="C14" s="17" t="str">
        <f>'[4]CANTIDADES VALOR INICIAL'!C10</f>
        <v>1.2</v>
      </c>
      <c r="D14" s="22" t="str">
        <f>'[4]CANTIDADES VALOR INICIAL'!D10</f>
        <v>ALQUILER DE CERRAMIENTO TIPO 1: CONSTA DE SEÑALIZADORES TUBULARES PLÁSTICOS, TRIPLE CINTA PELIGRO CAL. 4, POLISOMBRA 65% PARA CERRAMIENTO. (INCLUYE INSTALACIÓN, MANTENIMIENTO Y DESINSTALACIÓN).</v>
      </c>
      <c r="E14" s="23" t="str">
        <f>'[4]CANTIDADES VALOR INICIAL'!E10</f>
        <v>ML/ME</v>
      </c>
      <c r="F14" s="24">
        <f>'[4]CANTIDADES VALOR INICIAL'!G10</f>
        <v>9539.34</v>
      </c>
      <c r="G14" s="435">
        <f>'[4]CANTIDADES VALOR INICIAL'!H10</f>
        <v>5490</v>
      </c>
      <c r="H14" s="435">
        <f>'[4]CANTIDADES VALOR INICIAL'!I10</f>
        <v>7466</v>
      </c>
      <c r="I14" s="436">
        <f>ROUND(F14*H14,0)</f>
        <v>71220712</v>
      </c>
    </row>
    <row r="15" spans="1:9" ht="14" outlineLevel="1" x14ac:dyDescent="0.2">
      <c r="A15" s="3"/>
      <c r="C15" s="17" t="str">
        <f>'[4]CANTIDADES VALOR INICIAL'!C11</f>
        <v>1.3</v>
      </c>
      <c r="D15" s="22" t="str">
        <f>'[4]CANTIDADES VALOR INICIAL'!D11</f>
        <v>VALLA ESPECIAL 6X3 (INSTALAC.) SOLO LÁMINA Y BANNER</v>
      </c>
      <c r="E15" s="23" t="str">
        <f>'[4]CANTIDADES VALOR INICIAL'!E11</f>
        <v>UN</v>
      </c>
      <c r="F15" s="24">
        <f>'[4]CANTIDADES VALOR INICIAL'!G11</f>
        <v>0</v>
      </c>
      <c r="G15" s="435">
        <f>'[4]CANTIDADES VALOR INICIAL'!H11</f>
        <v>225895</v>
      </c>
      <c r="H15" s="435">
        <f>'[4]CANTIDADES VALOR INICIAL'!I11</f>
        <v>307217</v>
      </c>
      <c r="I15" s="436">
        <f>ROUND(F15*H15,0)</f>
        <v>0</v>
      </c>
    </row>
    <row r="16" spans="1:9" ht="21" customHeight="1" x14ac:dyDescent="0.2">
      <c r="C16" s="27">
        <f>'[4]CANTIDADES VALOR INICIAL'!C12</f>
        <v>2</v>
      </c>
      <c r="D16" s="28" t="str">
        <f>'[4]CANTIDADES VALOR INICIAL'!D12</f>
        <v>REDES HIDROSANITARIAS</v>
      </c>
      <c r="E16" s="29"/>
      <c r="F16" s="30"/>
      <c r="G16" s="432"/>
      <c r="H16" s="432"/>
      <c r="I16" s="434">
        <f>SUM(I17:I58)</f>
        <v>347004577</v>
      </c>
    </row>
    <row r="17" spans="1:9" ht="14" outlineLevel="1" x14ac:dyDescent="0.2">
      <c r="A17" s="3"/>
      <c r="C17" s="17" t="str">
        <f>'[4]CANTIDADES VALOR INICIAL'!C13</f>
        <v>2.1</v>
      </c>
      <c r="D17" s="22" t="str">
        <f>'[4]CANTIDADES VALOR INICIAL'!D13</f>
        <v>LOCALIZACION Y REPLANTEO PARA REDES</v>
      </c>
      <c r="E17" s="23" t="str">
        <f>'[4]CANTIDADES VALOR INICIAL'!E13</f>
        <v>ML</v>
      </c>
      <c r="F17" s="24">
        <f>'[4]CANTIDADES VALOR INICIAL'!G13</f>
        <v>974.60000000000014</v>
      </c>
      <c r="G17" s="435">
        <f>'[4]CANTIDADES VALOR INICIAL'!H13</f>
        <v>1587</v>
      </c>
      <c r="H17" s="435">
        <f>'[4]CANTIDADES VALOR INICIAL'!I13</f>
        <v>2158</v>
      </c>
      <c r="I17" s="436">
        <f t="shared" ref="I17:I58" si="0">ROUND(F17*H17,0)</f>
        <v>2103187</v>
      </c>
    </row>
    <row r="18" spans="1:9" ht="56" outlineLevel="1" x14ac:dyDescent="0.2">
      <c r="A18" s="3"/>
      <c r="C18" s="17" t="str">
        <f>'[4]CANTIDADES VALOR INICIAL'!C14</f>
        <v>2.2</v>
      </c>
      <c r="D18" s="22" t="str">
        <f>'[4]CANTIDADES VALOR INICIAL'!D14</f>
        <v>RELOCALIZACIÓN DE MEDIDOR DE ACUEDUCTO D= 1/2" (INCLUYE 1.0M TUBERÍA GALVANIZADA D= 1/2", SOLDADURA, CINTA DE TEFLON,  Y REPOSICIÓN DE CAJILLA EN POLIPROPILENO DE ALTA RESISTENCIA CON TAPA, NO INCLUYE MEDIDOR.).</v>
      </c>
      <c r="E18" s="23" t="str">
        <f>'[4]CANTIDADES VALOR INICIAL'!E14</f>
        <v>UN</v>
      </c>
      <c r="F18" s="24">
        <f>'[4]CANTIDADES VALOR INICIAL'!G14</f>
        <v>149</v>
      </c>
      <c r="G18" s="435">
        <f>'[4]CANTIDADES VALOR INICIAL'!H14</f>
        <v>211667</v>
      </c>
      <c r="H18" s="435">
        <f>'[4]CANTIDADES VALOR INICIAL'!I14</f>
        <v>287867</v>
      </c>
      <c r="I18" s="436">
        <f t="shared" si="0"/>
        <v>42892183</v>
      </c>
    </row>
    <row r="19" spans="1:9" ht="20.25" customHeight="1" outlineLevel="1" x14ac:dyDescent="0.2">
      <c r="A19" s="3"/>
      <c r="C19" s="17" t="str">
        <f>'[4]CANTIDADES VALOR INICIAL'!C15</f>
        <v>2.3</v>
      </c>
      <c r="D19" s="22" t="str">
        <f>'[4]CANTIDADES VALOR INICIAL'!D15</f>
        <v>EXCAVACION MANUAL EN MATERIAL COMUN. INCLUYE CARGUE.</v>
      </c>
      <c r="E19" s="23" t="str">
        <f>'[4]CANTIDADES VALOR INICIAL'!E15</f>
        <v>M3</v>
      </c>
      <c r="F19" s="24">
        <f>'[4]CANTIDADES VALOR INICIAL'!G15</f>
        <v>1282.8599999999999</v>
      </c>
      <c r="G19" s="435">
        <f>'[4]CANTIDADES VALOR INICIAL'!H15</f>
        <v>25927</v>
      </c>
      <c r="H19" s="435">
        <f>'[4]CANTIDADES VALOR INICIAL'!I15</f>
        <v>35261</v>
      </c>
      <c r="I19" s="436">
        <f t="shared" si="0"/>
        <v>45234926</v>
      </c>
    </row>
    <row r="20" spans="1:9" ht="60" customHeight="1" outlineLevel="1" x14ac:dyDescent="0.2">
      <c r="A20" s="3"/>
      <c r="C20" s="17" t="str">
        <f>'[4]CANTIDADES VALOR INICIAL'!C16</f>
        <v>2.4</v>
      </c>
      <c r="D20" s="22" t="str">
        <f>'[4]CANTIDADES VALOR INICIAL'!D16</f>
        <v>TRANSPORTE Y DISPOSICION FINAL DE ESCOMBROS EN SITIO AUTORIZADO (DISTANCIA DE TRANSPORTE 21 KM). A DISTANCIA MAYOR DEL ACARREO LIBRE (90 M) EN SITIO AUTORIZADO POR LA ENTIDAD AMBIENTAL COMPETENTE.</v>
      </c>
      <c r="E20" s="23" t="str">
        <f>'[4]CANTIDADES VALOR INICIAL'!E16</f>
        <v>M3</v>
      </c>
      <c r="F20" s="24">
        <f>'[4]CANTIDADES VALOR INICIAL'!G16</f>
        <v>2423.67</v>
      </c>
      <c r="G20" s="435">
        <f>'[4]CANTIDADES VALOR INICIAL'!H16</f>
        <v>26843</v>
      </c>
      <c r="H20" s="435">
        <f>'[4]CANTIDADES VALOR INICIAL'!I16</f>
        <v>36506</v>
      </c>
      <c r="I20" s="436">
        <f t="shared" si="0"/>
        <v>88478497</v>
      </c>
    </row>
    <row r="21" spans="1:9" ht="28" outlineLevel="1" x14ac:dyDescent="0.2">
      <c r="A21" s="3"/>
      <c r="C21" s="17" t="str">
        <f>'[4]CANTIDADES VALOR INICIAL'!C17</f>
        <v>2.5</v>
      </c>
      <c r="D21" s="22" t="str">
        <f>'[4]CANTIDADES VALOR INICIAL'!D17</f>
        <v>NIVELACIÓN DE POZO (HASTA RASANTE EN CONCRETO 3000 PSI HECHO EN OBRA, H=0.15M. INCLUYE SUMINISTRO Y CONSTRUCCIÓN)</v>
      </c>
      <c r="E21" s="23" t="str">
        <f>'[4]CANTIDADES VALOR INICIAL'!E17</f>
        <v>UN</v>
      </c>
      <c r="F21" s="24">
        <f>'[4]CANTIDADES VALOR INICIAL'!G17</f>
        <v>23</v>
      </c>
      <c r="G21" s="435">
        <f>'[4]CANTIDADES VALOR INICIAL'!H17</f>
        <v>84326</v>
      </c>
      <c r="H21" s="435">
        <f>'[4]CANTIDADES VALOR INICIAL'!I17</f>
        <v>114683</v>
      </c>
      <c r="I21" s="436">
        <f t="shared" si="0"/>
        <v>2637709</v>
      </c>
    </row>
    <row r="22" spans="1:9" ht="28" outlineLevel="1" x14ac:dyDescent="0.2">
      <c r="A22" s="3"/>
      <c r="C22" s="17" t="str">
        <f>'[4]CANTIDADES VALOR INICIAL'!C18</f>
        <v>2.6</v>
      </c>
      <c r="D22" s="22" t="str">
        <f>'[4]CANTIDADES VALOR INICIAL'!D18</f>
        <v>RELLENO PARA REDES EN ARENA DE PEÑA (SUMINISTRO, EXTENDIDO, HUMEDECIMIENTO Y COMPACTACIÓN)</v>
      </c>
      <c r="E22" s="23" t="str">
        <f>'[4]CANTIDADES VALOR INICIAL'!E18</f>
        <v>M3</v>
      </c>
      <c r="F22" s="24">
        <f>'[4]CANTIDADES VALOR INICIAL'!G18</f>
        <v>48.070000000000007</v>
      </c>
      <c r="G22" s="435">
        <f>'[4]CANTIDADES VALOR INICIAL'!H18</f>
        <v>155234</v>
      </c>
      <c r="H22" s="435">
        <f>'[4]CANTIDADES VALOR INICIAL'!I18</f>
        <v>211118</v>
      </c>
      <c r="I22" s="436">
        <f t="shared" si="0"/>
        <v>10148442</v>
      </c>
    </row>
    <row r="23" spans="1:9" ht="28" outlineLevel="1" x14ac:dyDescent="0.2">
      <c r="A23" s="3"/>
      <c r="C23" s="17" t="str">
        <f>'[4]CANTIDADES VALOR INICIAL'!C19</f>
        <v>2.7</v>
      </c>
      <c r="D23" s="22" t="str">
        <f>'[4]CANTIDADES VALOR INICIAL'!D19</f>
        <v>RELLENO EN RECEBO COMUN (SUMINISTRO E INSTALACIÓN  EXTENDIDO MANUAL, HUMEDECIMIENTO Y COMPACTACIÓN. INCLUYE TRANSPORTE)</v>
      </c>
      <c r="E23" s="23" t="str">
        <f>'[4]CANTIDADES VALOR INICIAL'!E19</f>
        <v>M3</v>
      </c>
      <c r="F23" s="24">
        <f>'[4]CANTIDADES VALOR INICIAL'!G19</f>
        <v>556.15</v>
      </c>
      <c r="G23" s="435">
        <f>'[4]CANTIDADES VALOR INICIAL'!H19</f>
        <v>61292</v>
      </c>
      <c r="H23" s="435">
        <f>'[4]CANTIDADES VALOR INICIAL'!I19</f>
        <v>83357</v>
      </c>
      <c r="I23" s="436">
        <f t="shared" si="0"/>
        <v>46358996</v>
      </c>
    </row>
    <row r="24" spans="1:9" ht="28" outlineLevel="1" x14ac:dyDescent="0.2">
      <c r="A24" s="3"/>
      <c r="C24" s="17" t="str">
        <f>'[4]CANTIDADES VALOR INICIAL'!C20</f>
        <v>2.8</v>
      </c>
      <c r="D24" s="22" t="str">
        <f>'[4]CANTIDADES VALOR INICIAL'!D20</f>
        <v>TUBERIA PVC U.M. EXT CORRUGADO/INT LISO U.M. NORMA NTC 3722-1 D=4" (INCLUYE SUMINISTRO E INSTALACIÓN)</v>
      </c>
      <c r="E24" s="23" t="str">
        <f>'[4]CANTIDADES VALOR INICIAL'!E20</f>
        <v>ML</v>
      </c>
      <c r="F24" s="24">
        <f>'[4]CANTIDADES VALOR INICIAL'!G20</f>
        <v>0</v>
      </c>
      <c r="G24" s="435">
        <f>'[4]CANTIDADES VALOR INICIAL'!H20</f>
        <v>22529</v>
      </c>
      <c r="H24" s="435">
        <f>'[4]CANTIDADES VALOR INICIAL'!I20</f>
        <v>30639</v>
      </c>
      <c r="I24" s="436">
        <f t="shared" si="0"/>
        <v>0</v>
      </c>
    </row>
    <row r="25" spans="1:9" ht="28" outlineLevel="1" x14ac:dyDescent="0.2">
      <c r="A25" s="3"/>
      <c r="C25" s="17" t="str">
        <f>'[4]CANTIDADES VALOR INICIAL'!C21</f>
        <v>2.9</v>
      </c>
      <c r="D25" s="22" t="str">
        <f>'[4]CANTIDADES VALOR INICIAL'!D21</f>
        <v>TUBERIA PVC U.M. EXT CORRUGADO/INT LISO U.M. NORMA NTC 3722-1 D=6" (INCLUYE SUMINISTRO E INSTALACIÓN)</v>
      </c>
      <c r="E25" s="23" t="str">
        <f>'[4]CANTIDADES VALOR INICIAL'!E21</f>
        <v>ML</v>
      </c>
      <c r="F25" s="24">
        <f>'[4]CANTIDADES VALOR INICIAL'!G21</f>
        <v>356.87</v>
      </c>
      <c r="G25" s="435">
        <f>'[4]CANTIDADES VALOR INICIAL'!H21</f>
        <v>29592</v>
      </c>
      <c r="H25" s="435">
        <f>'[4]CANTIDADES VALOR INICIAL'!I21</f>
        <v>40245</v>
      </c>
      <c r="I25" s="436">
        <f t="shared" si="0"/>
        <v>14362233</v>
      </c>
    </row>
    <row r="26" spans="1:9" ht="28" outlineLevel="1" x14ac:dyDescent="0.2">
      <c r="A26" s="3"/>
      <c r="C26" s="17" t="str">
        <f>'[4]CANTIDADES VALOR INICIAL'!C22</f>
        <v>2.10</v>
      </c>
      <c r="D26" s="22" t="str">
        <f>'[4]CANTIDADES VALOR INICIAL'!D22</f>
        <v>TUBERIA PVC U.M. EXT CORRUGADO/INT LISO U.M. NORMA NTC 3722-1 D=8" (INCLUYE SUMINISTRO E INSTALACIÓN)</v>
      </c>
      <c r="E26" s="23" t="str">
        <f>'[4]CANTIDADES VALOR INICIAL'!E22</f>
        <v>ML</v>
      </c>
      <c r="F26" s="24">
        <f>'[4]CANTIDADES VALOR INICIAL'!G22</f>
        <v>5.3100000000000005</v>
      </c>
      <c r="G26" s="435">
        <f>'[4]CANTIDADES VALOR INICIAL'!H22</f>
        <v>41968</v>
      </c>
      <c r="H26" s="435">
        <f>'[4]CANTIDADES VALOR INICIAL'!I22</f>
        <v>57076</v>
      </c>
      <c r="I26" s="436">
        <f t="shared" si="0"/>
        <v>303074</v>
      </c>
    </row>
    <row r="27" spans="1:9" ht="28" outlineLevel="1" x14ac:dyDescent="0.2">
      <c r="A27" s="3"/>
      <c r="C27" s="17" t="str">
        <f>'[4]CANTIDADES VALOR INICIAL'!C23</f>
        <v>2.11</v>
      </c>
      <c r="D27" s="22" t="str">
        <f>'[4]CANTIDADES VALOR INICIAL'!D23</f>
        <v>TUBERIA PVC U.M. EXT CORRUGADO/INT LISO U.M. NORMA NTC 3722-1 D=10" (INCLUYE SUMINISTRO E INSTALACIÓN)</v>
      </c>
      <c r="E27" s="23" t="str">
        <f>'[4]CANTIDADES VALOR INICIAL'!E23</f>
        <v>ML</v>
      </c>
      <c r="F27" s="24">
        <f>'[4]CANTIDADES VALOR INICIAL'!G23</f>
        <v>0</v>
      </c>
      <c r="G27" s="435">
        <f>'[4]CANTIDADES VALOR INICIAL'!H23</f>
        <v>61786</v>
      </c>
      <c r="H27" s="435">
        <f>'[4]CANTIDADES VALOR INICIAL'!I23</f>
        <v>84029</v>
      </c>
      <c r="I27" s="436">
        <f t="shared" si="0"/>
        <v>0</v>
      </c>
    </row>
    <row r="28" spans="1:9" ht="28" outlineLevel="1" x14ac:dyDescent="0.2">
      <c r="A28" s="3"/>
      <c r="C28" s="17" t="str">
        <f>'[4]CANTIDADES VALOR INICIAL'!C24</f>
        <v>2.12</v>
      </c>
      <c r="D28" s="22" t="str">
        <f>'[4]CANTIDADES VALOR INICIAL'!D24</f>
        <v>TUBERIA PVC U.M. EXT CORRUGADO/INT LISO U.M. NORMA NTC 3722-1 D=12" (INCLUYE SUMINISTRO E INSTALACIÓN)</v>
      </c>
      <c r="E28" s="23" t="str">
        <f>'[4]CANTIDADES VALOR INICIAL'!E24</f>
        <v>ML</v>
      </c>
      <c r="F28" s="24">
        <f>'[4]CANTIDADES VALOR INICIAL'!G24</f>
        <v>0</v>
      </c>
      <c r="G28" s="435">
        <f>'[4]CANTIDADES VALOR INICIAL'!H24</f>
        <v>88692</v>
      </c>
      <c r="H28" s="435">
        <f>'[4]CANTIDADES VALOR INICIAL'!I24</f>
        <v>120621</v>
      </c>
      <c r="I28" s="436">
        <f t="shared" si="0"/>
        <v>0</v>
      </c>
    </row>
    <row r="29" spans="1:9" ht="28" outlineLevel="1" x14ac:dyDescent="0.2">
      <c r="A29" s="3"/>
      <c r="C29" s="17" t="str">
        <f>'[4]CANTIDADES VALOR INICIAL'!C25</f>
        <v>2.13</v>
      </c>
      <c r="D29" s="22" t="str">
        <f>'[4]CANTIDADES VALOR INICIAL'!D25</f>
        <v>TUBERIA PVC U.M. EXT CORRUGADO/INT LISO U.M. NORMA NTC 3722-1 D=14" (INCLUYE SUMINISTRO E INSTALACIÓN)</v>
      </c>
      <c r="E29" s="23" t="str">
        <f>'[4]CANTIDADES VALOR INICIAL'!E25</f>
        <v>ML</v>
      </c>
      <c r="F29" s="24">
        <f>'[4]CANTIDADES VALOR INICIAL'!G25</f>
        <v>0</v>
      </c>
      <c r="G29" s="435">
        <f>'[4]CANTIDADES VALOR INICIAL'!H25</f>
        <v>120313</v>
      </c>
      <c r="H29" s="435">
        <f>'[4]CANTIDADES VALOR INICIAL'!I25</f>
        <v>163626</v>
      </c>
      <c r="I29" s="436">
        <f t="shared" si="0"/>
        <v>0</v>
      </c>
    </row>
    <row r="30" spans="1:9" ht="28" outlineLevel="1" x14ac:dyDescent="0.2">
      <c r="A30" s="3"/>
      <c r="C30" s="17" t="str">
        <f>'[4]CANTIDADES VALOR INICIAL'!C26</f>
        <v>2.14</v>
      </c>
      <c r="D30" s="22" t="str">
        <f>'[4]CANTIDADES VALOR INICIAL'!D26</f>
        <v>TUBERIA PVC U.M. EXT CORRUGADO/INT LISO U.M. NORMA NTC 3722-1 D=16" (INCLUYE SUMINISTRO E INSTALACIÓN)</v>
      </c>
      <c r="E30" s="23" t="str">
        <f>'[4]CANTIDADES VALOR INICIAL'!E26</f>
        <v>ML</v>
      </c>
      <c r="F30" s="24">
        <f>'[4]CANTIDADES VALOR INICIAL'!G26</f>
        <v>0</v>
      </c>
      <c r="G30" s="435">
        <f>'[4]CANTIDADES VALOR INICIAL'!H26</f>
        <v>162058</v>
      </c>
      <c r="H30" s="435">
        <f>'[4]CANTIDADES VALOR INICIAL'!I26</f>
        <v>220399</v>
      </c>
      <c r="I30" s="436">
        <f t="shared" si="0"/>
        <v>0</v>
      </c>
    </row>
    <row r="31" spans="1:9" ht="28" outlineLevel="1" x14ac:dyDescent="0.2">
      <c r="A31" s="3"/>
      <c r="C31" s="17" t="str">
        <f>'[4]CANTIDADES VALOR INICIAL'!C27</f>
        <v>2.15</v>
      </c>
      <c r="D31" s="22" t="str">
        <f>'[4]CANTIDADES VALOR INICIAL'!D27</f>
        <v>TUBERIA PVC U.M. EXT CORRUGADO/INT LISO U.M. NORMA NTC 3722-1 D=18" (INCLUYE SUMINISTRO E INSTALACIÓN)</v>
      </c>
      <c r="E31" s="23" t="str">
        <f>'[4]CANTIDADES VALOR INICIAL'!E27</f>
        <v>ML</v>
      </c>
      <c r="F31" s="24">
        <f>'[4]CANTIDADES VALOR INICIAL'!G27</f>
        <v>0</v>
      </c>
      <c r="G31" s="435">
        <f>'[4]CANTIDADES VALOR INICIAL'!H27</f>
        <v>199640</v>
      </c>
      <c r="H31" s="435">
        <f>'[4]CANTIDADES VALOR INICIAL'!I27</f>
        <v>271510</v>
      </c>
      <c r="I31" s="436">
        <f t="shared" si="0"/>
        <v>0</v>
      </c>
    </row>
    <row r="32" spans="1:9" ht="28" outlineLevel="1" x14ac:dyDescent="0.2">
      <c r="A32" s="3"/>
      <c r="C32" s="17" t="str">
        <f>'[4]CANTIDADES VALOR INICIAL'!C28</f>
        <v>2.16</v>
      </c>
      <c r="D32" s="22" t="str">
        <f>'[4]CANTIDADES VALOR INICIAL'!D28</f>
        <v>TUBERIA PVC U.M. EXT CORRUGADO/INT LISO U.M. NORMA NTC 3722-1 D=20" (INCLUYE SUMINISTRO E INSTALACIÓN)</v>
      </c>
      <c r="E32" s="23" t="str">
        <f>'[4]CANTIDADES VALOR INICIAL'!E28</f>
        <v>ML</v>
      </c>
      <c r="F32" s="24">
        <f>'[4]CANTIDADES VALOR INICIAL'!G28</f>
        <v>0</v>
      </c>
      <c r="G32" s="435">
        <f>'[4]CANTIDADES VALOR INICIAL'!H28</f>
        <v>228283</v>
      </c>
      <c r="H32" s="435">
        <f>'[4]CANTIDADES VALOR INICIAL'!I28</f>
        <v>310465</v>
      </c>
      <c r="I32" s="436">
        <f t="shared" si="0"/>
        <v>0</v>
      </c>
    </row>
    <row r="33" spans="1:9" ht="28" outlineLevel="1" x14ac:dyDescent="0.2">
      <c r="A33" s="3"/>
      <c r="C33" s="17" t="str">
        <f>'[4]CANTIDADES VALOR INICIAL'!C29</f>
        <v>2.17</v>
      </c>
      <c r="D33" s="22" t="str">
        <f>'[4]CANTIDADES VALOR INICIAL'!D29</f>
        <v>TUBERIA PVC U.M. EXT CORRUGADO/INT LISO U.M. NORMA NTC 3722-1 D=24" (INCLUYE SUMINISTRO E INSTALACIÓN)</v>
      </c>
      <c r="E33" s="23" t="str">
        <f>'[4]CANTIDADES VALOR INICIAL'!E29</f>
        <v>ML</v>
      </c>
      <c r="F33" s="24">
        <f>'[4]CANTIDADES VALOR INICIAL'!G29</f>
        <v>0</v>
      </c>
      <c r="G33" s="435">
        <f>'[4]CANTIDADES VALOR INICIAL'!H29</f>
        <v>318335</v>
      </c>
      <c r="H33" s="435">
        <f>'[4]CANTIDADES VALOR INICIAL'!I29</f>
        <v>432936</v>
      </c>
      <c r="I33" s="436">
        <f t="shared" si="0"/>
        <v>0</v>
      </c>
    </row>
    <row r="34" spans="1:9" ht="28" outlineLevel="1" x14ac:dyDescent="0.2">
      <c r="A34" s="3"/>
      <c r="C34" s="17" t="str">
        <f>'[4]CANTIDADES VALOR INICIAL'!C30</f>
        <v>2.18</v>
      </c>
      <c r="D34" s="22" t="str">
        <f>'[4]CANTIDADES VALOR INICIAL'!D30</f>
        <v>CAJA DE INSPECCION 0.80X0.8M. SUMINISTRO Y CONSTRUCCION. (H=0.6M. INCLUYE MARCO Y TAPA, NO INCLUYE BASE Y CAÑUELA).</v>
      </c>
      <c r="E34" s="23" t="str">
        <f>'[4]CANTIDADES VALOR INICIAL'!E30</f>
        <v>UN</v>
      </c>
      <c r="F34" s="24">
        <f>'[4]CANTIDADES VALOR INICIAL'!G30</f>
        <v>22</v>
      </c>
      <c r="G34" s="435">
        <f>'[4]CANTIDADES VALOR INICIAL'!H30</f>
        <v>661101</v>
      </c>
      <c r="H34" s="435">
        <f>'[4]CANTIDADES VALOR INICIAL'!I30</f>
        <v>899097</v>
      </c>
      <c r="I34" s="436">
        <f t="shared" si="0"/>
        <v>19780134</v>
      </c>
    </row>
    <row r="35" spans="1:9" ht="42" outlineLevel="1" x14ac:dyDescent="0.2">
      <c r="A35" s="3"/>
      <c r="C35" s="17" t="str">
        <f>'[4]CANTIDADES VALOR INICIAL'!C31</f>
        <v>2.19</v>
      </c>
      <c r="D35" s="22" t="str">
        <f>'[4]CANTIDADES VALOR INICIAL'!D31</f>
        <v>REPARACIÓN DE ACOMETIDA HIDRÁULICA DE LA CAJILLA HACIA EL PREDIO (INCLUYE EL RETIRO DE LA TUBERÍA EXISTENTE E INSTALACIÓN DE TUBERÍA NUEVA).</v>
      </c>
      <c r="E35" s="23" t="str">
        <f>'[4]CANTIDADES VALOR INICIAL'!E31</f>
        <v>UN</v>
      </c>
      <c r="F35" s="24">
        <f>'[4]CANTIDADES VALOR INICIAL'!G31</f>
        <v>95</v>
      </c>
      <c r="G35" s="435">
        <f>'[4]CANTIDADES VALOR INICIAL'!H31</f>
        <v>24456</v>
      </c>
      <c r="H35" s="435">
        <f>'[4]CANTIDADES VALOR INICIAL'!I31</f>
        <v>33260</v>
      </c>
      <c r="I35" s="436">
        <f t="shared" si="0"/>
        <v>3159700</v>
      </c>
    </row>
    <row r="36" spans="1:9" ht="42" outlineLevel="1" x14ac:dyDescent="0.2">
      <c r="A36" s="3"/>
      <c r="C36" s="17" t="str">
        <f>'[4]CANTIDADES VALOR INICIAL'!C32</f>
        <v>2.20</v>
      </c>
      <c r="D36" s="22" t="str">
        <f>'[4]CANTIDADES VALOR INICIAL'!D32</f>
        <v>POZO DE INSPECCION D=1.7 M (INCL. SUMINISTRO E INSTALACION). INCLUYE CILINDRO POZO DE INSPECCION EN MAMPOSTERIA, CONO PREFABRICADO, PLACA FONDO.</v>
      </c>
      <c r="E36" s="23" t="str">
        <f>'[4]CANTIDADES VALOR INICIAL'!E32</f>
        <v>UN</v>
      </c>
      <c r="F36" s="24">
        <f>'[4]CANTIDADES VALOR INICIAL'!G32</f>
        <v>0</v>
      </c>
      <c r="G36" s="435">
        <f>'[4]CANTIDADES VALOR INICIAL'!H32</f>
        <v>3536396</v>
      </c>
      <c r="H36" s="435">
        <f>'[4]CANTIDADES VALOR INICIAL'!I32</f>
        <v>4809499</v>
      </c>
      <c r="I36" s="436">
        <f t="shared" si="0"/>
        <v>0</v>
      </c>
    </row>
    <row r="37" spans="1:9" ht="28" outlineLevel="1" x14ac:dyDescent="0.2">
      <c r="A37" s="3"/>
      <c r="C37" s="17" t="str">
        <f>'[4]CANTIDADES VALOR INICIAL'!C33</f>
        <v>2.21</v>
      </c>
      <c r="D37" s="22" t="str">
        <f>'[4]CANTIDADES VALOR INICIAL'!D33</f>
        <v>POZO DE INSPECCION ENTRE 3 Y 5 METROS DIAMETRO 1,7 (CONO, TAPA Y MAMPOSTERIA)</v>
      </c>
      <c r="E37" s="23" t="str">
        <f>'[4]CANTIDADES VALOR INICIAL'!E33</f>
        <v>UN</v>
      </c>
      <c r="F37" s="24">
        <f>'[4]CANTIDADES VALOR INICIAL'!G33</f>
        <v>1</v>
      </c>
      <c r="G37" s="435">
        <f>'[4]CANTIDADES VALOR INICIAL'!H33</f>
        <v>4907021</v>
      </c>
      <c r="H37" s="435">
        <f>'[4]CANTIDADES VALOR INICIAL'!I33</f>
        <v>6673549</v>
      </c>
      <c r="I37" s="436">
        <f t="shared" si="0"/>
        <v>6673549</v>
      </c>
    </row>
    <row r="38" spans="1:9" ht="28" outlineLevel="1" x14ac:dyDescent="0.2">
      <c r="A38" s="3"/>
      <c r="C38" s="17" t="str">
        <f>'[4]CANTIDADES VALOR INICIAL'!C34</f>
        <v>2.22</v>
      </c>
      <c r="D38" s="22" t="str">
        <f>'[4]CANTIDADES VALOR INICIAL'!D34</f>
        <v>POZO DE INSPECCION MAYOR  5 METROS DIAMETRO 1,7(CONO, TAPA Y MAMPOSTERIA)</v>
      </c>
      <c r="E38" s="23" t="str">
        <f>'[4]CANTIDADES VALOR INICIAL'!E34</f>
        <v>UN</v>
      </c>
      <c r="F38" s="24">
        <f>'[4]CANTIDADES VALOR INICIAL'!G34</f>
        <v>0</v>
      </c>
      <c r="G38" s="435">
        <f>'[4]CANTIDADES VALOR INICIAL'!H34</f>
        <v>6707368</v>
      </c>
      <c r="H38" s="435">
        <f>'[4]CANTIDADES VALOR INICIAL'!I34</f>
        <v>9122020</v>
      </c>
      <c r="I38" s="436">
        <f t="shared" si="0"/>
        <v>0</v>
      </c>
    </row>
    <row r="39" spans="1:9" ht="28" outlineLevel="1" x14ac:dyDescent="0.2">
      <c r="A39" s="3"/>
      <c r="C39" s="17" t="str">
        <f>'[4]CANTIDADES VALOR INICIAL'!C35</f>
        <v>2.23</v>
      </c>
      <c r="D39" s="22" t="str">
        <f>'[4]CANTIDADES VALOR INICIAL'!D35</f>
        <v>POZO DE INSPECCION MENOR  3 METROS DIAMETRO 1,7(CONO, TAPA Y MAMPOSTERIA)</v>
      </c>
      <c r="E39" s="23" t="str">
        <f>'[4]CANTIDADES VALOR INICIAL'!E35</f>
        <v>UN</v>
      </c>
      <c r="F39" s="24">
        <f>'[4]CANTIDADES VALOR INICIAL'!G35</f>
        <v>0</v>
      </c>
      <c r="G39" s="435">
        <f>'[4]CANTIDADES VALOR INICIAL'!H35</f>
        <v>2900655</v>
      </c>
      <c r="H39" s="435">
        <f>'[4]CANTIDADES VALOR INICIAL'!I35</f>
        <v>3944891</v>
      </c>
      <c r="I39" s="436">
        <f t="shared" si="0"/>
        <v>0</v>
      </c>
    </row>
    <row r="40" spans="1:9" ht="84" outlineLevel="1" x14ac:dyDescent="0.2">
      <c r="A40" s="3"/>
      <c r="C40" s="17" t="str">
        <f>'[4]CANTIDADES VALOR INICIAL'!C36</f>
        <v>2.24</v>
      </c>
      <c r="D40" s="22" t="str">
        <f>'[4]CANTIDADES VALOR INICIAL'!D36</f>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
      <c r="E40" s="23" t="str">
        <f>'[4]CANTIDADES VALOR INICIAL'!E36</f>
        <v>ML</v>
      </c>
      <c r="F40" s="24">
        <f>'[4]CANTIDADES VALOR INICIAL'!G36</f>
        <v>0</v>
      </c>
      <c r="G40" s="435">
        <f>'[4]CANTIDADES VALOR INICIAL'!H36</f>
        <v>400624</v>
      </c>
      <c r="H40" s="435">
        <f>'[4]CANTIDADES VALOR INICIAL'!I36</f>
        <v>544849</v>
      </c>
      <c r="I40" s="436">
        <f t="shared" si="0"/>
        <v>0</v>
      </c>
    </row>
    <row r="41" spans="1:9" ht="28" outlineLevel="1" x14ac:dyDescent="0.2">
      <c r="A41" s="3"/>
      <c r="C41" s="17" t="str">
        <f>'[4]CANTIDADES VALOR INICIAL'!C37</f>
        <v>2.25</v>
      </c>
      <c r="D41" s="22" t="str">
        <f>'[4]CANTIDADES VALOR INICIAL'!D37</f>
        <v>ENTIBADO EC-2 CONTÍNUO MADERA CON PERFILES METÁLICOS Y PARALES TELESCÓPICOS. SUMINISTRO E INSTALACIÓN.</v>
      </c>
      <c r="E41" s="23" t="str">
        <f>'[4]CANTIDADES VALOR INICIAL'!E37</f>
        <v>M2</v>
      </c>
      <c r="F41" s="24">
        <f>'[4]CANTIDADES VALOR INICIAL'!G37</f>
        <v>327.40999999999997</v>
      </c>
      <c r="G41" s="435">
        <f>'[4]CANTIDADES VALOR INICIAL'!H37</f>
        <v>49952</v>
      </c>
      <c r="H41" s="435">
        <f>'[4]CANTIDADES VALOR INICIAL'!I37</f>
        <v>67935</v>
      </c>
      <c r="I41" s="436">
        <f t="shared" si="0"/>
        <v>22242598</v>
      </c>
    </row>
    <row r="42" spans="1:9" ht="28" outlineLevel="1" x14ac:dyDescent="0.2">
      <c r="A42" s="3"/>
      <c r="C42" s="17" t="str">
        <f>'[4]CANTIDADES VALOR INICIAL'!C38</f>
        <v>2.26</v>
      </c>
      <c r="D42" s="22" t="str">
        <f>'[4]CANTIDADES VALOR INICIAL'!D38</f>
        <v>ENTIBADO TIPO EC3 CONTINUO METÁLICO CON PARALES METÁLICOS. INCLUYE SUMINISTRO E INSTALACIÓN</v>
      </c>
      <c r="E42" s="23" t="str">
        <f>'[4]CANTIDADES VALOR INICIAL'!E38</f>
        <v>M2</v>
      </c>
      <c r="F42" s="24">
        <f>'[4]CANTIDADES VALOR INICIAL'!G38</f>
        <v>0</v>
      </c>
      <c r="G42" s="435">
        <f>'[4]CANTIDADES VALOR INICIAL'!H38</f>
        <v>54365</v>
      </c>
      <c r="H42" s="435">
        <f>'[4]CANTIDADES VALOR INICIAL'!I38</f>
        <v>73936</v>
      </c>
      <c r="I42" s="436">
        <f t="shared" si="0"/>
        <v>0</v>
      </c>
    </row>
    <row r="43" spans="1:9" ht="42" outlineLevel="1" x14ac:dyDescent="0.2">
      <c r="A43" s="3"/>
      <c r="C43" s="17" t="str">
        <f>'[4]CANTIDADES VALOR INICIAL'!C39</f>
        <v>2.27</v>
      </c>
      <c r="D43" s="22" t="str">
        <f>'[4]CANTIDADES VALOR INICIAL'!D39</f>
        <v>CÁRCAMO EN CONCRETO PARA TUBERÍA DE ACERO DE 8" EN CALZADA ASFALTO. INCLUYE SUMINISTRO Y COLOCACIÓN DE MATERIALES Y MANO DE OBRA.</v>
      </c>
      <c r="E43" s="23" t="str">
        <f>'[4]CANTIDADES VALOR INICIAL'!E39</f>
        <v>ML</v>
      </c>
      <c r="F43" s="24">
        <f>'[4]CANTIDADES VALOR INICIAL'!G39</f>
        <v>0</v>
      </c>
      <c r="G43" s="435">
        <f>'[4]CANTIDADES VALOR INICIAL'!H39</f>
        <v>103690</v>
      </c>
      <c r="H43" s="435">
        <f>'[4]CANTIDADES VALOR INICIAL'!I39</f>
        <v>141018</v>
      </c>
      <c r="I43" s="436">
        <f t="shared" si="0"/>
        <v>0</v>
      </c>
    </row>
    <row r="44" spans="1:9" ht="28" outlineLevel="1" x14ac:dyDescent="0.2">
      <c r="A44" s="3"/>
      <c r="C44" s="17" t="str">
        <f>'[4]CANTIDADES VALOR INICIAL'!C40</f>
        <v>2.28</v>
      </c>
      <c r="D44" s="22" t="str">
        <f>'[4]CANTIDADES VALOR INICIAL'!D40</f>
        <v>SUMIDERO LATERAL SL-150A, H=1.7M (FUNDIDO EN SITIO, CONCRETO PREMEZCLADO. INCL. SUMIN, FORM, REF. Y CONSTR. INCL. TAPA)</v>
      </c>
      <c r="E44" s="23" t="str">
        <f>'[4]CANTIDADES VALOR INICIAL'!E40</f>
        <v>UN</v>
      </c>
      <c r="F44" s="24">
        <f>'[4]CANTIDADES VALOR INICIAL'!G40</f>
        <v>10</v>
      </c>
      <c r="G44" s="435">
        <f>'[4]CANTIDADES VALOR INICIAL'!H40</f>
        <v>2164678</v>
      </c>
      <c r="H44" s="435">
        <f>'[4]CANTIDADES VALOR INICIAL'!I40</f>
        <v>2943962</v>
      </c>
      <c r="I44" s="436">
        <f t="shared" si="0"/>
        <v>29439620</v>
      </c>
    </row>
    <row r="45" spans="1:9" ht="42" outlineLevel="1" x14ac:dyDescent="0.2">
      <c r="A45" s="3"/>
      <c r="C45" s="17" t="str">
        <f>'[4]CANTIDADES VALOR INICIAL'!C41</f>
        <v>2.29</v>
      </c>
      <c r="D45" s="22" t="str">
        <f>'[4]CANTIDADES VALOR INICIAL'!D41</f>
        <v>FILTRO DE DRENAJE DE 0.6M X 1.0M. SUMINISTRO E INSTALACION. (INCLUYE TUBERIA PERFORADA  D=4", GRAVA COMUN 1/2" Y GEOTEXTIL NT 4000 O SIMILAR).</v>
      </c>
      <c r="E45" s="23" t="str">
        <f>'[4]CANTIDADES VALOR INICIAL'!E41</f>
        <v>ML</v>
      </c>
      <c r="F45" s="24">
        <f>'[4]CANTIDADES VALOR INICIAL'!G41</f>
        <v>0</v>
      </c>
      <c r="G45" s="435">
        <f>'[4]CANTIDADES VALOR INICIAL'!H41</f>
        <v>110274</v>
      </c>
      <c r="H45" s="435">
        <f>'[4]CANTIDADES VALOR INICIAL'!I41</f>
        <v>149973</v>
      </c>
      <c r="I45" s="436">
        <f t="shared" si="0"/>
        <v>0</v>
      </c>
    </row>
    <row r="46" spans="1:9" ht="22.5" customHeight="1" outlineLevel="1" x14ac:dyDescent="0.2">
      <c r="A46" s="3"/>
      <c r="C46" s="17" t="str">
        <f>'[4]CANTIDADES VALOR INICIAL'!C42</f>
        <v>2.30</v>
      </c>
      <c r="D46" s="22" t="str">
        <f>'[4]CANTIDADES VALOR INICIAL'!D42</f>
        <v>CAÑUELA TIPO A120 (SUMINISTRO E INSTALACIÓN. INCLUYE 3CM MORTERO 1:5)</v>
      </c>
      <c r="E46" s="23" t="str">
        <f>'[4]CANTIDADES VALOR INICIAL'!E42</f>
        <v>ML</v>
      </c>
      <c r="F46" s="24">
        <f>'[4]CANTIDADES VALOR INICIAL'!G42</f>
        <v>0</v>
      </c>
      <c r="G46" s="435">
        <f>'[4]CANTIDADES VALOR INICIAL'!H42</f>
        <v>47884</v>
      </c>
      <c r="H46" s="435">
        <f>'[4]CANTIDADES VALOR INICIAL'!I42</f>
        <v>65122</v>
      </c>
      <c r="I46" s="436">
        <f t="shared" si="0"/>
        <v>0</v>
      </c>
    </row>
    <row r="47" spans="1:9" ht="28" outlineLevel="1" x14ac:dyDescent="0.2">
      <c r="A47" s="3"/>
      <c r="C47" s="17" t="str">
        <f>'[4]CANTIDADES VALOR INICIAL'!C43</f>
        <v>2.31</v>
      </c>
      <c r="D47" s="22" t="str">
        <f>'[4]CANTIDADES VALOR INICIAL'!D43</f>
        <v>CONSTRUCCION CANALETA DE AGUAS LLUVIAS DE 0.4 X 0.4 MT EN CONCRETO DE 3000PSI INCLUYE REJILLA PREFABRICADA.</v>
      </c>
      <c r="E47" s="23" t="str">
        <f>'[4]CANTIDADES VALOR INICIAL'!E43</f>
        <v>ML</v>
      </c>
      <c r="F47" s="24">
        <f>'[4]CANTIDADES VALOR INICIAL'!G43</f>
        <v>0</v>
      </c>
      <c r="G47" s="435">
        <f>'[4]CANTIDADES VALOR INICIAL'!H43</f>
        <v>165330</v>
      </c>
      <c r="H47" s="435">
        <f>'[4]CANTIDADES VALOR INICIAL'!I43</f>
        <v>224849</v>
      </c>
      <c r="I47" s="436">
        <f t="shared" si="0"/>
        <v>0</v>
      </c>
    </row>
    <row r="48" spans="1:9" ht="28" outlineLevel="1" x14ac:dyDescent="0.2">
      <c r="A48" s="3"/>
      <c r="C48" s="17" t="str">
        <f>'[4]CANTIDADES VALOR INICIAL'!C44</f>
        <v>2.32</v>
      </c>
      <c r="D48" s="22" t="str">
        <f>'[4]CANTIDADES VALOR INICIAL'!D44</f>
        <v>CAJA DE INSPECCIÓN DE 0.3X0.3M (H=0.3M. INCLUYE SUMINISTRO Y CONSTRUCCIÓN. INCLUYE MARCO Y TAPA. NO INC. BASE Y CAÑUELA)</v>
      </c>
      <c r="E48" s="23" t="str">
        <f>'[4]CANTIDADES VALOR INICIAL'!E44</f>
        <v>UN</v>
      </c>
      <c r="F48" s="24">
        <f>'[4]CANTIDADES VALOR INICIAL'!G44</f>
        <v>0</v>
      </c>
      <c r="G48" s="435">
        <f>'[4]CANTIDADES VALOR INICIAL'!H44</f>
        <v>142353</v>
      </c>
      <c r="H48" s="435">
        <f>'[4]CANTIDADES VALOR INICIAL'!I44</f>
        <v>193600</v>
      </c>
      <c r="I48" s="436">
        <f t="shared" si="0"/>
        <v>0</v>
      </c>
    </row>
    <row r="49" spans="1:9" ht="28" outlineLevel="1" x14ac:dyDescent="0.2">
      <c r="A49" s="3"/>
      <c r="C49" s="17" t="str">
        <f>'[4]CANTIDADES VALOR INICIAL'!C45</f>
        <v>2.33</v>
      </c>
      <c r="D49" s="22" t="str">
        <f>'[4]CANTIDADES VALOR INICIAL'!D45</f>
        <v>EXCAVACION MANUAL PARA REDES PROFUNDIDAD 0M - 2M (INCLUYE CARGUE)</v>
      </c>
      <c r="E49" s="23" t="str">
        <f>'[4]CANTIDADES VALOR INICIAL'!E45</f>
        <v>M3</v>
      </c>
      <c r="F49" s="24">
        <f>'[4]CANTIDADES VALOR INICIAL'!G45</f>
        <v>185.88</v>
      </c>
      <c r="G49" s="435">
        <f>'[4]CANTIDADES VALOR INICIAL'!H45</f>
        <v>25927</v>
      </c>
      <c r="H49" s="435">
        <f>'[4]CANTIDADES VALOR INICIAL'!I45</f>
        <v>35261</v>
      </c>
      <c r="I49" s="436">
        <f t="shared" si="0"/>
        <v>6554315</v>
      </c>
    </row>
    <row r="50" spans="1:9" ht="28" outlineLevel="1" x14ac:dyDescent="0.2">
      <c r="A50" s="3"/>
      <c r="C50" s="17" t="str">
        <f>'[4]CANTIDADES VALOR INICIAL'!C46</f>
        <v>2.34</v>
      </c>
      <c r="D50" s="22" t="str">
        <f>'[4]CANTIDADES VALOR INICIAL'!D46</f>
        <v>EXCAVACION MANUAL PARA REDES PROFUNDIDAD 2M - 3.50M (INCLUYE CARGUE)</v>
      </c>
      <c r="E50" s="23" t="str">
        <f>'[4]CANTIDADES VALOR INICIAL'!E46</f>
        <v>M3</v>
      </c>
      <c r="F50" s="24">
        <f>'[4]CANTIDADES VALOR INICIAL'!G46</f>
        <v>0</v>
      </c>
      <c r="G50" s="435">
        <f>'[4]CANTIDADES VALOR INICIAL'!H46</f>
        <v>33502</v>
      </c>
      <c r="H50" s="435">
        <f>'[4]CANTIDADES VALOR INICIAL'!I46</f>
        <v>45563</v>
      </c>
      <c r="I50" s="436">
        <f t="shared" si="0"/>
        <v>0</v>
      </c>
    </row>
    <row r="51" spans="1:9" ht="14" outlineLevel="1" x14ac:dyDescent="0.2">
      <c r="A51" s="3"/>
      <c r="C51" s="17" t="str">
        <f>'[4]CANTIDADES VALOR INICIAL'!C47</f>
        <v>2.35</v>
      </c>
      <c r="D51" s="22" t="str">
        <f>'[4]CANTIDADES VALOR INICIAL'!D47</f>
        <v>CAÑUELA EN CONCRETO  H=5CM, 1V:3H</v>
      </c>
      <c r="E51" s="23" t="str">
        <f>'[4]CANTIDADES VALOR INICIAL'!E47</f>
        <v>ML</v>
      </c>
      <c r="F51" s="24">
        <f>'[4]CANTIDADES VALOR INICIAL'!G47</f>
        <v>0</v>
      </c>
      <c r="G51" s="435">
        <f>'[4]CANTIDADES VALOR INICIAL'!H47</f>
        <v>68662</v>
      </c>
      <c r="H51" s="435">
        <f>'[4]CANTIDADES VALOR INICIAL'!I47</f>
        <v>93380</v>
      </c>
      <c r="I51" s="436">
        <f t="shared" si="0"/>
        <v>0</v>
      </c>
    </row>
    <row r="52" spans="1:9" ht="14" outlineLevel="1" x14ac:dyDescent="0.2">
      <c r="A52" s="3"/>
      <c r="C52" s="17" t="str">
        <f>'[4]CANTIDADES VALOR INICIAL'!C48</f>
        <v>2.36</v>
      </c>
      <c r="D52" s="22" t="str">
        <f>'[4]CANTIDADES VALOR INICIAL'!D48</f>
        <v>CAJA RECOLECTORA AGUAS LLUVIA 0.30X0.30</v>
      </c>
      <c r="E52" s="23" t="str">
        <f>'[4]CANTIDADES VALOR INICIAL'!E48</f>
        <v>UN</v>
      </c>
      <c r="F52" s="24">
        <f>'[4]CANTIDADES VALOR INICIAL'!G48</f>
        <v>0</v>
      </c>
      <c r="G52" s="435">
        <f>'[4]CANTIDADES VALOR INICIAL'!H48</f>
        <v>153756</v>
      </c>
      <c r="H52" s="435">
        <f>'[4]CANTIDADES VALOR INICIAL'!I48</f>
        <v>209108</v>
      </c>
      <c r="I52" s="436">
        <f t="shared" si="0"/>
        <v>0</v>
      </c>
    </row>
    <row r="53" spans="1:9" ht="14" outlineLevel="1" x14ac:dyDescent="0.2">
      <c r="A53" s="3"/>
      <c r="C53" s="17" t="str">
        <f>'[4]CANTIDADES VALOR INICIAL'!C49</f>
        <v>2.37</v>
      </c>
      <c r="D53" s="22" t="str">
        <f>'[4]CANTIDADES VALOR INICIAL'!D49</f>
        <v>CAJA RECOLECTORA AGUAS LLUVIA 0.60X0.60</v>
      </c>
      <c r="E53" s="23" t="str">
        <f>'[4]CANTIDADES VALOR INICIAL'!E49</f>
        <v>UN</v>
      </c>
      <c r="F53" s="24">
        <f>'[4]CANTIDADES VALOR INICIAL'!G49</f>
        <v>0</v>
      </c>
      <c r="G53" s="435">
        <f>'[4]CANTIDADES VALOR INICIAL'!H49</f>
        <v>293034</v>
      </c>
      <c r="H53" s="435">
        <f>'[4]CANTIDADES VALOR INICIAL'!I49</f>
        <v>398526</v>
      </c>
      <c r="I53" s="436">
        <f t="shared" si="0"/>
        <v>0</v>
      </c>
    </row>
    <row r="54" spans="1:9" ht="14" outlineLevel="1" x14ac:dyDescent="0.2">
      <c r="A54" s="3"/>
      <c r="C54" s="17" t="str">
        <f>'[4]CANTIDADES VALOR INICIAL'!C50</f>
        <v>2.38</v>
      </c>
      <c r="D54" s="22" t="str">
        <f>'[4]CANTIDADES VALOR INICIAL'!D50</f>
        <v>CAJA DE PASO 0.60X0.60</v>
      </c>
      <c r="E54" s="23" t="str">
        <f>'[4]CANTIDADES VALOR INICIAL'!E50</f>
        <v>UN</v>
      </c>
      <c r="F54" s="24">
        <f>'[4]CANTIDADES VALOR INICIAL'!G50</f>
        <v>0</v>
      </c>
      <c r="G54" s="435">
        <f>'[4]CANTIDADES VALOR INICIAL'!H50</f>
        <v>307511</v>
      </c>
      <c r="H54" s="435">
        <f>'[4]CANTIDADES VALOR INICIAL'!I50</f>
        <v>418215</v>
      </c>
      <c r="I54" s="436">
        <f t="shared" si="0"/>
        <v>0</v>
      </c>
    </row>
    <row r="55" spans="1:9" ht="14" outlineLevel="1" x14ac:dyDescent="0.2">
      <c r="A55" s="3"/>
      <c r="C55" s="17" t="str">
        <f>'[4]CANTIDADES VALOR INICIAL'!C51</f>
        <v>2.39</v>
      </c>
      <c r="D55" s="22" t="str">
        <f>'[4]CANTIDADES VALOR INICIAL'!D51</f>
        <v>CAJA DE PASO 0.30X0.30</v>
      </c>
      <c r="E55" s="23" t="str">
        <f>'[4]CANTIDADES VALOR INICIAL'!E51</f>
        <v>UN</v>
      </c>
      <c r="F55" s="24">
        <f>'[4]CANTIDADES VALOR INICIAL'!G51</f>
        <v>0</v>
      </c>
      <c r="G55" s="435">
        <f>'[4]CANTIDADES VALOR INICIAL'!H51</f>
        <v>153756</v>
      </c>
      <c r="H55" s="435">
        <f>'[4]CANTIDADES VALOR INICIAL'!I51</f>
        <v>209108</v>
      </c>
      <c r="I55" s="436">
        <f t="shared" si="0"/>
        <v>0</v>
      </c>
    </row>
    <row r="56" spans="1:9" ht="28" outlineLevel="1" x14ac:dyDescent="0.2">
      <c r="A56" s="3"/>
      <c r="C56" s="17" t="str">
        <f>'[4]CANTIDADES VALOR INICIAL'!C52</f>
        <v>2.40</v>
      </c>
      <c r="D56" s="22" t="str">
        <f>'[4]CANTIDADES VALOR INICIAL'!D52</f>
        <v>SUMIDERO LATERAL SL-100, H=1.25M (FUNDIDO EN SITIO, CONCRETO PREMEZCLADO. INCL. SUMIN, FORM, REF. Y CONSTR. INCL. TAPA)</v>
      </c>
      <c r="E56" s="23" t="str">
        <f>'[4]CANTIDADES VALOR INICIAL'!E52</f>
        <v>UN</v>
      </c>
      <c r="F56" s="24">
        <f>'[4]CANTIDADES VALOR INICIAL'!G52</f>
        <v>0</v>
      </c>
      <c r="G56" s="435">
        <f>'[4]CANTIDADES VALOR INICIAL'!H52</f>
        <v>1558922</v>
      </c>
      <c r="H56" s="435">
        <f>'[4]CANTIDADES VALOR INICIAL'!I52</f>
        <v>2120134</v>
      </c>
      <c r="I56" s="436">
        <f t="shared" si="0"/>
        <v>0</v>
      </c>
    </row>
    <row r="57" spans="1:9" ht="14" outlineLevel="1" x14ac:dyDescent="0.2">
      <c r="A57" s="3"/>
      <c r="C57" s="17" t="str">
        <f>'[4]CANTIDADES VALOR INICIAL'!C53</f>
        <v>2.41</v>
      </c>
      <c r="D57" s="22" t="str">
        <f>'[4]CANTIDADES VALOR INICIAL'!D53</f>
        <v>RECONSTRUCCIÓN DOMICILIARIA ALCANTARILLADO **</v>
      </c>
      <c r="E57" s="23" t="str">
        <f>'[4]CANTIDADES VALOR INICIAL'!E53</f>
        <v>UN</v>
      </c>
      <c r="F57" s="24">
        <f>'[4]CANTIDADES VALOR INICIAL'!G53</f>
        <v>19</v>
      </c>
      <c r="G57" s="435">
        <f>'[4]CANTIDADES VALOR INICIAL'!H53</f>
        <v>146768</v>
      </c>
      <c r="H57" s="435">
        <f>'[4]CANTIDADES VALOR INICIAL'!I53</f>
        <v>199604</v>
      </c>
      <c r="I57" s="436">
        <f t="shared" si="0"/>
        <v>3792476</v>
      </c>
    </row>
    <row r="58" spans="1:9" ht="14" outlineLevel="1" x14ac:dyDescent="0.2">
      <c r="A58" s="3"/>
      <c r="C58" s="17" t="str">
        <f>'[4]CANTIDADES VALOR INICIAL'!C54</f>
        <v>2.42</v>
      </c>
      <c r="D58" s="22" t="str">
        <f>'[4]CANTIDADES VALOR INICIAL'!D54</f>
        <v>RECONSTRUCCIÓN ACOMETIDA ACUEDUCTO **</v>
      </c>
      <c r="E58" s="23" t="str">
        <f>'[4]CANTIDADES VALOR INICIAL'!E54</f>
        <v>UN</v>
      </c>
      <c r="F58" s="24">
        <f>'[4]CANTIDADES VALOR INICIAL'!G54</f>
        <v>14</v>
      </c>
      <c r="G58" s="435">
        <f>'[4]CANTIDADES VALOR INICIAL'!H54</f>
        <v>149314</v>
      </c>
      <c r="H58" s="435">
        <f>'[4]CANTIDADES VALOR INICIAL'!I54</f>
        <v>203067</v>
      </c>
      <c r="I58" s="436">
        <f t="shared" si="0"/>
        <v>2842938</v>
      </c>
    </row>
    <row r="59" spans="1:9" ht="21" customHeight="1" x14ac:dyDescent="0.2">
      <c r="C59" s="27">
        <f>'[4]CANTIDADES VALOR INICIAL'!C55</f>
        <v>3</v>
      </c>
      <c r="D59" s="28" t="str">
        <f>'[4]CANTIDADES VALOR INICIAL'!D55</f>
        <v>ESTRUCTURA DE ESPACIO PUBLICO</v>
      </c>
      <c r="E59" s="29"/>
      <c r="F59" s="30"/>
      <c r="G59" s="432"/>
      <c r="H59" s="432"/>
      <c r="I59" s="434">
        <f>SUM(I60:I69)</f>
        <v>713533250</v>
      </c>
    </row>
    <row r="60" spans="1:9" ht="42" outlineLevel="1" x14ac:dyDescent="0.2">
      <c r="A60" s="3"/>
      <c r="C60" s="17" t="str">
        <f>'[4]CANTIDADES VALOR INICIAL'!C56</f>
        <v>3.1</v>
      </c>
      <c r="D60" s="22" t="str">
        <f>'[4]CANTIDADES VALOR INICIAL'!D56</f>
        <v xml:space="preserve">CONSTRUCCION DE PAVIMENTO  039 KG/CM2 GRAVA1" 28DÍAS AS13CM (5") DE COLOR (CONVENCIONAL, ROJO, AMARILLO, MARRON, AZUL INCLUYE CORTE, SELLO Y AMPLIACION DE JUNTA) </v>
      </c>
      <c r="E60" s="23" t="str">
        <f>'[4]CANTIDADES VALOR INICIAL'!E56</f>
        <v>M3</v>
      </c>
      <c r="F60" s="24">
        <f>'[4]CANTIDADES VALOR INICIAL'!G56</f>
        <v>505.57</v>
      </c>
      <c r="G60" s="435">
        <f>'[4]CANTIDADES VALOR INICIAL'!H56</f>
        <v>534417</v>
      </c>
      <c r="H60" s="435">
        <f>'[4]CANTIDADES VALOR INICIAL'!I56</f>
        <v>726807</v>
      </c>
      <c r="I60" s="436">
        <f t="shared" ref="I60:I69" si="1">ROUND(F60*H60,0)</f>
        <v>367451815</v>
      </c>
    </row>
    <row r="61" spans="1:9" ht="42" outlineLevel="1" x14ac:dyDescent="0.2">
      <c r="A61" s="3"/>
      <c r="C61" s="17" t="str">
        <f>'[4]CANTIDADES VALOR INICIAL'!C57</f>
        <v>3.2</v>
      </c>
      <c r="D61" s="22" t="str">
        <f>'[4]CANTIDADES VALOR INICIAL'!D57</f>
        <v>TRANSPORTE Y DISPOSICION FINAL DE ESCOMBROS EN SITIO AUTORIZADO (DISTANCIA DE TRANSPORTE 28 KM) INCLUYE DERECHO A ESCOMBRERA</v>
      </c>
      <c r="E61" s="23" t="str">
        <f>'[4]CANTIDADES VALOR INICIAL'!E57</f>
        <v>M3</v>
      </c>
      <c r="F61" s="24">
        <f>'[4]CANTIDADES VALOR INICIAL'!G57</f>
        <v>1257.17</v>
      </c>
      <c r="G61" s="435">
        <f>'[4]CANTIDADES VALOR INICIAL'!H57</f>
        <v>28438</v>
      </c>
      <c r="H61" s="435">
        <f>'[4]CANTIDADES VALOR INICIAL'!I57</f>
        <v>38676</v>
      </c>
      <c r="I61" s="436">
        <f t="shared" si="1"/>
        <v>48622307</v>
      </c>
    </row>
    <row r="62" spans="1:9" ht="28" outlineLevel="1" x14ac:dyDescent="0.2">
      <c r="A62" s="3"/>
      <c r="C62" s="17" t="str">
        <f>'[4]CANTIDADES VALOR INICIAL'!C58</f>
        <v>3.3</v>
      </c>
      <c r="D62" s="22" t="str">
        <f>'[4]CANTIDADES VALOR INICIAL'!D58</f>
        <v>HUMEDECIMIENTO, NIVELACION Y COMPACTACION CON VIBROCOMPACTADOR DE LA SUB RASANTE</v>
      </c>
      <c r="E62" s="23" t="str">
        <f>'[4]CANTIDADES VALOR INICIAL'!E58</f>
        <v>M2</v>
      </c>
      <c r="F62" s="24">
        <f>'[4]CANTIDADES VALOR INICIAL'!G58</f>
        <v>964.41</v>
      </c>
      <c r="G62" s="435">
        <f>'[4]CANTIDADES VALOR INICIAL'!H58</f>
        <v>15709</v>
      </c>
      <c r="H62" s="435">
        <f>'[4]CANTIDADES VALOR INICIAL'!I58</f>
        <v>21364</v>
      </c>
      <c r="I62" s="436">
        <f t="shared" si="1"/>
        <v>20603655</v>
      </c>
    </row>
    <row r="63" spans="1:9" ht="56" outlineLevel="1" x14ac:dyDescent="0.2">
      <c r="A63" s="3"/>
      <c r="C63" s="17" t="str">
        <f>'[4]CANTIDADES VALOR INICIAL'!C59</f>
        <v>3.4</v>
      </c>
      <c r="D63" s="22" t="str">
        <f>'[4]CANTIDADES VALOR INICIAL'!D59</f>
        <v>SUBBASE GRANULAR CLASE A (SBG_A) ESTABILIZADA CON CEMENTO AL 4% (SUMINISTRO, EXTENDIDO, NIVELACIÓN, HUMEDECIMIENTO Y COMPACTACIÓN CON VIBROCOMPACTADOR) DISTANCIA DE TRANSPORTE 28 KM</v>
      </c>
      <c r="E63" s="23" t="str">
        <f>'[4]CANTIDADES VALOR INICIAL'!E59</f>
        <v>M3</v>
      </c>
      <c r="F63" s="24">
        <f>'[4]CANTIDADES VALOR INICIAL'!G59</f>
        <v>996.41999999999985</v>
      </c>
      <c r="G63" s="435">
        <f>'[4]CANTIDADES VALOR INICIAL'!H59</f>
        <v>135961</v>
      </c>
      <c r="H63" s="435">
        <f>'[4]CANTIDADES VALOR INICIAL'!I59</f>
        <v>184907</v>
      </c>
      <c r="I63" s="436">
        <f t="shared" si="1"/>
        <v>184245033</v>
      </c>
    </row>
    <row r="64" spans="1:9" ht="14" outlineLevel="1" x14ac:dyDescent="0.2">
      <c r="A64" s="3"/>
      <c r="C64" s="17" t="str">
        <f>'[4]CANTIDADES VALOR INICIAL'!C60</f>
        <v>3.5</v>
      </c>
      <c r="D64" s="22" t="str">
        <f>'[4]CANTIDADES VALOR INICIAL'!D60</f>
        <v>CURADO DE LOSAS DE CONCRETO (SUMINISTRO Y APLICACIÓN)</v>
      </c>
      <c r="E64" s="23" t="str">
        <f>'[4]CANTIDADES VALOR INICIAL'!E60</f>
        <v>M2</v>
      </c>
      <c r="F64" s="24">
        <f>'[4]CANTIDADES VALOR INICIAL'!G60</f>
        <v>3728.1999999999989</v>
      </c>
      <c r="G64" s="435">
        <f>'[4]CANTIDADES VALOR INICIAL'!H60</f>
        <v>1533</v>
      </c>
      <c r="H64" s="435">
        <f>'[4]CANTIDADES VALOR INICIAL'!I60</f>
        <v>2085</v>
      </c>
      <c r="I64" s="436">
        <f t="shared" si="1"/>
        <v>7773297</v>
      </c>
    </row>
    <row r="65" spans="1:9" ht="28" outlineLevel="1" x14ac:dyDescent="0.2">
      <c r="A65" s="3"/>
      <c r="C65" s="17" t="str">
        <f>'[4]CANTIDADES VALOR INICIAL'!C61</f>
        <v>3.6</v>
      </c>
      <c r="D65" s="22" t="str">
        <f>'[4]CANTIDADES VALOR INICIAL'!D61</f>
        <v>IMPRIMACIÓN CON EMULSIÓN ASFÁLTICA CRL-1 (INCLUYE SUMINISTRO, BARRIDO DE SUPERFICIE Y RIEGO).</v>
      </c>
      <c r="E65" s="23" t="str">
        <f>'[4]CANTIDADES VALOR INICIAL'!E61</f>
        <v>M2</v>
      </c>
      <c r="F65" s="24">
        <f>'[4]CANTIDADES VALOR INICIAL'!G61</f>
        <v>0</v>
      </c>
      <c r="G65" s="435">
        <f>'[4]CANTIDADES VALOR INICIAL'!H61</f>
        <v>1750</v>
      </c>
      <c r="H65" s="435">
        <f>'[4]CANTIDADES VALOR INICIAL'!I61</f>
        <v>2380</v>
      </c>
      <c r="I65" s="436">
        <f t="shared" si="1"/>
        <v>0</v>
      </c>
    </row>
    <row r="66" spans="1:9" ht="28" outlineLevel="1" x14ac:dyDescent="0.2">
      <c r="A66" s="3"/>
      <c r="C66" s="17" t="str">
        <f>'[4]CANTIDADES VALOR INICIAL'!C62</f>
        <v>3.7</v>
      </c>
      <c r="D66" s="22" t="str">
        <f>'[4]CANTIDADES VALOR INICIAL'!D62</f>
        <v>GEOTEXTIL NT 1600 PARA SEPARACION SUBRASANTE/CAPAS GRANULARES (INCLUYE SUMINISTRO E INSTALACIÓN)</v>
      </c>
      <c r="E66" s="23" t="str">
        <f>'[4]CANTIDADES VALOR INICIAL'!E62</f>
        <v>M2</v>
      </c>
      <c r="F66" s="24">
        <f>'[4]CANTIDADES VALOR INICIAL'!G62</f>
        <v>3541.97</v>
      </c>
      <c r="G66" s="435">
        <f>'[4]CANTIDADES VALOR INICIAL'!H62</f>
        <v>5343</v>
      </c>
      <c r="H66" s="435">
        <f>'[4]CANTIDADES VALOR INICIAL'!I62</f>
        <v>7266</v>
      </c>
      <c r="I66" s="436">
        <f t="shared" si="1"/>
        <v>25735954</v>
      </c>
    </row>
    <row r="67" spans="1:9" ht="28" outlineLevel="1" x14ac:dyDescent="0.2">
      <c r="A67" s="3"/>
      <c r="C67" s="17" t="str">
        <f>'[4]CANTIDADES VALOR INICIAL'!C63</f>
        <v>3.8</v>
      </c>
      <c r="D67" s="22" t="str">
        <f>'[4]CANTIDADES VALOR INICIAL'!D63</f>
        <v>MALLA ELECTROSOLDADA 0.15X0.15M, D=8MM, 8MM (INCLUYE SUMINISTRO, FIJACIÓN E INSTALACIÓN)</v>
      </c>
      <c r="E67" s="23" t="str">
        <f>'[4]CANTIDADES VALOR INICIAL'!E63</f>
        <v>KG</v>
      </c>
      <c r="F67" s="24">
        <f>'[4]CANTIDADES VALOR INICIAL'!G63</f>
        <v>0</v>
      </c>
      <c r="G67" s="435">
        <f>'[4]CANTIDADES VALOR INICIAL'!H63</f>
        <v>3095</v>
      </c>
      <c r="H67" s="435">
        <f>'[4]CANTIDADES VALOR INICIAL'!I63</f>
        <v>4209</v>
      </c>
      <c r="I67" s="436">
        <f t="shared" si="1"/>
        <v>0</v>
      </c>
    </row>
    <row r="68" spans="1:9" ht="28" outlineLevel="1" x14ac:dyDescent="0.2">
      <c r="A68" s="3"/>
      <c r="C68" s="17" t="str">
        <f>'[4]CANTIDADES VALOR INICIAL'!C64</f>
        <v>3.9</v>
      </c>
      <c r="D68" s="22" t="str">
        <f>'[4]CANTIDADES VALOR INICIAL'!D64</f>
        <v>RELLENO EN RECEBO COMUN (SUMINISTRO E INSTALACIÓN  EXTENDIDO MANUAL, HUMEDECIMIENTO Y COMPACTACIÓN TRANSPORTE A 28 KM).</v>
      </c>
      <c r="E68" s="23" t="str">
        <f>'[4]CANTIDADES VALOR INICIAL'!E64</f>
        <v>M3</v>
      </c>
      <c r="F68" s="24">
        <f>'[4]CANTIDADES VALOR INICIAL'!G64</f>
        <v>620.68000000000006</v>
      </c>
      <c r="G68" s="435">
        <f>'[4]CANTIDADES VALOR INICIAL'!H64</f>
        <v>62768</v>
      </c>
      <c r="H68" s="435">
        <f>'[4]CANTIDADES VALOR INICIAL'!I64</f>
        <v>85364</v>
      </c>
      <c r="I68" s="436">
        <f t="shared" si="1"/>
        <v>52983728</v>
      </c>
    </row>
    <row r="69" spans="1:9" ht="14" outlineLevel="1" x14ac:dyDescent="0.2">
      <c r="A69" s="3"/>
      <c r="C69" s="17" t="str">
        <f>'[4]CANTIDADES VALOR INICIAL'!C65</f>
        <v>3.10</v>
      </c>
      <c r="D69" s="22" t="str">
        <f>'[4]CANTIDADES VALOR INICIAL'!D65</f>
        <v>EXCAVACION MECANICA EN MATERIAL COMUN. INCLUYE CARGUE.</v>
      </c>
      <c r="E69" s="23" t="str">
        <f>'[4]CANTIDADES VALOR INICIAL'!E65</f>
        <v>M3</v>
      </c>
      <c r="F69" s="24">
        <f>'[4]CANTIDADES VALOR INICIAL'!G65</f>
        <v>986.21</v>
      </c>
      <c r="G69" s="435">
        <f>'[4]CANTIDADES VALOR INICIAL'!H65</f>
        <v>4561</v>
      </c>
      <c r="H69" s="435">
        <f>'[4]CANTIDADES VALOR INICIAL'!I65</f>
        <v>6203</v>
      </c>
      <c r="I69" s="436">
        <f t="shared" si="1"/>
        <v>6117461</v>
      </c>
    </row>
    <row r="70" spans="1:9" ht="21" customHeight="1" x14ac:dyDescent="0.2">
      <c r="C70" s="27">
        <f>'[4]CANTIDADES VALOR INICIAL'!C66</f>
        <v>4</v>
      </c>
      <c r="D70" s="28" t="str">
        <f>'[4]CANTIDADES VALOR INICIAL'!D66</f>
        <v>ANDENES</v>
      </c>
      <c r="E70" s="29"/>
      <c r="F70" s="30"/>
      <c r="G70" s="432"/>
      <c r="H70" s="432"/>
      <c r="I70" s="434">
        <f>SUM(I71:I84)</f>
        <v>312734870</v>
      </c>
    </row>
    <row r="71" spans="1:9" ht="42" outlineLevel="1" x14ac:dyDescent="0.2">
      <c r="A71" s="3"/>
      <c r="C71" s="17" t="str">
        <f>'[4]CANTIDADES VALOR INICIAL'!C67</f>
        <v>4.1</v>
      </c>
      <c r="D71" s="22" t="str">
        <f>'[4]CANTIDADES VALOR INICIAL'!D67</f>
        <v>DEMOLICION PISOS DE CONCRETO (INCLUYE CARGUE).  INCLUYE TRANSPORTE Y DISPOSICIÓN FINAL DE SOBRANTES. RENDIMIENTO ESTIMADO PARA ESPESORES DE 0.20M.</v>
      </c>
      <c r="E71" s="23" t="str">
        <f>'[4]CANTIDADES VALOR INICIAL'!E67</f>
        <v>M3</v>
      </c>
      <c r="F71" s="24">
        <f>'[4]CANTIDADES VALOR INICIAL'!G67</f>
        <v>99.55</v>
      </c>
      <c r="G71" s="435">
        <f>'[4]CANTIDADES VALOR INICIAL'!H67</f>
        <v>60184</v>
      </c>
      <c r="H71" s="435">
        <f>'[4]CANTIDADES VALOR INICIAL'!I67</f>
        <v>81850</v>
      </c>
      <c r="I71" s="436">
        <f t="shared" ref="I71:I84" si="2">ROUND(F71*H71,0)</f>
        <v>8148168</v>
      </c>
    </row>
    <row r="72" spans="1:9" ht="56" outlineLevel="1" x14ac:dyDescent="0.2">
      <c r="A72" s="3"/>
      <c r="C72" s="17" t="str">
        <f>'[4]CANTIDADES VALOR INICIAL'!C68</f>
        <v>4.2</v>
      </c>
      <c r="D72" s="22" t="str">
        <f>'[4]CANTIDADES VALOR INICIAL'!D68</f>
        <v>MURO EN BLOQUE DE CONCRETO KREATO LISO 19 O EQUIVALENTE PARA CONFORMACIÓN DE BORDILLO HASTA ALTURA DE H=0,6M. INCLUYE CONFORMACIÓN DE SUPERFICIE DE APOYO, CIMENTACIÓN DE BASE MURO MORTERO DE PEGA Y ACERO DE REFUERZO.</v>
      </c>
      <c r="E72" s="23" t="str">
        <f>'[4]CANTIDADES VALOR INICIAL'!E68</f>
        <v>ML</v>
      </c>
      <c r="F72" s="24">
        <f>'[4]CANTIDADES VALOR INICIAL'!G68</f>
        <v>215.32999999999998</v>
      </c>
      <c r="G72" s="435">
        <f>'[4]CANTIDADES VALOR INICIAL'!H68</f>
        <v>210396</v>
      </c>
      <c r="H72" s="435">
        <f>'[4]CANTIDADES VALOR INICIAL'!I68</f>
        <v>286139</v>
      </c>
      <c r="I72" s="436">
        <f t="shared" si="2"/>
        <v>61614311</v>
      </c>
    </row>
    <row r="73" spans="1:9" ht="42" outlineLevel="1" x14ac:dyDescent="0.2">
      <c r="A73" s="3"/>
      <c r="C73" s="17" t="str">
        <f>'[4]CANTIDADES VALOR INICIAL'!C69</f>
        <v>4.3</v>
      </c>
      <c r="D73" s="22" t="str">
        <f>'[4]CANTIDADES VALOR INICIAL'!D69</f>
        <v>BORDILLO PREFABRICADO A80 (SUMINISTRO E INSTALACIÓN. INCLUYE 3CM MORTERO DE PEGA 2000 PSI Y NIVELACIÓN DEL TERRENO CON RELLENO EN MATERIAL SELECCIONADO PROVENIENTE DE EXCAVACIÓN).</v>
      </c>
      <c r="E73" s="23" t="str">
        <f>'[4]CANTIDADES VALOR INICIAL'!E69</f>
        <v>ML</v>
      </c>
      <c r="F73" s="24">
        <f>'[4]CANTIDADES VALOR INICIAL'!G69</f>
        <v>439.43999999999994</v>
      </c>
      <c r="G73" s="435">
        <f>'[4]CANTIDADES VALOR INICIAL'!H69</f>
        <v>46986</v>
      </c>
      <c r="H73" s="435">
        <f>'[4]CANTIDADES VALOR INICIAL'!I69</f>
        <v>63901</v>
      </c>
      <c r="I73" s="436">
        <f t="shared" si="2"/>
        <v>28080655</v>
      </c>
    </row>
    <row r="74" spans="1:9" ht="28" outlineLevel="1" x14ac:dyDescent="0.2">
      <c r="A74" s="3"/>
      <c r="C74" s="17" t="str">
        <f>'[4]CANTIDADES VALOR INICIAL'!C70</f>
        <v>4.4</v>
      </c>
      <c r="D74" s="22" t="str">
        <f>'[4]CANTIDADES VALOR INICIAL'!D70</f>
        <v>PIEZA REMATE A105 PARA RAMPA TIPO A (SUMINISTRO E INSTALACIÓN. INCLUYE 3CM MORTERO 2000 PSI)</v>
      </c>
      <c r="E74" s="23" t="str">
        <f>'[4]CANTIDADES VALOR INICIAL'!E70</f>
        <v>UN</v>
      </c>
      <c r="F74" s="24">
        <f>'[4]CANTIDADES VALOR INICIAL'!G70</f>
        <v>0</v>
      </c>
      <c r="G74" s="435">
        <f>'[4]CANTIDADES VALOR INICIAL'!H70</f>
        <v>78832</v>
      </c>
      <c r="H74" s="435">
        <f>'[4]CANTIDADES VALOR INICIAL'!I70</f>
        <v>107212</v>
      </c>
      <c r="I74" s="436">
        <f t="shared" si="2"/>
        <v>0</v>
      </c>
    </row>
    <row r="75" spans="1:9" ht="28" outlineLevel="1" x14ac:dyDescent="0.2">
      <c r="A75" s="3"/>
      <c r="C75" s="17" t="str">
        <f>'[4]CANTIDADES VALOR INICIAL'!C71</f>
        <v>4.5</v>
      </c>
      <c r="D75" s="22" t="str">
        <f>'[4]CANTIDADES VALOR INICIAL'!D71</f>
        <v>SARDINEL TIPO A10 (SUMINISTRO E INSTALACIÓN. INCLUYE 3CM MORTERO 1:5)</v>
      </c>
      <c r="E75" s="23" t="str">
        <f>'[4]CANTIDADES VALOR INICIAL'!E71</f>
        <v>ML</v>
      </c>
      <c r="F75" s="24">
        <f>'[4]CANTIDADES VALOR INICIAL'!G71</f>
        <v>585.73</v>
      </c>
      <c r="G75" s="435">
        <f>'[4]CANTIDADES VALOR INICIAL'!H71</f>
        <v>57545</v>
      </c>
      <c r="H75" s="435">
        <f>'[4]CANTIDADES VALOR INICIAL'!I71</f>
        <v>78261</v>
      </c>
      <c r="I75" s="436">
        <f t="shared" si="2"/>
        <v>45839816</v>
      </c>
    </row>
    <row r="76" spans="1:9" ht="42" outlineLevel="1" x14ac:dyDescent="0.2">
      <c r="A76" s="3"/>
      <c r="C76" s="17" t="str">
        <f>'[4]CANTIDADES VALOR INICIAL'!C72</f>
        <v>4.6</v>
      </c>
      <c r="D76" s="22" t="str">
        <f>'[4]CANTIDADES VALOR INICIAL'!D72</f>
        <v>CENEFA LINEAL EN LOSETA PREFABRICADA TÁCTIL ALERTA A55 / A56 ANCHO 0.40M (SUMINISTRO E INSTALACIÓN. INCLUYE BASE EN ARENA DE NIVELACIÓN E= 4CM Y ARENA DE SELLO).</v>
      </c>
      <c r="E76" s="23" t="str">
        <f>'[4]CANTIDADES VALOR INICIAL'!E72</f>
        <v>ML</v>
      </c>
      <c r="F76" s="24">
        <f>'[4]CANTIDADES VALOR INICIAL'!G72</f>
        <v>307.89999999999998</v>
      </c>
      <c r="G76" s="435">
        <f>'[4]CANTIDADES VALOR INICIAL'!H72</f>
        <v>25086</v>
      </c>
      <c r="H76" s="435">
        <f>'[4]CANTIDADES VALOR INICIAL'!I72</f>
        <v>34117</v>
      </c>
      <c r="I76" s="436">
        <f t="shared" si="2"/>
        <v>10504624</v>
      </c>
    </row>
    <row r="77" spans="1:9" ht="42" outlineLevel="1" x14ac:dyDescent="0.2">
      <c r="A77" s="3"/>
      <c r="C77" s="17" t="str">
        <f>'[4]CANTIDADES VALOR INICIAL'!C73</f>
        <v>4.7</v>
      </c>
      <c r="D77" s="22" t="str">
        <f>'[4]CANTIDADES VALOR INICIAL'!D73</f>
        <v>CENEFA LINEAL EN LOSETA PREFABRICADA TÁCTIL ALERTA A55 / A56 ANCHO 0.40M (SUMINISTRO E INSTALACIÓN. INCLUYE BASE EN ARENA DE NIVELACIÓN E= 4CM Y ARENA DE SELLO).</v>
      </c>
      <c r="E77" s="23" t="str">
        <f>'[4]CANTIDADES VALOR INICIAL'!E73</f>
        <v>ML</v>
      </c>
      <c r="F77" s="24">
        <f>'[4]CANTIDADES VALOR INICIAL'!G73</f>
        <v>0</v>
      </c>
      <c r="G77" s="435">
        <f>'[4]CANTIDADES VALOR INICIAL'!H73</f>
        <v>25086</v>
      </c>
      <c r="H77" s="435">
        <f>'[4]CANTIDADES VALOR INICIAL'!I73</f>
        <v>34117</v>
      </c>
      <c r="I77" s="436">
        <f t="shared" si="2"/>
        <v>0</v>
      </c>
    </row>
    <row r="78" spans="1:9" ht="42" outlineLevel="1" x14ac:dyDescent="0.2">
      <c r="A78" s="3"/>
      <c r="C78" s="17" t="str">
        <f>'[4]CANTIDADES VALOR INICIAL'!C74</f>
        <v>4.8</v>
      </c>
      <c r="D78" s="22" t="str">
        <f>'[4]CANTIDADES VALOR INICIAL'!D74</f>
        <v>CENEFA LINEAL EN LOSETA PREFABRICADA TÁCTIL ALERTA A57 ANCHO 0.40M (SUMINISTRO E INSTALACIÓN. INCLUYE BASE EN ARENA DE NIVELACIÓN E= 4CM Y ARENA DE SELLO).</v>
      </c>
      <c r="E78" s="23" t="str">
        <f>'[4]CANTIDADES VALOR INICIAL'!E74</f>
        <v>ML</v>
      </c>
      <c r="F78" s="24">
        <f>'[4]CANTIDADES VALOR INICIAL'!G74</f>
        <v>0</v>
      </c>
      <c r="G78" s="435">
        <f>'[4]CANTIDADES VALOR INICIAL'!H74</f>
        <v>31731</v>
      </c>
      <c r="H78" s="435">
        <f>'[4]CANTIDADES VALOR INICIAL'!I74</f>
        <v>43154</v>
      </c>
      <c r="I78" s="436">
        <f t="shared" si="2"/>
        <v>0</v>
      </c>
    </row>
    <row r="79" spans="1:9" ht="14" outlineLevel="1" x14ac:dyDescent="0.2">
      <c r="A79" s="3"/>
      <c r="C79" s="17" t="str">
        <f>'[4]CANTIDADES VALOR INICIAL'!C75</f>
        <v>4.9</v>
      </c>
      <c r="D79" s="22" t="str">
        <f>'[4]CANTIDADES VALOR INICIAL'!D75</f>
        <v>CONSTRUCCION DE ESCALERAS EN CONCRETO</v>
      </c>
      <c r="E79" s="23" t="str">
        <f>'[4]CANTIDADES VALOR INICIAL'!E75</f>
        <v>M2</v>
      </c>
      <c r="F79" s="24">
        <f>'[4]CANTIDADES VALOR INICIAL'!G75</f>
        <v>292.72999999999996</v>
      </c>
      <c r="G79" s="435">
        <f>'[4]CANTIDADES VALOR INICIAL'!H75</f>
        <v>224403</v>
      </c>
      <c r="H79" s="435">
        <f>'[4]CANTIDADES VALOR INICIAL'!I75</f>
        <v>305188</v>
      </c>
      <c r="I79" s="436">
        <f t="shared" si="2"/>
        <v>89337683</v>
      </c>
    </row>
    <row r="80" spans="1:9" ht="56" outlineLevel="1" x14ac:dyDescent="0.2">
      <c r="A80" s="3"/>
      <c r="C80" s="17" t="str">
        <f>'[4]CANTIDADES VALOR INICIAL'!C76</f>
        <v>4.10</v>
      </c>
      <c r="D80" s="22" t="str">
        <f>'[4]CANTIDADES VALOR INICIAL'!D76</f>
        <v>RAMPA VEHICULAR FUNDIDA EN EL SITIO EN CONCRETO PREMEZCLADO DE 3000 PSI (GRAVA COMUN) SUM, CONSTR. E INSTALACIÓN. INCLUYE X TIPO TRÁFICO PESADO O SIMILAR, BASE DE 4CM EN MORTERO DE 2000 PSI.</v>
      </c>
      <c r="E80" s="23" t="str">
        <f>'[4]CANTIDADES VALOR INICIAL'!E76</f>
        <v>M2</v>
      </c>
      <c r="F80" s="24">
        <f>'[4]CANTIDADES VALOR INICIAL'!G76</f>
        <v>0</v>
      </c>
      <c r="G80" s="435">
        <f>'[4]CANTIDADES VALOR INICIAL'!H76</f>
        <v>109554</v>
      </c>
      <c r="H80" s="435">
        <f>'[4]CANTIDADES VALOR INICIAL'!I76</f>
        <v>148993</v>
      </c>
      <c r="I80" s="436">
        <f t="shared" si="2"/>
        <v>0</v>
      </c>
    </row>
    <row r="81" spans="1:9" ht="42" outlineLevel="1" x14ac:dyDescent="0.2">
      <c r="A81" s="3"/>
      <c r="C81" s="17" t="str">
        <f>'[4]CANTIDADES VALOR INICIAL'!C77</f>
        <v>4.11</v>
      </c>
      <c r="D81" s="22" t="str">
        <f>'[4]CANTIDADES VALOR INICIAL'!D77</f>
        <v xml:space="preserve"> MURO EN BLOQUE KREATO LISO (0,39X0,19X0,19) INLCUYE ( EXCAVACION, RELLENO EN RECEBO COMUN, GEOMALLA, ACERO DE REFUERZO Y RELLENO FLUIDO FLUIDO)</v>
      </c>
      <c r="E81" s="23" t="str">
        <f>'[4]CANTIDADES VALOR INICIAL'!E77</f>
        <v>M2</v>
      </c>
      <c r="F81" s="24">
        <f>'[4]CANTIDADES VALOR INICIAL'!G77</f>
        <v>0</v>
      </c>
      <c r="G81" s="435">
        <f>'[4]CANTIDADES VALOR INICIAL'!H77</f>
        <v>184820</v>
      </c>
      <c r="H81" s="435">
        <f>'[4]CANTIDADES VALOR INICIAL'!I77</f>
        <v>251355</v>
      </c>
      <c r="I81" s="436">
        <f t="shared" si="2"/>
        <v>0</v>
      </c>
    </row>
    <row r="82" spans="1:9" ht="28" outlineLevel="1" x14ac:dyDescent="0.2">
      <c r="A82" s="3"/>
      <c r="C82" s="17" t="str">
        <f>'[4]CANTIDADES VALOR INICIAL'!C78</f>
        <v>4.12</v>
      </c>
      <c r="D82" s="22" t="str">
        <f>'[4]CANTIDADES VALOR INICIAL'!D78</f>
        <v xml:space="preserve">VIGA DE CIMENTACION DE 0,40 X 0,60 PARA MURO EN BLOQUE KREATO LISO (0,39X0,19X0,19)  </v>
      </c>
      <c r="E82" s="23" t="str">
        <f>'[4]CANTIDADES VALOR INICIAL'!E78</f>
        <v>ML</v>
      </c>
      <c r="F82" s="24">
        <f>'[4]CANTIDADES VALOR INICIAL'!G78</f>
        <v>254.05</v>
      </c>
      <c r="G82" s="435">
        <f>'[4]CANTIDADES VALOR INICIAL'!H78</f>
        <v>158684</v>
      </c>
      <c r="H82" s="435">
        <f>'[4]CANTIDADES VALOR INICIAL'!I78</f>
        <v>215810</v>
      </c>
      <c r="I82" s="436">
        <f t="shared" si="2"/>
        <v>54826531</v>
      </c>
    </row>
    <row r="83" spans="1:9" ht="28" outlineLevel="1" x14ac:dyDescent="0.2">
      <c r="A83" s="3"/>
      <c r="C83" s="17" t="str">
        <f>'[4]CANTIDADES VALOR INICIAL'!C79</f>
        <v>4.13</v>
      </c>
      <c r="D83" s="22" t="str">
        <f>'[4]CANTIDADES VALOR INICIAL'!D79</f>
        <v>VIGA CINTA DE 0,19 X 0,20 PARA REMATE DE MURO EN BLOQUE KREATO LISO (0,39X0,19X0,19) F"C  21 MPA</v>
      </c>
      <c r="E83" s="23" t="str">
        <f>'[4]CANTIDADES VALOR INICIAL'!E79</f>
        <v>ML</v>
      </c>
      <c r="F83" s="24">
        <f>'[4]CANTIDADES VALOR INICIAL'!G79</f>
        <v>273.88</v>
      </c>
      <c r="G83" s="435">
        <f>'[4]CANTIDADES VALOR INICIAL'!H79</f>
        <v>38615</v>
      </c>
      <c r="H83" s="435">
        <f>'[4]CANTIDADES VALOR INICIAL'!I79</f>
        <v>52516</v>
      </c>
      <c r="I83" s="436">
        <f t="shared" si="2"/>
        <v>14383082</v>
      </c>
    </row>
    <row r="84" spans="1:9" ht="28" outlineLevel="1" x14ac:dyDescent="0.2">
      <c r="A84" s="3"/>
      <c r="C84" s="17" t="str">
        <f>'[4]CANTIDADES VALOR INICIAL'!C80</f>
        <v>4.14</v>
      </c>
      <c r="D84" s="22" t="str">
        <f>'[4]CANTIDADES VALOR INICIAL'!D80</f>
        <v>MURO EN CONCRETO DE 21 MPA REFORZADO INCLUYE EXCAVACION, CAISSON Ø=1,0 M, ACERO DE REFUERZO)</v>
      </c>
      <c r="E84" s="23" t="str">
        <f>'[4]CANTIDADES VALOR INICIAL'!E80</f>
        <v>M2</v>
      </c>
      <c r="F84" s="24">
        <f>'[4]CANTIDADES VALOR INICIAL'!G80</f>
        <v>0</v>
      </c>
      <c r="G84" s="435">
        <f>'[4]CANTIDADES VALOR INICIAL'!H80</f>
        <v>1324605</v>
      </c>
      <c r="H84" s="435">
        <f>'[4]CANTIDADES VALOR INICIAL'!I80</f>
        <v>1801463</v>
      </c>
      <c r="I84" s="436">
        <f t="shared" si="2"/>
        <v>0</v>
      </c>
    </row>
    <row r="85" spans="1:9" ht="21" customHeight="1" x14ac:dyDescent="0.2">
      <c r="C85" s="27">
        <f>'[4]CANTIDADES VALOR INICIAL'!C81</f>
        <v>5</v>
      </c>
      <c r="D85" s="28" t="str">
        <f>'[4]CANTIDADES VALOR INICIAL'!D81</f>
        <v>REDES ELECTRICAS</v>
      </c>
      <c r="E85" s="29"/>
      <c r="F85" s="14"/>
      <c r="G85" s="432"/>
      <c r="H85" s="432"/>
      <c r="I85" s="434">
        <f>SUM(I86:I91)</f>
        <v>0</v>
      </c>
    </row>
    <row r="86" spans="1:9" ht="14" outlineLevel="1" x14ac:dyDescent="0.2">
      <c r="A86" s="3"/>
      <c r="C86" s="17" t="str">
        <f>'[4]CANTIDADES VALOR INICIAL'!C82</f>
        <v>5.1</v>
      </c>
      <c r="D86" s="22" t="str">
        <f>'[4]CANTIDADES VALOR INICIAL'!D82</f>
        <v>TRASLADO POSTE CONCRETO 8-10M</v>
      </c>
      <c r="E86" s="23" t="str">
        <f>'[4]CANTIDADES VALOR INICIAL'!E82</f>
        <v>UN</v>
      </c>
      <c r="F86" s="24">
        <f>'[4]CANTIDADES VALOR INICIAL'!G82</f>
        <v>0</v>
      </c>
      <c r="G86" s="435">
        <f>'[4]CANTIDADES VALOR INICIAL'!H82</f>
        <v>1750802</v>
      </c>
      <c r="H86" s="435">
        <f>'[4]CANTIDADES VALOR INICIAL'!I82</f>
        <v>2381091</v>
      </c>
      <c r="I86" s="436">
        <f t="shared" ref="I86:I91" si="3">ROUND(F86*H86,0)</f>
        <v>0</v>
      </c>
    </row>
    <row r="87" spans="1:9" ht="14" outlineLevel="1" x14ac:dyDescent="0.2">
      <c r="A87" s="3"/>
      <c r="C87" s="17" t="str">
        <f>'[4]CANTIDADES VALOR INICIAL'!C83</f>
        <v>5.2</v>
      </c>
      <c r="D87" s="22" t="str">
        <f>'[4]CANTIDADES VALOR INICIAL'!D83</f>
        <v>TRASLADO DE CAJA DE INSPECCION ELECTRICA</v>
      </c>
      <c r="E87" s="23" t="str">
        <f>'[4]CANTIDADES VALOR INICIAL'!E83</f>
        <v>UN</v>
      </c>
      <c r="F87" s="24">
        <f>'[4]CANTIDADES VALOR INICIAL'!G83</f>
        <v>0</v>
      </c>
      <c r="G87" s="435">
        <f>'[4]CANTIDADES VALOR INICIAL'!H83</f>
        <v>1177520</v>
      </c>
      <c r="H87" s="435">
        <f>'[4]CANTIDADES VALOR INICIAL'!I83</f>
        <v>1601427</v>
      </c>
      <c r="I87" s="436">
        <f t="shared" si="3"/>
        <v>0</v>
      </c>
    </row>
    <row r="88" spans="1:9" ht="14" outlineLevel="1" x14ac:dyDescent="0.2">
      <c r="A88" s="3"/>
      <c r="C88" s="17" t="str">
        <f>'[4]CANTIDADES VALOR INICIAL'!C84</f>
        <v>5.3</v>
      </c>
      <c r="D88" s="22" t="str">
        <f>'[4]CANTIDADES VALOR INICIAL'!D84</f>
        <v>RECONSTRUCCIÓN DE CAJA DE INSP DE AP</v>
      </c>
      <c r="E88" s="23" t="str">
        <f>'[4]CANTIDADES VALOR INICIAL'!E84</f>
        <v>UN</v>
      </c>
      <c r="F88" s="24">
        <f>'[4]CANTIDADES VALOR INICIAL'!G84</f>
        <v>0</v>
      </c>
      <c r="G88" s="435">
        <f>'[4]CANTIDADES VALOR INICIAL'!H84</f>
        <v>496546</v>
      </c>
      <c r="H88" s="435">
        <f>'[4]CANTIDADES VALOR INICIAL'!I84</f>
        <v>675303</v>
      </c>
      <c r="I88" s="436">
        <f t="shared" si="3"/>
        <v>0</v>
      </c>
    </row>
    <row r="89" spans="1:9" ht="14" outlineLevel="1" x14ac:dyDescent="0.2">
      <c r="A89" s="3"/>
      <c r="C89" s="17" t="str">
        <f>'[4]CANTIDADES VALOR INICIAL'!C85</f>
        <v>5.4</v>
      </c>
      <c r="D89" s="22" t="str">
        <f>'[4]CANTIDADES VALOR INICIAL'!D85</f>
        <v>RECONSTRUCCIÓN DE CAJA DE INSP SENCILLA</v>
      </c>
      <c r="E89" s="23" t="str">
        <f>'[4]CANTIDADES VALOR INICIAL'!E85</f>
        <v>UN</v>
      </c>
      <c r="F89" s="24">
        <f>'[4]CANTIDADES VALOR INICIAL'!G85</f>
        <v>0</v>
      </c>
      <c r="G89" s="435">
        <f>'[4]CANTIDADES VALOR INICIAL'!H85</f>
        <v>526707</v>
      </c>
      <c r="H89" s="435">
        <f>'[4]CANTIDADES VALOR INICIAL'!I85</f>
        <v>716322</v>
      </c>
      <c r="I89" s="436">
        <f t="shared" si="3"/>
        <v>0</v>
      </c>
    </row>
    <row r="90" spans="1:9" ht="14" outlineLevel="1" x14ac:dyDescent="0.2">
      <c r="A90" s="3"/>
      <c r="C90" s="17" t="str">
        <f>'[4]CANTIDADES VALOR INICIAL'!C86</f>
        <v>5.5</v>
      </c>
      <c r="D90" s="22" t="str">
        <f>'[4]CANTIDADES VALOR INICIAL'!D86</f>
        <v>RECONSTRUCCIÓN DE CAJA DE INSP DOBLE</v>
      </c>
      <c r="E90" s="23" t="str">
        <f>'[4]CANTIDADES VALOR INICIAL'!E86</f>
        <v>UN</v>
      </c>
      <c r="F90" s="24">
        <f>'[4]CANTIDADES VALOR INICIAL'!G86</f>
        <v>0</v>
      </c>
      <c r="G90" s="435">
        <f>'[4]CANTIDADES VALOR INICIAL'!H86</f>
        <v>526707</v>
      </c>
      <c r="H90" s="435">
        <f>'[4]CANTIDADES VALOR INICIAL'!I86</f>
        <v>716322</v>
      </c>
      <c r="I90" s="436">
        <f t="shared" si="3"/>
        <v>0</v>
      </c>
    </row>
    <row r="91" spans="1:9" ht="14" outlineLevel="1" x14ac:dyDescent="0.2">
      <c r="A91" s="3"/>
      <c r="C91" s="17" t="str">
        <f>'[4]CANTIDADES VALOR INICIAL'!C87</f>
        <v>5.6</v>
      </c>
      <c r="D91" s="22" t="str">
        <f>'[4]CANTIDADES VALOR INICIAL'!D87</f>
        <v>RECONSTRUCCIÓN DE CAJA DE INSP VEHICULAR</v>
      </c>
      <c r="E91" s="23" t="str">
        <f>'[4]CANTIDADES VALOR INICIAL'!E87</f>
        <v>UN</v>
      </c>
      <c r="F91" s="24">
        <f>'[4]CANTIDADES VALOR INICIAL'!G87</f>
        <v>0</v>
      </c>
      <c r="G91" s="435">
        <f>'[4]CANTIDADES VALOR INICIAL'!H87</f>
        <v>533944</v>
      </c>
      <c r="H91" s="435">
        <f>'[4]CANTIDADES VALOR INICIAL'!I87</f>
        <v>726164</v>
      </c>
      <c r="I91" s="436">
        <f t="shared" si="3"/>
        <v>0</v>
      </c>
    </row>
    <row r="92" spans="1:9" ht="21" customHeight="1" x14ac:dyDescent="0.2">
      <c r="C92" s="27">
        <f>'[4]CANTIDADES VALOR INICIAL'!C88</f>
        <v>6</v>
      </c>
      <c r="D92" s="28" t="str">
        <f>'[4]CANTIDADES VALOR INICIAL'!D88</f>
        <v>REDES GAS</v>
      </c>
      <c r="E92" s="29"/>
      <c r="F92" s="14"/>
      <c r="G92" s="432"/>
      <c r="H92" s="432"/>
      <c r="I92" s="434">
        <f>SUM(I93:I93)</f>
        <v>95814997</v>
      </c>
    </row>
    <row r="93" spans="1:9" ht="14" outlineLevel="1" x14ac:dyDescent="0.2">
      <c r="A93" s="3"/>
      <c r="C93" s="17" t="str">
        <f>'[4]CANTIDADES VALOR INICIAL'!C89</f>
        <v>6.1</v>
      </c>
      <c r="D93" s="22" t="str">
        <f>'[4]CANTIDADES VALOR INICIAL'!D89</f>
        <v>REPARACION DE REDES DE GAS</v>
      </c>
      <c r="E93" s="23" t="str">
        <f>'[4]CANTIDADES VALOR INICIAL'!E89</f>
        <v>UN</v>
      </c>
      <c r="F93" s="24">
        <f>'[4]CANTIDADES VALOR INICIAL'!G89</f>
        <v>257</v>
      </c>
      <c r="G93" s="435">
        <f>'[4]CANTIDADES VALOR INICIAL'!H89</f>
        <v>274133</v>
      </c>
      <c r="H93" s="435">
        <f>'[4]CANTIDADES VALOR INICIAL'!I89</f>
        <v>372821</v>
      </c>
      <c r="I93" s="436">
        <f>ROUND(F93*H93,0)</f>
        <v>95814997</v>
      </c>
    </row>
    <row r="94" spans="1:9" ht="21" customHeight="1" x14ac:dyDescent="0.2">
      <c r="C94" s="27">
        <f>'[4]CANTIDADES VALOR INICIAL'!C90</f>
        <v>7</v>
      </c>
      <c r="D94" s="28" t="str">
        <f>'[4]CANTIDADES VALOR INICIAL'!D90</f>
        <v>PAISAJISMO</v>
      </c>
      <c r="E94" s="29"/>
      <c r="F94" s="14"/>
      <c r="G94" s="432"/>
      <c r="H94" s="432"/>
      <c r="I94" s="434">
        <f>SUM(I95:I100)</f>
        <v>5527831</v>
      </c>
    </row>
    <row r="95" spans="1:9" ht="14" outlineLevel="1" x14ac:dyDescent="0.2">
      <c r="A95" s="3"/>
      <c r="C95" s="17" t="str">
        <f>'[4]CANTIDADES VALOR INICIAL'!C91</f>
        <v>7.1</v>
      </c>
      <c r="D95" s="22" t="str">
        <f>'[4]CANTIDADES VALOR INICIAL'!D91</f>
        <v>REVEGETALIZACIÓN CON SEMILLA</v>
      </c>
      <c r="E95" s="23" t="str">
        <f>'[4]CANTIDADES VALOR INICIAL'!E91</f>
        <v>M2</v>
      </c>
      <c r="F95" s="24">
        <f>'[4]CANTIDADES VALOR INICIAL'!G91</f>
        <v>0</v>
      </c>
      <c r="G95" s="435">
        <f>'[4]CANTIDADES VALOR INICIAL'!H91</f>
        <v>13291</v>
      </c>
      <c r="H95" s="435">
        <f>'[4]CANTIDADES VALOR INICIAL'!I91</f>
        <v>18076</v>
      </c>
      <c r="I95" s="436">
        <f t="shared" ref="I95:I100" si="4">ROUND(F95*H95,0)</f>
        <v>0</v>
      </c>
    </row>
    <row r="96" spans="1:9" ht="56" outlineLevel="1" x14ac:dyDescent="0.2">
      <c r="A96" s="3"/>
      <c r="C96" s="17" t="str">
        <f>'[4]CANTIDADES VALOR INICIAL'!C92</f>
        <v>7.2</v>
      </c>
      <c r="D96" s="22" t="str">
        <f>'[4]CANTIDADES VALOR INICIAL'!D92</f>
        <v xml:space="preserve">CONSTRUCCIÓN. DE MURO EN BLOQUE KREATO INSTALADO CON MORTERO DE 1500 PSI, PARCIALMENTE REFORZADO,   CON DOVELAS INYECTADAS EN RELLENO FLUIDO  10 KG/CM2  MAS REFUERZO  PARA JARDINERAS,INCLUYE  VIGA DE CIMENTACION Y VIGA CINTA </v>
      </c>
      <c r="E96" s="23" t="str">
        <f>'[4]CANTIDADES VALOR INICIAL'!E92</f>
        <v>M2</v>
      </c>
      <c r="F96" s="24">
        <f>'[4]CANTIDADES VALOR INICIAL'!G92</f>
        <v>0</v>
      </c>
      <c r="G96" s="435">
        <f>'[4]CANTIDADES VALOR INICIAL'!H92</f>
        <v>190998</v>
      </c>
      <c r="H96" s="435">
        <f>'[4]CANTIDADES VALOR INICIAL'!I92</f>
        <v>259757</v>
      </c>
      <c r="I96" s="436">
        <f t="shared" si="4"/>
        <v>0</v>
      </c>
    </row>
    <row r="97" spans="1:9" ht="14" outlineLevel="1" x14ac:dyDescent="0.2">
      <c r="A97" s="3"/>
      <c r="C97" s="17" t="str">
        <f>'[4]CANTIDADES VALOR INICIAL'!C93</f>
        <v>7.3</v>
      </c>
      <c r="D97" s="22" t="str">
        <f>'[4]CANTIDADES VALOR INICIAL'!D93</f>
        <v>PAÑETE IMPERMEABILIZADO 1.5 CM</v>
      </c>
      <c r="E97" s="23" t="str">
        <f>'[4]CANTIDADES VALOR INICIAL'!E93</f>
        <v>M2</v>
      </c>
      <c r="F97" s="24">
        <f>'[4]CANTIDADES VALOR INICIAL'!G93</f>
        <v>173.75</v>
      </c>
      <c r="G97" s="435">
        <f>'[4]CANTIDADES VALOR INICIAL'!H93</f>
        <v>21924</v>
      </c>
      <c r="H97" s="435">
        <f>'[4]CANTIDADES VALOR INICIAL'!I93</f>
        <v>29817</v>
      </c>
      <c r="I97" s="436">
        <f t="shared" si="4"/>
        <v>5180704</v>
      </c>
    </row>
    <row r="98" spans="1:9" ht="42" outlineLevel="1" x14ac:dyDescent="0.2">
      <c r="A98" s="3"/>
      <c r="C98" s="17" t="str">
        <f>'[4]CANTIDADES VALOR INICIAL'!C94</f>
        <v>7.4</v>
      </c>
      <c r="D98" s="22" t="str">
        <f>'[4]CANTIDADES VALOR INICIAL'!D94</f>
        <v>RELLENO EN MATERIAL SELECCIONADO PROVENIENTE DE LA EXCAVACIÓN (EXTENDIDO MANUAL, HUMEDECIMIENTO Y COMPACTACIÓN)</v>
      </c>
      <c r="E98" s="23" t="str">
        <f>'[4]CANTIDADES VALOR INICIAL'!E94</f>
        <v>M3</v>
      </c>
      <c r="F98" s="24">
        <f>'[4]CANTIDADES VALOR INICIAL'!G94</f>
        <v>11.27</v>
      </c>
      <c r="G98" s="435">
        <f>'[4]CANTIDADES VALOR INICIAL'!H94</f>
        <v>22648</v>
      </c>
      <c r="H98" s="435">
        <f>'[4]CANTIDADES VALOR INICIAL'!I94</f>
        <v>30801</v>
      </c>
      <c r="I98" s="436">
        <f t="shared" si="4"/>
        <v>347127</v>
      </c>
    </row>
    <row r="99" spans="1:9" ht="28" outlineLevel="1" x14ac:dyDescent="0.2">
      <c r="A99" s="3"/>
      <c r="C99" s="17" t="str">
        <f>'[4]CANTIDADES VALOR INICIAL'!C95</f>
        <v>7.5</v>
      </c>
      <c r="D99" s="22" t="str">
        <f>'[4]CANTIDADES VALOR INICIAL'!D95</f>
        <v>RELLENO EN TIERRA NEGRA PARA EMPRADIZACION (SUMINISTRO Y EXTENDIDO)</v>
      </c>
      <c r="E99" s="23" t="str">
        <f>'[4]CANTIDADES VALOR INICIAL'!E95</f>
        <v>M3</v>
      </c>
      <c r="F99" s="24">
        <f>'[4]CANTIDADES VALOR INICIAL'!G95</f>
        <v>0</v>
      </c>
      <c r="G99" s="435">
        <f>'[4]CANTIDADES VALOR INICIAL'!H95</f>
        <v>55289</v>
      </c>
      <c r="H99" s="435">
        <f>'[4]CANTIDADES VALOR INICIAL'!I95</f>
        <v>75193</v>
      </c>
      <c r="I99" s="436">
        <f t="shared" si="4"/>
        <v>0</v>
      </c>
    </row>
    <row r="100" spans="1:9" ht="28" outlineLevel="1" x14ac:dyDescent="0.2">
      <c r="A100" s="3"/>
      <c r="C100" s="17" t="str">
        <f>'[4]CANTIDADES VALOR INICIAL'!C96</f>
        <v>7.6</v>
      </c>
      <c r="D100" s="22" t="str">
        <f>'[4]CANTIDADES VALOR INICIAL'!D96</f>
        <v>CONTENEDOR DE RAICES TIPO B20 (TIPO A) (1.2X1.2X1.40M. INC. SUMINISTRO, CONSTRUCCIÓN Y FILTRO EN GRAVILLA. NO INC. TIERRA)</v>
      </c>
      <c r="E100" s="23" t="str">
        <f>'[4]CANTIDADES VALOR INICIAL'!E96</f>
        <v>UN</v>
      </c>
      <c r="F100" s="24">
        <f>'[4]CANTIDADES VALOR INICIAL'!G96</f>
        <v>0</v>
      </c>
      <c r="G100" s="435">
        <f>'[4]CANTIDADES VALOR INICIAL'!H96</f>
        <v>534776</v>
      </c>
      <c r="H100" s="435">
        <f>'[4]CANTIDADES VALOR INICIAL'!I96</f>
        <v>727295</v>
      </c>
      <c r="I100" s="436">
        <f t="shared" si="4"/>
        <v>0</v>
      </c>
    </row>
    <row r="101" spans="1:9" ht="21" customHeight="1" x14ac:dyDescent="0.2">
      <c r="C101" s="27">
        <f>'[4]CANTIDADES VALOR INICIAL'!C97</f>
        <v>8</v>
      </c>
      <c r="D101" s="28" t="str">
        <f>'[4]CANTIDADES VALOR INICIAL'!D97</f>
        <v>MOBILIARIO URBANO</v>
      </c>
      <c r="E101" s="29"/>
      <c r="F101" s="14"/>
      <c r="G101" s="432"/>
      <c r="H101" s="432"/>
      <c r="I101" s="434">
        <f>SUM(I102:I106)</f>
        <v>292174500</v>
      </c>
    </row>
    <row r="102" spans="1:9" ht="70" outlineLevel="1" x14ac:dyDescent="0.2">
      <c r="A102" s="3"/>
      <c r="C102" s="17" t="str">
        <f>'[4]CANTIDADES VALOR INICIAL'!C98</f>
        <v>8.1</v>
      </c>
      <c r="D102" s="22" t="str">
        <f>'[4]CANTIDADES VALOR INICIAL'!D98</f>
        <v>BARANDA METALIC0A M-81 PREFABRICADA INCLUYE INSTALACION SOBRE VIGA CINTA, PIINTURA ANTICORROSIVA Y ESMALTE COLOR POR DEFINIR.     ( LA BARANDA SE INSTALARÁ ANTES DE FUNFIR LA VIGA CINTA, ANCLADA A LOS  ACEROS DE REFUERZO CON SOLDADURA ELECTRICA) APOYOS CADA 1,00 MTS.</v>
      </c>
      <c r="E102" s="23" t="str">
        <f>'[4]CANTIDADES VALOR INICIAL'!E98</f>
        <v>ML</v>
      </c>
      <c r="F102" s="24">
        <f>'[4]CANTIDADES VALOR INICIAL'!G98</f>
        <v>1021.91</v>
      </c>
      <c r="G102" s="435">
        <f>'[4]CANTIDADES VALOR INICIAL'!H98</f>
        <v>208962</v>
      </c>
      <c r="H102" s="435">
        <f>'[4]CANTIDADES VALOR INICIAL'!I98</f>
        <v>284188</v>
      </c>
      <c r="I102" s="436">
        <f>ROUND(F102*H102,0)</f>
        <v>290414559</v>
      </c>
    </row>
    <row r="103" spans="1:9" ht="28" outlineLevel="1" x14ac:dyDescent="0.2">
      <c r="A103" s="3"/>
      <c r="C103" s="17" t="str">
        <f>'[4]CANTIDADES VALOR INICIAL'!C99</f>
        <v>8.2</v>
      </c>
      <c r="D103" s="22" t="str">
        <f>'[4]CANTIDADES VALOR INICIAL'!D99</f>
        <v>CANECA TIPO M120 (EN MALLA METÁLICA. INCLUYE SUMINISTRO E INSTALACIÓN. INCLUYE BASE EN CONCRETO 1500 PSI, HECHO EN OBRA)</v>
      </c>
      <c r="E103" s="23" t="str">
        <f>'[4]CANTIDADES VALOR INICIAL'!E99</f>
        <v>UN</v>
      </c>
      <c r="F103" s="24">
        <f>'[4]CANTIDADES VALOR INICIAL'!G99</f>
        <v>0</v>
      </c>
      <c r="G103" s="435">
        <f>'[4]CANTIDADES VALOR INICIAL'!H99</f>
        <v>272268</v>
      </c>
      <c r="H103" s="435">
        <f>'[4]CANTIDADES VALOR INICIAL'!I99</f>
        <v>370284</v>
      </c>
      <c r="I103" s="436">
        <f>ROUND(F103*H103,0)</f>
        <v>0</v>
      </c>
    </row>
    <row r="104" spans="1:9" ht="28" outlineLevel="1" x14ac:dyDescent="0.2">
      <c r="A104" s="3"/>
      <c r="C104" s="17" t="str">
        <f>'[4]CANTIDADES VALOR INICIAL'!C100</f>
        <v>8.3</v>
      </c>
      <c r="D104" s="22" t="str">
        <f>'[4]CANTIDADES VALOR INICIAL'!D100</f>
        <v>BOLARDO EN HIERRO TIPO M62 (SUMINISTRO E INSTALACIÓN. INCLUYE BASE EN CONCRETO 1500 PSI, PREMEZCLADO)</v>
      </c>
      <c r="E104" s="23" t="str">
        <f>'[4]CANTIDADES VALOR INICIAL'!E100</f>
        <v>UN</v>
      </c>
      <c r="F104" s="24">
        <f>'[4]CANTIDADES VALOR INICIAL'!G100</f>
        <v>9</v>
      </c>
      <c r="G104" s="435">
        <f>'[4]CANTIDADES VALOR INICIAL'!H100</f>
        <v>143786</v>
      </c>
      <c r="H104" s="435">
        <f>'[4]CANTIDADES VALOR INICIAL'!I100</f>
        <v>195549</v>
      </c>
      <c r="I104" s="436">
        <f>ROUND(F104*H104,0)</f>
        <v>1759941</v>
      </c>
    </row>
    <row r="105" spans="1:9" ht="28" outlineLevel="1" x14ac:dyDescent="0.2">
      <c r="A105" s="3"/>
      <c r="C105" s="17" t="str">
        <f>'[4]CANTIDADES VALOR INICIAL'!C101</f>
        <v>8.4</v>
      </c>
      <c r="D105" s="22" t="str">
        <f>'[4]CANTIDADES VALOR INICIAL'!D101</f>
        <v>BANCA EN CONCRETO TIPO M30 (SUMINISTRO E INSTALACIÓN. NO INCLUYE MATERIAL DE BASE)</v>
      </c>
      <c r="E105" s="23" t="str">
        <f>'[4]CANTIDADES VALOR INICIAL'!E101</f>
        <v>UN</v>
      </c>
      <c r="F105" s="24">
        <f>'[4]CANTIDADES VALOR INICIAL'!G101</f>
        <v>0</v>
      </c>
      <c r="G105" s="435">
        <f>'[4]CANTIDADES VALOR INICIAL'!H101</f>
        <v>590749</v>
      </c>
      <c r="H105" s="435">
        <f>'[4]CANTIDADES VALOR INICIAL'!I101</f>
        <v>803419</v>
      </c>
      <c r="I105" s="436">
        <f>ROUND(F105*H105,0)</f>
        <v>0</v>
      </c>
    </row>
    <row r="106" spans="1:9" ht="14" outlineLevel="1" x14ac:dyDescent="0.2">
      <c r="A106" s="3"/>
      <c r="C106" s="17" t="str">
        <f>'[4]CANTIDADES VALOR INICIAL'!C102</f>
        <v>8.5</v>
      </c>
      <c r="D106" s="22" t="str">
        <f>'[4]CANTIDADES VALOR INICIAL'!D102</f>
        <v>BANCA EN CONCRETO TIPO M31 (SUMINISTRO E INSTALACIÓN)</v>
      </c>
      <c r="E106" s="23" t="str">
        <f>'[4]CANTIDADES VALOR INICIAL'!E102</f>
        <v>UN</v>
      </c>
      <c r="F106" s="24">
        <f>'[4]CANTIDADES VALOR INICIAL'!G102</f>
        <v>0</v>
      </c>
      <c r="G106" s="435">
        <f>'[4]CANTIDADES VALOR INICIAL'!H102</f>
        <v>314256</v>
      </c>
      <c r="H106" s="435">
        <f>'[4]CANTIDADES VALOR INICIAL'!I102</f>
        <v>427388</v>
      </c>
      <c r="I106" s="436">
        <f>ROUND(F106*H106,0)</f>
        <v>0</v>
      </c>
    </row>
    <row r="107" spans="1:9" ht="21" customHeight="1" x14ac:dyDescent="0.2">
      <c r="C107" s="27">
        <f>'[4]CANTIDADES VALOR INICIAL'!C103</f>
        <v>9</v>
      </c>
      <c r="D107" s="28" t="str">
        <f>'[4]CANTIDADES VALOR INICIAL'!D103</f>
        <v>VARIOS</v>
      </c>
      <c r="E107" s="29"/>
      <c r="F107" s="14"/>
      <c r="G107" s="432"/>
      <c r="H107" s="432"/>
      <c r="I107" s="434">
        <f>SUM(I108:I108)</f>
        <v>1253531</v>
      </c>
    </row>
    <row r="108" spans="1:9" ht="28" outlineLevel="1" x14ac:dyDescent="0.2">
      <c r="A108" s="3"/>
      <c r="C108" s="17" t="str">
        <f>'[4]CANTIDADES VALOR INICIAL'!C104</f>
        <v>9.1</v>
      </c>
      <c r="D108" s="22" t="str">
        <f>'[4]CANTIDADES VALOR INICIAL'!D104</f>
        <v xml:space="preserve">LIMPIEZA Y ACOPIO MANUAL DE BASURAS AL FINALIZAR LA OBRA PARA POSTERIORMENTE HACER ENTREGA DE LA OBRA  </v>
      </c>
      <c r="E108" s="23" t="str">
        <f>'[4]CANTIDADES VALOR INICIAL'!E104</f>
        <v>M2</v>
      </c>
      <c r="F108" s="24">
        <f>'[4]CANTIDADES VALOR INICIAL'!G104</f>
        <v>5596.12</v>
      </c>
      <c r="G108" s="435">
        <f>'[4]CANTIDADES VALOR INICIAL'!H104</f>
        <v>165</v>
      </c>
      <c r="H108" s="435">
        <f>'[4]CANTIDADES VALOR INICIAL'!I104</f>
        <v>224</v>
      </c>
      <c r="I108" s="436">
        <f>ROUND(F108*H108,0)</f>
        <v>1253531</v>
      </c>
    </row>
    <row r="109" spans="1:9" ht="21" customHeight="1" x14ac:dyDescent="0.2">
      <c r="C109" s="27">
        <f>'[4]CANTIDADES VALOR INICIAL'!C105</f>
        <v>10</v>
      </c>
      <c r="D109" s="28" t="str">
        <f>'[4]CANTIDADES VALOR INICIAL'!D105</f>
        <v>ITMENS NO PREVISTOS</v>
      </c>
      <c r="E109" s="29"/>
      <c r="F109" s="14"/>
      <c r="G109" s="432"/>
      <c r="H109" s="432"/>
      <c r="I109" s="434">
        <f>SUM(I110:I129)</f>
        <v>1388299409</v>
      </c>
    </row>
    <row r="110" spans="1:9" ht="28" outlineLevel="1" x14ac:dyDescent="0.2">
      <c r="A110" s="3"/>
      <c r="C110" s="17" t="str">
        <f>'[4]CANTIDADES VALOR INICIAL'!C106</f>
        <v>10.01</v>
      </c>
      <c r="D110" s="437" t="str">
        <f>'[4]CANTIDADES VALOR INICIAL'!D106</f>
        <v>RELLENO EN TRITURADO DE 3/4`` (INCLUYE TRANSPORTE, SUMINISTRO, EXTENDIDO MANUAL Y COLOCACIÓN)</v>
      </c>
      <c r="E110" s="438" t="str">
        <f>'[4]CANTIDADES VALOR INICIAL'!E106</f>
        <v>M3</v>
      </c>
      <c r="F110" s="24">
        <f>'[4]CANTIDADES VALOR INICIAL'!G106</f>
        <v>87.5</v>
      </c>
      <c r="G110" s="435">
        <f>'[4]CANTIDADES VALOR INICIAL'!H106</f>
        <v>107123</v>
      </c>
      <c r="H110" s="435">
        <f>'[4]CANTIDADES VALOR INICIAL'!I106</f>
        <v>145687</v>
      </c>
      <c r="I110" s="436">
        <f t="shared" ref="I110:I123" si="5">ROUND(F110*H110,0)</f>
        <v>12747613</v>
      </c>
    </row>
    <row r="111" spans="1:9" ht="28" outlineLevel="1" x14ac:dyDescent="0.2">
      <c r="A111" s="3"/>
      <c r="C111" s="17" t="str">
        <f>'[4]CANTIDADES VALOR INICIAL'!C107</f>
        <v>10.02</v>
      </c>
      <c r="D111" s="437" t="str">
        <f>'[4]CANTIDADES VALOR INICIAL'!D107</f>
        <v>BASE Y CAÑUELA EN MORTERO IMPERMEABILIZADO ( SUMINISTRO E INSTALACIÓN, BASE H=0,10M, CAÑUELA H=0,15M)</v>
      </c>
      <c r="E111" s="438" t="str">
        <f>'[4]CANTIDADES VALOR INICIAL'!E107</f>
        <v>M2</v>
      </c>
      <c r="F111" s="24">
        <f>'[4]CANTIDADES VALOR INICIAL'!G107</f>
        <v>107.25</v>
      </c>
      <c r="G111" s="435">
        <f>'[4]CANTIDADES VALOR INICIAL'!H107</f>
        <v>129752</v>
      </c>
      <c r="H111" s="435">
        <f>'[4]CANTIDADES VALOR INICIAL'!I107</f>
        <v>176463</v>
      </c>
      <c r="I111" s="436">
        <f t="shared" si="5"/>
        <v>18925657</v>
      </c>
    </row>
    <row r="112" spans="1:9" ht="28" outlineLevel="1" x14ac:dyDescent="0.2">
      <c r="A112" s="3"/>
      <c r="C112" s="17" t="str">
        <f>'[4]CANTIDADES VALOR INICIAL'!C108</f>
        <v>10.03</v>
      </c>
      <c r="D112" s="437" t="str">
        <f>'[4]CANTIDADES VALOR INICIAL'!D108</f>
        <v>CONEXIONES KIT SILLA YEE 200 X 160 PVC. SUMINISTRO E INSTALACIÓN. SUMINISTRO Y CONSTRUCCIÓN</v>
      </c>
      <c r="E112" s="438" t="str">
        <f>'[4]CANTIDADES VALOR INICIAL'!E108</f>
        <v>UN</v>
      </c>
      <c r="F112" s="24">
        <f>'[4]CANTIDADES VALOR INICIAL'!G108</f>
        <v>80</v>
      </c>
      <c r="G112" s="435">
        <f>'[4]CANTIDADES VALOR INICIAL'!H108</f>
        <v>122666</v>
      </c>
      <c r="H112" s="435">
        <f>'[4]CANTIDADES VALOR INICIAL'!I108</f>
        <v>166826</v>
      </c>
      <c r="I112" s="436">
        <f t="shared" si="5"/>
        <v>13346080</v>
      </c>
    </row>
    <row r="113" spans="1:9" ht="28" outlineLevel="1" x14ac:dyDescent="0.2">
      <c r="A113" s="3"/>
      <c r="C113" s="17" t="str">
        <f>'[4]CANTIDADES VALOR INICIAL'!C109</f>
        <v>10.04</v>
      </c>
      <c r="D113" s="437" t="str">
        <f>'[4]CANTIDADES VALOR INICIAL'!D109</f>
        <v>PROTECCION A SUMIDEROS (INCLUYE SUMINISTRO Y COLOCACIÓN DE BOLSAS DE LONA Y GEOTEXTIL NT 1600 O SIMILAR)</v>
      </c>
      <c r="E113" s="438" t="str">
        <f>'[4]CANTIDADES VALOR INICIAL'!E109</f>
        <v>UN/MES</v>
      </c>
      <c r="F113" s="24">
        <f>'[4]CANTIDADES VALOR INICIAL'!G109</f>
        <v>66</v>
      </c>
      <c r="G113" s="435">
        <f>'[4]CANTIDADES VALOR INICIAL'!H109</f>
        <v>9151</v>
      </c>
      <c r="H113" s="435">
        <f>'[4]CANTIDADES VALOR INICIAL'!I109</f>
        <v>12445</v>
      </c>
      <c r="I113" s="436">
        <f t="shared" si="5"/>
        <v>821370</v>
      </c>
    </row>
    <row r="114" spans="1:9" ht="14" outlineLevel="1" x14ac:dyDescent="0.2">
      <c r="A114" s="3"/>
      <c r="C114" s="17" t="str">
        <f>'[4]CANTIDADES VALOR INICIAL'!C110</f>
        <v>10.05</v>
      </c>
      <c r="D114" s="437" t="str">
        <f>'[4]CANTIDADES VALOR INICIAL'!D110</f>
        <v>EMPALME POR TERMOFUSIÓN DE TUBERÍA PAD</v>
      </c>
      <c r="E114" s="438" t="str">
        <f>'[4]CANTIDADES VALOR INICIAL'!E110</f>
        <v>UN</v>
      </c>
      <c r="F114" s="24">
        <f>'[4]CANTIDADES VALOR INICIAL'!G110</f>
        <v>0</v>
      </c>
      <c r="G114" s="435">
        <f>'[4]CANTIDADES VALOR INICIAL'!H110</f>
        <v>1048432</v>
      </c>
      <c r="H114" s="435">
        <f>'[4]CANTIDADES VALOR INICIAL'!I110</f>
        <v>1425868</v>
      </c>
      <c r="I114" s="436">
        <f t="shared" si="5"/>
        <v>0</v>
      </c>
    </row>
    <row r="115" spans="1:9" ht="28" outlineLevel="1" x14ac:dyDescent="0.2">
      <c r="A115" s="3"/>
      <c r="C115" s="17" t="str">
        <f>'[4]CANTIDADES VALOR INICIAL'!C111</f>
        <v>10.06</v>
      </c>
      <c r="D115" s="437" t="str">
        <f>'[4]CANTIDADES VALOR INICIAL'!D111</f>
        <v>CAJA DE INSPECCION 0.80X0.8M. SUMINISTRO Y CONSTRUCCION.  (H=1M. INCLUYE MARCO Y TAPA, NO INCLUYE BASE Y CAÑUELA)</v>
      </c>
      <c r="E115" s="438" t="str">
        <f>'[4]CANTIDADES VALOR INICIAL'!E111</f>
        <v>UN</v>
      </c>
      <c r="F115" s="24">
        <f>'[4]CANTIDADES VALOR INICIAL'!G111</f>
        <v>1</v>
      </c>
      <c r="G115" s="435">
        <f>'[4]CANTIDADES VALOR INICIAL'!H111</f>
        <v>749159</v>
      </c>
      <c r="H115" s="435">
        <f>'[4]CANTIDADES VALOR INICIAL'!I111</f>
        <v>1018856</v>
      </c>
      <c r="I115" s="436">
        <f t="shared" si="5"/>
        <v>1018856</v>
      </c>
    </row>
    <row r="116" spans="1:9" ht="28" outlineLevel="1" x14ac:dyDescent="0.2">
      <c r="A116" s="3"/>
      <c r="C116" s="17" t="str">
        <f>'[4]CANTIDADES VALOR INICIAL'!C112</f>
        <v>10.07</v>
      </c>
      <c r="D116" s="437" t="str">
        <f>'[4]CANTIDADES VALOR INICIAL'!D112</f>
        <v>CAJA DE INSPECCION 1.0X1.0M. SUMINISTRO Y CONSTRUCCION.  (H=1.5M. INCLUYE MARCO Y TAPA, NO INCLUYE BASE Y CAÑUELA)</v>
      </c>
      <c r="E116" s="438" t="str">
        <f>'[4]CANTIDADES VALOR INICIAL'!E112</f>
        <v>UN</v>
      </c>
      <c r="F116" s="24">
        <f>'[4]CANTIDADES VALOR INICIAL'!G112</f>
        <v>0</v>
      </c>
      <c r="G116" s="435">
        <f>'[4]CANTIDADES VALOR INICIAL'!H112</f>
        <v>1134584</v>
      </c>
      <c r="H116" s="435">
        <f>'[4]CANTIDADES VALOR INICIAL'!I112</f>
        <v>1543034</v>
      </c>
      <c r="I116" s="436">
        <f t="shared" si="5"/>
        <v>0</v>
      </c>
    </row>
    <row r="117" spans="1:9" ht="28" outlineLevel="1" x14ac:dyDescent="0.2">
      <c r="A117" s="3"/>
      <c r="C117" s="17" t="str">
        <f>'[4]CANTIDADES VALOR INICIAL'!C113</f>
        <v>10.08</v>
      </c>
      <c r="D117" s="437" t="str">
        <f>'[4]CANTIDADES VALOR INICIAL'!D113</f>
        <v>CAJA DE INSPECCION 1.0X1.0M. SUMINISTRO Y CONSTRUCCION.  (H=2.0M. INCLUYE MARCO Y TAPA, NO INCLUYE BASE Y CAÑUELA)</v>
      </c>
      <c r="E117" s="438" t="str">
        <f>'[4]CANTIDADES VALOR INICIAL'!E113</f>
        <v>UN</v>
      </c>
      <c r="F117" s="24">
        <f>'[4]CANTIDADES VALOR INICIAL'!G113</f>
        <v>8</v>
      </c>
      <c r="G117" s="435">
        <f>'[4]CANTIDADES VALOR INICIAL'!H113</f>
        <v>1291259</v>
      </c>
      <c r="H117" s="435">
        <f>'[4]CANTIDADES VALOR INICIAL'!I113</f>
        <v>1756112</v>
      </c>
      <c r="I117" s="436">
        <f t="shared" si="5"/>
        <v>14048896</v>
      </c>
    </row>
    <row r="118" spans="1:9" ht="33.75" customHeight="1" outlineLevel="1" x14ac:dyDescent="0.2">
      <c r="A118" s="3"/>
      <c r="C118" s="17" t="str">
        <f>'[4]CANTIDADES VALOR INICIAL'!C114</f>
        <v>10.09</v>
      </c>
      <c r="D118" s="437" t="str">
        <f>'[4]CANTIDADES VALOR INICIAL'!D114</f>
        <v>CAJA DE INSPECCION 1.0X1.0M. SUMINISTRO Y CONSTRUCCION.  (H=2.5M. INCLUYE MARCO Y TAPA, NO INCLUYE BASE Y CAÑUELA)</v>
      </c>
      <c r="E118" s="438" t="str">
        <f>'[4]CANTIDADES VALOR INICIAL'!E114</f>
        <v>UN</v>
      </c>
      <c r="F118" s="24">
        <f>'[4]CANTIDADES VALOR INICIAL'!G114</f>
        <v>3</v>
      </c>
      <c r="G118" s="435">
        <f>'[4]CANTIDADES VALOR INICIAL'!H114</f>
        <v>1447933</v>
      </c>
      <c r="H118" s="435">
        <f>'[4]CANTIDADES VALOR INICIAL'!I114</f>
        <v>1969189</v>
      </c>
      <c r="I118" s="436">
        <f t="shared" si="5"/>
        <v>5907567</v>
      </c>
    </row>
    <row r="119" spans="1:9" ht="42" outlineLevel="1" x14ac:dyDescent="0.2">
      <c r="A119" s="3"/>
      <c r="C119" s="17" t="str">
        <f>'[4]CANTIDADES VALOR INICIAL'!C115</f>
        <v>10.10</v>
      </c>
      <c r="D119" s="437" t="str">
        <f>'[4]CANTIDADES VALOR INICIAL'!D115</f>
        <v>MURO DE CONTENCIÓN EN CONCRETO 3000 PSI PREMEZCLADO, GRAVA FINA. (INCLUYE SUMINISTRO, FORMALETEO, BOMBEO, COLOCACIÓN Y CURADO. NO INCL. REFUERZO)</v>
      </c>
      <c r="E119" s="438" t="str">
        <f>'[4]CANTIDADES VALOR INICIAL'!E115</f>
        <v>M3</v>
      </c>
      <c r="F119" s="24">
        <f>'[4]CANTIDADES VALOR INICIAL'!G115</f>
        <v>423.81000000000006</v>
      </c>
      <c r="G119" s="435">
        <f>'[4]CANTIDADES VALOR INICIAL'!H115</f>
        <v>702460</v>
      </c>
      <c r="H119" s="435">
        <f>'[4]CANTIDADES VALOR INICIAL'!I115</f>
        <v>955346</v>
      </c>
      <c r="I119" s="436">
        <f t="shared" si="5"/>
        <v>404885188</v>
      </c>
    </row>
    <row r="120" spans="1:9" ht="14" outlineLevel="1" x14ac:dyDescent="0.2">
      <c r="A120" s="3"/>
      <c r="C120" s="17" t="str">
        <f>'[4]CANTIDADES VALOR INICIAL'!C116</f>
        <v>10.11</v>
      </c>
      <c r="D120" s="437" t="str">
        <f>'[4]CANTIDADES VALOR INICIAL'!D116</f>
        <v>SUMINISTRO E INSTALACIÓN DE VARILLA DE ACERO NTC 2289 GRADO 60</v>
      </c>
      <c r="E120" s="438" t="str">
        <f>'[4]CANTIDADES VALOR INICIAL'!E116</f>
        <v>KG</v>
      </c>
      <c r="F120" s="24">
        <f>'[4]CANTIDADES VALOR INICIAL'!G116</f>
        <v>74760.639999999999</v>
      </c>
      <c r="G120" s="435">
        <f>'[4]CANTIDADES VALOR INICIAL'!H116</f>
        <v>5536</v>
      </c>
      <c r="H120" s="435">
        <f>'[4]CANTIDADES VALOR INICIAL'!I116</f>
        <v>7529</v>
      </c>
      <c r="I120" s="436">
        <f t="shared" si="5"/>
        <v>562872859</v>
      </c>
    </row>
    <row r="121" spans="1:9" ht="28" outlineLevel="1" x14ac:dyDescent="0.2">
      <c r="A121" s="3"/>
      <c r="C121" s="17" t="str">
        <f>'[4]CANTIDADES VALOR INICIAL'!C117</f>
        <v>10.12</v>
      </c>
      <c r="D121" s="437" t="str">
        <f>'[4]CANTIDADES VALOR INICIAL'!D117</f>
        <v>TUBERÍA PVC SANITARIA D=4" TIPO U.S. (INCLUYE SUMINISTRO E INSTALACIÓN)</v>
      </c>
      <c r="E121" s="438" t="str">
        <f>'[4]CANTIDADES VALOR INICIAL'!E117</f>
        <v>ML</v>
      </c>
      <c r="F121" s="24">
        <f>'[4]CANTIDADES VALOR INICIAL'!G117</f>
        <v>272.02999999999997</v>
      </c>
      <c r="G121" s="435">
        <f>'[4]CANTIDADES VALOR INICIAL'!H117</f>
        <v>31808</v>
      </c>
      <c r="H121" s="435">
        <f>'[4]CANTIDADES VALOR INICIAL'!I117</f>
        <v>43259</v>
      </c>
      <c r="I121" s="436">
        <f t="shared" si="5"/>
        <v>11767746</v>
      </c>
    </row>
    <row r="122" spans="1:9" ht="28" outlineLevel="1" x14ac:dyDescent="0.2">
      <c r="A122" s="3"/>
      <c r="C122" s="17" t="str">
        <f>'[4]CANTIDADES VALOR INICIAL'!C118</f>
        <v>10.13</v>
      </c>
      <c r="D122" s="437" t="str">
        <f>'[4]CANTIDADES VALOR INICIAL'!D118</f>
        <v>CODO 90° CXE PVC SANITARIA D=4" (INCLUYE SUMINISTRO E INSTALACIÓN)</v>
      </c>
      <c r="E122" s="438" t="str">
        <f>'[4]CANTIDADES VALOR INICIAL'!E118</f>
        <v>UN</v>
      </c>
      <c r="F122" s="24">
        <f>'[4]CANTIDADES VALOR INICIAL'!G118</f>
        <v>163</v>
      </c>
      <c r="G122" s="435">
        <f>'[4]CANTIDADES VALOR INICIAL'!H118</f>
        <v>20789</v>
      </c>
      <c r="H122" s="435">
        <f>'[4]CANTIDADES VALOR INICIAL'!I118</f>
        <v>28273</v>
      </c>
      <c r="I122" s="436">
        <f t="shared" si="5"/>
        <v>4608499</v>
      </c>
    </row>
    <row r="123" spans="1:9" ht="28" outlineLevel="1" x14ac:dyDescent="0.2">
      <c r="A123" s="3"/>
      <c r="C123" s="17" t="str">
        <f>'[4]CANTIDADES VALOR INICIAL'!C119</f>
        <v>10.14</v>
      </c>
      <c r="D123" s="437" t="str">
        <f>'[4]CANTIDADES VALOR INICIAL'!D119</f>
        <v>CONCRETO 1500 PSI (HECHO EN OBRA 1:3:5 CON ARENA Y GRAVILLA DE RÍO)</v>
      </c>
      <c r="E123" s="438" t="str">
        <f>'[4]CANTIDADES VALOR INICIAL'!E119</f>
        <v>M3</v>
      </c>
      <c r="F123" s="24">
        <f>'[4]CANTIDADES VALOR INICIAL'!G119</f>
        <v>35.880000000000003</v>
      </c>
      <c r="G123" s="435">
        <f>'[4]CANTIDADES VALOR INICIAL'!H119</f>
        <v>323343</v>
      </c>
      <c r="H123" s="435">
        <f>'[4]CANTIDADES VALOR INICIAL'!I119</f>
        <v>439746</v>
      </c>
      <c r="I123" s="436">
        <f t="shared" si="5"/>
        <v>15778086</v>
      </c>
    </row>
    <row r="124" spans="1:9" ht="13" outlineLevel="1" x14ac:dyDescent="0.2">
      <c r="A124" s="3"/>
      <c r="C124" s="17" t="s">
        <v>199</v>
      </c>
      <c r="D124" s="437"/>
      <c r="E124" s="438"/>
      <c r="F124" s="24">
        <f>'[4]CANTIDADES VALOR INICIAL'!G120</f>
        <v>0</v>
      </c>
      <c r="G124" s="435">
        <v>0</v>
      </c>
      <c r="H124" s="435">
        <f>IF(G124="","",ROUND(G124*'[4]INDEX ICOCIV'!$D$85/'[4]INDEX ICOCIV'!$D$20,0))</f>
        <v>0</v>
      </c>
      <c r="I124" s="436">
        <v>0</v>
      </c>
    </row>
    <row r="125" spans="1:9" ht="23.25" customHeight="1" outlineLevel="1" x14ac:dyDescent="0.2">
      <c r="A125" s="3"/>
      <c r="C125" s="17" t="str">
        <f>'[4]CANTIDADES VALOR INICIAL'!C121</f>
        <v>10.16</v>
      </c>
      <c r="D125" s="437" t="str">
        <f>'[4]CANTIDADES VALOR INICIAL'!D121</f>
        <v>COMISIÓN TOPOGRÁFICA Y DIBUJANTE</v>
      </c>
      <c r="E125" s="438" t="str">
        <f>'[4]CANTIDADES VALOR INICIAL'!E121</f>
        <v>UN/MES</v>
      </c>
      <c r="F125" s="24">
        <f>'[4]CANTIDADES VALOR INICIAL'!G121</f>
        <v>0</v>
      </c>
      <c r="G125" s="435">
        <f>'[4]CANTIDADES VALOR INICIAL'!H121</f>
        <v>12575572</v>
      </c>
      <c r="H125" s="435">
        <f>'[4]CANTIDADES VALOR INICIAL'!I121</f>
        <v>17102778</v>
      </c>
      <c r="I125" s="436">
        <f>ROUND(F125*H125,0)</f>
        <v>0</v>
      </c>
    </row>
    <row r="126" spans="1:9" ht="28" outlineLevel="1" x14ac:dyDescent="0.2">
      <c r="A126" s="3"/>
      <c r="C126" s="17" t="str">
        <f>'[4]CANTIDADES VALOR INICIAL'!C122</f>
        <v>10.17</v>
      </c>
      <c r="D126" s="437" t="str">
        <f>'[4]CANTIDADES VALOR INICIAL'!D122</f>
        <v>INSPECCIÓN DE REDES DE ALCANTARILLADO CON SISTEMAS CCTV PARA DIÁMETROS ENTRE 6" A 36"</v>
      </c>
      <c r="E126" s="438" t="str">
        <f>'[4]CANTIDADES VALOR INICIAL'!E122</f>
        <v>ML</v>
      </c>
      <c r="F126" s="24">
        <f>'[4]CANTIDADES VALOR INICIAL'!G122</f>
        <v>0</v>
      </c>
      <c r="G126" s="435">
        <f>'[4]CANTIDADES VALOR INICIAL'!H122</f>
        <v>10710</v>
      </c>
      <c r="H126" s="435">
        <f>'[4]CANTIDADES VALOR INICIAL'!I122</f>
        <v>14566</v>
      </c>
      <c r="I126" s="436">
        <f>ROUND(F126*H126,0)</f>
        <v>0</v>
      </c>
    </row>
    <row r="127" spans="1:9" ht="56" outlineLevel="1" x14ac:dyDescent="0.2">
      <c r="A127" s="3"/>
      <c r="C127" s="17" t="str">
        <f>'[4]CANTIDADES VALOR INICIAL'!C123</f>
        <v>10.18</v>
      </c>
      <c r="D127" s="437" t="str">
        <f>'[4]CANTIDADES VALOR INICIAL'!D123</f>
        <v>LAVADO Y SONDEO DE REDES DE ALCANTARILLADO ENTRE 6" Y 18" DE DIÁMETRO Y CON GRADO DE COLMATACIÓN MENOR DEL 30%. INCL MANO DE OBRA IDÓNEA, SEÑALIZACIÓN BÁSICA, SUMIN DE COMBUSTIBLE Y AGUA. INCL. IVA</v>
      </c>
      <c r="E127" s="438" t="str">
        <f>'[4]CANTIDADES VALOR INICIAL'!E123</f>
        <v>ML</v>
      </c>
      <c r="F127" s="24">
        <f>'[4]CANTIDADES VALOR INICIAL'!G123</f>
        <v>0</v>
      </c>
      <c r="G127" s="435">
        <f>'[4]CANTIDADES VALOR INICIAL'!H123</f>
        <v>14875</v>
      </c>
      <c r="H127" s="435">
        <f>'[4]CANTIDADES VALOR INICIAL'!I123</f>
        <v>20230</v>
      </c>
      <c r="I127" s="436">
        <f>ROUND(F127*H127,0)</f>
        <v>0</v>
      </c>
    </row>
    <row r="128" spans="1:9" ht="20.25" customHeight="1" outlineLevel="1" x14ac:dyDescent="0.2">
      <c r="A128" s="3"/>
      <c r="C128" s="17" t="s">
        <v>207</v>
      </c>
      <c r="D128" s="437"/>
      <c r="E128" s="438"/>
      <c r="F128" s="24">
        <f>'[4]CANTIDADES VALOR INICIAL'!G124</f>
        <v>0</v>
      </c>
      <c r="G128" s="435">
        <v>0</v>
      </c>
      <c r="H128" s="435">
        <f>IF(G128="","",ROUND(G128*'[4]INDEX ICOCIV'!$D$85/'[4]INDEX ICOCIV'!$D$20,0))</f>
        <v>0</v>
      </c>
      <c r="I128" s="436">
        <v>0</v>
      </c>
    </row>
    <row r="129" spans="3:9" ht="35.25" customHeight="1" thickBot="1" x14ac:dyDescent="0.25">
      <c r="C129" s="327" t="str">
        <f>'[4]CANTIDADES VALOR INICIAL'!C125</f>
        <v>10.20</v>
      </c>
      <c r="D129" s="439" t="str">
        <f>'[4]CANTIDADES VALOR INICIAL'!D125</f>
        <v>TRASIEGO DE MATERIAL DE EXCAVACIÓN DISTANCIA 45 ML INCLUYE CARGUE</v>
      </c>
      <c r="E129" s="440" t="str">
        <f>'[4]CANTIDADES VALOR INICIAL'!E125</f>
        <v>M3</v>
      </c>
      <c r="F129" s="71">
        <f>'[4]CANTIDADES VALOR INICIAL'!G125</f>
        <v>3164.01</v>
      </c>
      <c r="G129" s="441">
        <f>'[4]CANTIDADES VALOR INICIAL'!H125</f>
        <v>74731</v>
      </c>
      <c r="H129" s="441">
        <f>'[4]CANTIDADES VALOR INICIAL'!I125</f>
        <v>101634</v>
      </c>
      <c r="I129" s="442">
        <f>ROUND(F129*H129,0)</f>
        <v>321570992</v>
      </c>
    </row>
  </sheetData>
  <autoFilter ref="C9:I129" xr:uid="{64146A1C-DAC3-4499-852A-509B8BEBAC2D}"/>
  <mergeCells count="13">
    <mergeCell ref="I9:I11"/>
    <mergeCell ref="C9:C11"/>
    <mergeCell ref="D9:D11"/>
    <mergeCell ref="E9:E11"/>
    <mergeCell ref="F9:F11"/>
    <mergeCell ref="G9:G11"/>
    <mergeCell ref="H9:H11"/>
    <mergeCell ref="C7:I7"/>
    <mergeCell ref="C2:I2"/>
    <mergeCell ref="C3:I3"/>
    <mergeCell ref="C4:I4"/>
    <mergeCell ref="C5:I5"/>
    <mergeCell ref="C6:I6"/>
  </mergeCells>
  <pageMargins left="0.70866141732283472" right="0.70866141732283472" top="0.74803149606299213" bottom="0.74803149606299213" header="0.31496062992125984" footer="0.31496062992125984"/>
  <pageSetup paperSize="9" scale="3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14</vt:i4>
      </vt:variant>
    </vt:vector>
  </HeadingPairs>
  <TitlesOfParts>
    <vt:vector size="25" baseType="lpstr">
      <vt:lpstr>PRESU  ESTIMADO OBRA  ALPES</vt:lpstr>
      <vt:lpstr>LISTA DE PRECIOS UNITARIOS</vt:lpstr>
      <vt:lpstr>E Y D PRESU ESTIMADO</vt:lpstr>
      <vt:lpstr>AIU</vt:lpstr>
      <vt:lpstr>FM</vt:lpstr>
      <vt:lpstr>INDEX ICOCIV</vt:lpstr>
      <vt:lpstr>SALARIOS</vt:lpstr>
      <vt:lpstr>CANTIDADES VALOR INICIAL</vt:lpstr>
      <vt:lpstr>Comparativo</vt:lpstr>
      <vt:lpstr>VALORES INDEXADOS OBRA ALPES</vt:lpstr>
      <vt:lpstr>VALORES INDEXADOS OBRA CARACOLÍ</vt:lpstr>
      <vt:lpstr>AIU!Print_Area</vt:lpstr>
      <vt:lpstr>'CANTIDADES VALOR INICIAL'!Print_Area</vt:lpstr>
      <vt:lpstr>'E Y D PRESU ESTIMADO'!Print_Area</vt:lpstr>
      <vt:lpstr>FM!Print_Area</vt:lpstr>
      <vt:lpstr>'LISTA DE PRECIOS UNITARIOS'!Print_Area</vt:lpstr>
      <vt:lpstr>'PRESU  ESTIMADO OBRA  ALPES'!Print_Area</vt:lpstr>
      <vt:lpstr>'VALORES INDEXADOS OBRA ALPES'!Print_Area</vt:lpstr>
      <vt:lpstr>'VALORES INDEXADOS OBRA CARACOLÍ'!Print_Area</vt:lpstr>
      <vt:lpstr>'CANTIDADES VALOR INICIAL'!Print_Titles</vt:lpstr>
      <vt:lpstr>'E Y D PRESU ESTIMADO'!Print_Titles</vt:lpstr>
      <vt:lpstr>'LISTA DE PRECIOS UNITARIOS'!Print_Titles</vt:lpstr>
      <vt:lpstr>'PRESU  ESTIMADO OBRA  ALPES'!Print_Titles</vt:lpstr>
      <vt:lpstr>'VALORES INDEXADOS OBRA ALPES'!Print_Titles</vt:lpstr>
      <vt:lpstr>'VALORES INDEXADOS OBRA CARACOLÍ'!Print_Titles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Blanco</dc:creator>
  <cp:lastModifiedBy>Erika Blanco</cp:lastModifiedBy>
  <cp:lastPrinted>2026-08-19T23:14:04Z</cp:lastPrinted>
  <dcterms:created xsi:type="dcterms:W3CDTF">2026-08-09T23:48:52Z</dcterms:created>
  <dcterms:modified xsi:type="dcterms:W3CDTF">2026-09-10T16:41:49Z</dcterms:modified>
</cp:coreProperties>
</file>