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angelicamariahernandez/Desktop/INTERVENTORÍA 5 LOTES 1538/"/>
    </mc:Choice>
  </mc:AlternateContent>
  <xr:revisionPtr revIDLastSave="0" documentId="8_{8358F445-E4D7-154B-A476-A1908EAE1DAF}" xr6:coauthVersionLast="47" xr6:coauthVersionMax="47" xr10:uidLastSave="{00000000-0000-0000-0000-000000000000}"/>
  <bookViews>
    <workbookView xWindow="0" yWindow="660" windowWidth="29400" windowHeight="18460" tabRatio="500" xr2:uid="{00000000-000D-0000-FFFF-FFFF00000000}"/>
  </bookViews>
  <sheets>
    <sheet name="PRESUPUESTO OFICIAL" sheetId="1" r:id="rId1"/>
    <sheet name="FactorMultiplicador " sheetId="2" r:id="rId2"/>
    <sheet name="Polizas_Impuestos" sheetId="3" r:id="rId3"/>
    <sheet name="TABLA DE SALARIOS" sheetId="4" r:id="rId4"/>
  </sheets>
  <definedNames>
    <definedName name="____R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Order1" hidden="1">255</definedName>
    <definedName name="_Order2" hidden="1">255</definedName>
    <definedName name="A" hidden="1">{#N/A,#N/A,FALSE,"GRAFICO";#N/A,#N/A,FALSE,"CAJA (2)";#N/A,#N/A,FALSE,"TERCEROS-PROMEDIO";#N/A,#N/A,FALSE,"CAJA";#N/A,#N/A,FALSE,"INGRESOS1995-2003";#N/A,#N/A,FALSE,"GASTOS1995-2003"}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_xlnm.Print_Area" localSheetId="1">'FactorMultiplicador '!$B$1:$I$41</definedName>
    <definedName name="_xlnm.Print_Area" localSheetId="2">Polizas_Impuestos!$B$1:$I$20</definedName>
    <definedName name="_xlnm.Print_Area" localSheetId="0">'PRESUPUESTO OFICIAL'!$B$7:$Q$79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B" hidden="1">{"PYGS",#N/A,FALSE,"PYG";"ACTIS",#N/A,FALSE,"BCE_GRAL-ACTIVO";"PASIS",#N/A,FALSE,"BCE_GRAL-PASIVO-PATRIM";"CAJAS",#N/A,FALSE,"CAJA"}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D" hidden="1">{"PYGT",#N/A,FALSE,"PYG";"ACTIT",#N/A,FALSE,"BCE_GRAL-ACTIVO";"PASIT",#N/A,FALSE,"BCE_GRAL-PASIVO-PATRIM";"CAJAT",#N/A,FALSE,"CAJA"}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FIDUCIASOCTUBRE" hidden="1">{#N/A,#N/A,FALSE,"Aging Summary";#N/A,#N/A,FALSE,"Ratio Analysis";#N/A,#N/A,FALSE,"Test 120 Day Accts";#N/A,#N/A,FALSE,"Tickmarks"}</definedName>
    <definedName name="FREV" hidden="1">{"PYGT",#N/A,FALSE,"PYG";"ACTIT",#N/A,FALSE,"BCE_GRAL-ACTIVO";"PASIT",#N/A,FALSE,"BCE_GRAL-PASIVO-PATRIM";"CAJAT",#N/A,FALSE,"CAJA"}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hoha" hidden="1">{"PYGT",#N/A,FALSE,"PYG";"ACTIT",#N/A,FALSE,"BCE_GRAL-ACTIVO";"PASIT",#N/A,FALSE,"BCE_GRAL-PASIVO-PATRIM";"CAJAT",#N/A,FALSE,"CAJA"}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FALSE()</definedName>
    <definedName name="HTML_LineBefore" hidden="1">FALSE()</definedName>
    <definedName name="HTML_Name" hidden="1">"GERENCIA DE SISTEMAS"</definedName>
    <definedName name="HTML_OBDlg2" hidden="1">TRUE()</definedName>
    <definedName name="HTML_OBDlg4" hidden="1">TRUE()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lo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NO" hidden="1">{"PYGT",#N/A,FALSE,"PYG";"ACTIT",#N/A,FALSE,"BCE_GRAL-ACTIVO";"PASIT",#N/A,FALSE,"BCE_GRAL-PASIVO-PATRIM";"CAJAT",#N/A,FALSE,"CAJA"}</definedName>
    <definedName name="oera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res" hidden="1">{#N/A,#N/A,FALSE,"GRAFICO";#N/A,#N/A,FALSE,"CAJA (2)";#N/A,#N/A,FALSE,"TERCEROS-PROMEDIO";#N/A,#N/A,FALSE,"CAJA";#N/A,#N/A,FALSE,"INGRESOS1995-2003";#N/A,#N/A,FALSE,"GASTOS1995-2003"}</definedName>
    <definedName name="sss" localSheetId="0">IF(ISEVEN(COLUMN()),cant_z_ppto,sub_tot)</definedName>
    <definedName name="sss">IF(ISEVEN(COLUMN()),cant_z_ppto,sub_tot)</definedName>
    <definedName name="TC" hidden="1">{#N/A,#N/A,FALSE,"GRAFICO";#N/A,#N/A,FALSE,"CAJA (2)";#N/A,#N/A,FALSE,"TERCEROS-PROMEDIO";#N/A,#N/A,FALSE,"CAJA";#N/A,#N/A,FALSE,"INGRESOS1995-2003";#N/A,#N/A,FALSE,"GASTOS1995-2003"}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O" hidden="1">{#N/A,#N/A,FALSE,"GRAFICO";#N/A,#N/A,FALSE,"CAJA (2)";#N/A,#N/A,FALSE,"TERCEROS-PROMEDIO";#N/A,#N/A,FALSE,"CAJA";#N/A,#N/A,FALSE,"INGRESOS1995-2003";#N/A,#N/A,FALSE,"GASTOS1995-2003"}</definedName>
    <definedName name="ZONA_PPTO" localSheetId="0">IF(ISEVEN(COLUMN()),cant_z_ppto,sub_tot)</definedName>
    <definedName name="ZONA_PPTO">IF(ISEVEN(COLUMN()),cant_z_ppto,sub_tot)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5" i="1" l="1"/>
  <c r="H14" i="1" s="1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3" i="4"/>
  <c r="K19" i="3"/>
  <c r="I19" i="3"/>
  <c r="D68" i="1" s="1"/>
  <c r="K9" i="3"/>
  <c r="I9" i="3"/>
  <c r="I20" i="3" s="1"/>
  <c r="K38" i="2"/>
  <c r="I38" i="2"/>
  <c r="K24" i="2"/>
  <c r="I24" i="2"/>
  <c r="K9" i="2"/>
  <c r="K11" i="2" s="1"/>
  <c r="K19" i="2" s="1"/>
  <c r="I9" i="2"/>
  <c r="I11" i="2" s="1"/>
  <c r="I19" i="2" s="1"/>
  <c r="I40" i="2" s="1"/>
  <c r="K8" i="2"/>
  <c r="I8" i="2"/>
  <c r="D67" i="1"/>
  <c r="H57" i="1"/>
  <c r="H56" i="1"/>
  <c r="H55" i="1"/>
  <c r="H54" i="1"/>
  <c r="H53" i="1"/>
  <c r="Y45" i="1"/>
  <c r="H45" i="1"/>
  <c r="H44" i="1"/>
  <c r="H43" i="1"/>
  <c r="H32" i="1"/>
  <c r="H31" i="1"/>
  <c r="H30" i="1"/>
  <c r="H29" i="1"/>
  <c r="H27" i="1"/>
  <c r="H26" i="1"/>
  <c r="H25" i="1"/>
  <c r="H24" i="1"/>
  <c r="H20" i="1" s="1"/>
  <c r="H23" i="1"/>
  <c r="H22" i="1"/>
  <c r="H18" i="1"/>
  <c r="H17" i="1" s="1"/>
  <c r="K40" i="2" l="1"/>
  <c r="K20" i="3"/>
  <c r="H28" i="1"/>
  <c r="H42" i="1"/>
  <c r="H46" i="1" s="1"/>
  <c r="H52" i="1"/>
  <c r="H59" i="1" s="1"/>
  <c r="H34" i="1"/>
  <c r="H60" i="1"/>
  <c r="H35" i="1"/>
  <c r="H36" i="1" l="1"/>
  <c r="H48" i="1" s="1"/>
  <c r="H61" i="1"/>
  <c r="H63" i="1"/>
  <c r="H65" i="1" s="1"/>
  <c r="P68" i="1" l="1"/>
  <c r="H67" i="1" l="1"/>
  <c r="T9" i="3"/>
  <c r="H68" i="1"/>
  <c r="E68" i="1" s="1"/>
  <c r="L17" i="3" l="1"/>
  <c r="L13" i="3"/>
  <c r="L16" i="3"/>
  <c r="L12" i="3"/>
  <c r="L18" i="3"/>
  <c r="L14" i="3"/>
  <c r="L15" i="3"/>
  <c r="L11" i="3"/>
  <c r="L19" i="3" s="1"/>
  <c r="E67" i="1"/>
  <c r="H69" i="1"/>
  <c r="E69" i="1" s="1"/>
  <c r="H70" i="1" l="1"/>
  <c r="I72" i="1" l="1"/>
  <c r="N23" i="3"/>
  <c r="N24" i="3" l="1"/>
  <c r="N25" i="3" s="1"/>
  <c r="O2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E44" authorId="0" shapeId="0" xr:uid="{00000000-0006-0000-0000-000001000000}">
      <text>
        <r>
          <rPr>
            <sz val="10"/>
            <rFont val="Arial"/>
            <family val="2"/>
          </rPr>
          <t>Valor fijo conservado (7.625.966,5). El soporte N42 da 7.625.967,5; usarlo sube el total $1 y supera la disponibilidad PAA (H82).</t>
        </r>
      </text>
    </comment>
    <comment ref="P68" authorId="0" shapeId="0" xr:uid="{00000000-0006-0000-0000-000003000000}">
      <text>
        <r>
          <rPr>
            <sz val="10"/>
            <rFont val="Arial"/>
            <family val="2"/>
          </rPr>
          <t>Antes =H60+H62+H63 (referencia circular: H62 y H63 dependen de P63). Se reemplaza por la solución algebraica equivalente: Base = Costo Básico / (1 - %pólizas - %impuestos).</t>
        </r>
      </text>
    </comment>
    <comment ref="I72" authorId="0" shapeId="0" xr:uid="{00000000-0006-0000-0000-000002000000}">
      <text>
        <r>
          <rPr>
            <sz val="10"/>
            <rFont val="Arial"/>
            <family val="2"/>
          </rPr>
          <t>Antes =#REF!-H65. Ahora: diferencia Valor Publicado (H73) - Costo Total (H65).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T9" authorId="0" shapeId="0" xr:uid="{00000000-0006-0000-0200-000002000000}">
      <text>
        <r>
          <rPr>
            <sz val="10"/>
            <rFont val="Arial"/>
            <family val="2"/>
          </rPr>
          <t>Antes valor fijo 339.164.341,89 (desactualizado). Ahora enlazado a la base de liquidación del presupuesto (P63).</t>
        </r>
      </text>
    </comment>
    <comment ref="N23" authorId="0" shapeId="0" xr:uid="{00000000-0006-0000-0200-000001000000}">
      <text>
        <r>
          <rPr>
            <sz val="10"/>
            <rFont val="Arial"/>
            <family val="2"/>
          </rPr>
          <t>Antes =#REF!/1.19. Ahora: Costo Total del presupuesto sin IVA.</t>
        </r>
      </text>
    </comment>
  </commentList>
</comments>
</file>

<file path=xl/sharedStrings.xml><?xml version="1.0" encoding="utf-8"?>
<sst xmlns="http://schemas.openxmlformats.org/spreadsheetml/2006/main" count="229" uniqueCount="201">
  <si>
    <t>FORMULARIO No 1 - FORMULARIO DE PRESUPUESTO OFICIAL</t>
  </si>
  <si>
    <t>CANT.
(1)</t>
  </si>
  <si>
    <t>CARGO / OFICIO</t>
  </si>
  <si>
    <t>SUELDO Y/O
JORNAL MENSUAL
(2)</t>
  </si>
  <si>
    <t>PRIMA
REGIONAL
(3)</t>
  </si>
  <si>
    <t>DEDICACIÓN
(h-mes)
(4)</t>
  </si>
  <si>
    <t>PARTICIPACIÓN
TOTAL (mes)
(5)</t>
  </si>
  <si>
    <t>VALOR
PARCIAL ($)
(1)*((2)+(3))*(4)*(5) = (6)</t>
  </si>
  <si>
    <t>COSTOS DIRECTOS DE PERSONAL OPERATIVO OBRA</t>
  </si>
  <si>
    <t>PERSONAL PROFESIONAL PERMANENTE</t>
  </si>
  <si>
    <t>Dirección Proyecto</t>
  </si>
  <si>
    <t>Director General</t>
  </si>
  <si>
    <t>Residentes</t>
  </si>
  <si>
    <t>Residente de interventoría</t>
  </si>
  <si>
    <t>Gestión Obra</t>
  </si>
  <si>
    <t xml:space="preserve">INSPECTOR TECNICO Inspector 1 </t>
  </si>
  <si>
    <t xml:space="preserve">PROFESIONAL SST  </t>
  </si>
  <si>
    <t>INSPECTOR SISOMA Inspector 2</t>
  </si>
  <si>
    <t xml:space="preserve">GESTOR SOCIAL </t>
  </si>
  <si>
    <t>INGENIERO AMBIENTAL</t>
  </si>
  <si>
    <t>SECRETARIA</t>
  </si>
  <si>
    <t>Levantamiento Topográfico</t>
  </si>
  <si>
    <t>Topografo -  Inspector</t>
  </si>
  <si>
    <t>Cadenero</t>
  </si>
  <si>
    <t>Laboratorista Inspector</t>
  </si>
  <si>
    <t>Laboratorista Auxiliar</t>
  </si>
  <si>
    <t>SUBTOTAL COSTOS DE PERSONAL = SUMATORIA DE (5) = (6)</t>
  </si>
  <si>
    <t>FACTOR MULTIPLICADOR (7)</t>
  </si>
  <si>
    <t xml:space="preserve">TOTAL COSTOS DE PERSONAL = (6) * (7) = (A) </t>
  </si>
  <si>
    <t>COSTO</t>
  </si>
  <si>
    <t>TIEMPO DE</t>
  </si>
  <si>
    <t>VALOR</t>
  </si>
  <si>
    <t>CANT.</t>
  </si>
  <si>
    <t>CONCEPTO</t>
  </si>
  <si>
    <t>UNIDAD</t>
  </si>
  <si>
    <t>($)</t>
  </si>
  <si>
    <t>UTILIZACIÓN</t>
  </si>
  <si>
    <t>PARCIAL ($)</t>
  </si>
  <si>
    <t>(8)</t>
  </si>
  <si>
    <t>(9)</t>
  </si>
  <si>
    <t>TOTAL (10)</t>
  </si>
  <si>
    <t>(8) * (9) * (10) = (11)</t>
  </si>
  <si>
    <t>OTROS COSTOS DIRECTOS</t>
  </si>
  <si>
    <t xml:space="preserve"> ALQUILER DE EQUIPOS</t>
  </si>
  <si>
    <t xml:space="preserve">Equipo completo de Topografía </t>
  </si>
  <si>
    <t>mes</t>
  </si>
  <si>
    <t>Ensayos Laboratorio</t>
  </si>
  <si>
    <t>Alquiler de vehiculo</t>
  </si>
  <si>
    <t>TOTAL OTROS COSTOS DIRECTOS = SUMATORIA DE (11) = (B)</t>
  </si>
  <si>
    <t>TOTAL OPERACIÓN PERMANENTE FIJA</t>
  </si>
  <si>
    <t>ESPECIALISTAS POR DEMANDA</t>
  </si>
  <si>
    <t xml:space="preserve">PERSONAL PROFESIONAL POR DEMANDA </t>
  </si>
  <si>
    <t>Especialistas</t>
  </si>
  <si>
    <t xml:space="preserve">CONTADOR PÚBLICO </t>
  </si>
  <si>
    <t>ABOGADO EXPERTO EN CONTRATACIÓN ESTATAL</t>
  </si>
  <si>
    <t>INGENIERO ESTRUCTURAL</t>
  </si>
  <si>
    <t>INGENIERO SANITARIO</t>
  </si>
  <si>
    <t>INGENIERO ELECTRICO</t>
  </si>
  <si>
    <t>TOTAL OPERACIÓN VARIABLE  POR DEMANDA</t>
  </si>
  <si>
    <t>COSTO BÁSICO = (A) + (B) = (C)</t>
  </si>
  <si>
    <t>Pólizas, Impuestos y Estampillas</t>
  </si>
  <si>
    <t>(%) Nominal</t>
  </si>
  <si>
    <t>(%) Costo Básico</t>
  </si>
  <si>
    <t>VALOR LIQUIDAR IMPUESTOS:
Base Liquidación: Costo basico + Pólizas + Impuestos y Estamillas</t>
  </si>
  <si>
    <t>Polizas</t>
  </si>
  <si>
    <t>Impuestos y Estampillas</t>
  </si>
  <si>
    <t>IVA = 19% * (C) = (D)</t>
  </si>
  <si>
    <t>COSTO TOTAL = (C) + (D)</t>
  </si>
  <si>
    <t>← Dif. vs Valor Publicado</t>
  </si>
  <si>
    <t>REPRESENTANTE LEGAL</t>
  </si>
  <si>
    <t>CONTRATISTA</t>
  </si>
  <si>
    <t>Valor Publicado</t>
  </si>
  <si>
    <t>valor que se debe llegar</t>
  </si>
  <si>
    <t>Disponibilidad PAA</t>
  </si>
  <si>
    <t xml:space="preserve">FACTOR MULTIPLICADOR </t>
  </si>
  <si>
    <t>ITEM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</si>
  <si>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</si>
  <si>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</si>
  <si>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</si>
  <si>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</si>
  <si>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</si>
  <si>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</si>
  <si>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</si>
  <si>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</si>
  <si>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</si>
  <si>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</si>
  <si>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</si>
  <si>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</si>
  <si>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</si>
  <si>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</si>
  <si>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</si>
  <si>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</si>
  <si>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</si>
  <si>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</si>
  <si>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</si>
  <si>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</si>
  <si>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</si>
  <si>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</si>
  <si>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</si>
  <si>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Porcentaje ajustado a la estructura salarial de sólo el personal con salario superior&gt; 10 SMLM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</si>
  <si>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</si>
  <si>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</si>
  <si>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</si>
  <si>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</si>
  <si>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</si>
  <si>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</si>
  <si>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</si>
  <si>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</si>
  <si>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</si>
  <si>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</si>
  <si>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</si>
  <si>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</si>
  <si>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</si>
  <si>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2.3.</t>
  </si>
  <si>
    <t>Servicios públicos</t>
  </si>
  <si>
    <t>3.</t>
  </si>
  <si>
    <t>Gastos Generales</t>
  </si>
  <si>
    <t>3.1.</t>
  </si>
  <si>
    <t>Preparación de Propuesta</t>
  </si>
  <si>
    <t>3.2.</t>
  </si>
  <si>
    <t>Equipos y mantenimiento Oficina (Aseo)</t>
  </si>
  <si>
    <t>3.3.</t>
  </si>
  <si>
    <t>Mubles Equipos Campamento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</si>
  <si>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</si>
  <si>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</si>
  <si>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</si>
  <si>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</si>
  <si>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</si>
  <si>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</si>
  <si>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</si>
  <si>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</si>
  <si>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</si>
  <si>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</si>
  <si>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</si>
  <si>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</si>
  <si>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</si>
  <si>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</si>
  <si>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</si>
  <si>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</si>
  <si>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3.12.</t>
  </si>
  <si>
    <t>Correo y otros</t>
  </si>
  <si>
    <t>4.</t>
  </si>
  <si>
    <t>Honorarios (Utilidad del consultor y costos no previstos)</t>
  </si>
  <si>
    <t>T  O  T  A  L</t>
  </si>
  <si>
    <t>Costos Directos no Reembolsables</t>
  </si>
  <si>
    <t>Poliza de Calidad</t>
  </si>
  <si>
    <t>Póliza Cumplimiento</t>
  </si>
  <si>
    <t>Póliza Salarios y prestaciones Sociales</t>
  </si>
  <si>
    <t>Base liquidación</t>
  </si>
  <si>
    <t>5.</t>
  </si>
  <si>
    <t>5.1</t>
  </si>
  <si>
    <t>Estampilla Adulto Mayor - Deducción estampilla Pro Adulto Mayor</t>
  </si>
  <si>
    <t>5.2</t>
  </si>
  <si>
    <t>Estampilla Procultura - Deducción estampilla Procultura con base</t>
  </si>
  <si>
    <t>5.3</t>
  </si>
  <si>
    <t>Estampilla Prohospitales - Deduccion estampilla Prohospitales</t>
  </si>
  <si>
    <t>5.4</t>
  </si>
  <si>
    <t>Estampilla Prodesarrollo - Deduc. EstampProdesarro =+ de 2.196UVTs</t>
  </si>
  <si>
    <t>5.5</t>
  </si>
  <si>
    <t>Estampilla Prouniversidad del Pacifico - Deduc EstamProuniverpacifico PN</t>
  </si>
  <si>
    <t>5.6</t>
  </si>
  <si>
    <t>Estampilla Prouniversidad del Valle - Deduccion estampilla Prouniv  del Valle</t>
  </si>
  <si>
    <t>5.7</t>
  </si>
  <si>
    <t xml:space="preserve">Estampilla Justicia Familia </t>
  </si>
  <si>
    <t>5.8</t>
  </si>
  <si>
    <t>Tasa Pro Deporte y Recreación  Acuerdo No. 0530 de 2022</t>
  </si>
  <si>
    <t>Póliza</t>
  </si>
  <si>
    <t>SIN IVA</t>
  </si>
  <si>
    <t>IVA</t>
  </si>
  <si>
    <t>TOTAL</t>
  </si>
  <si>
    <t>TABLA DE HONORARIOS 2025</t>
  </si>
  <si>
    <t>NIVEL</t>
  </si>
  <si>
    <t>GRADO</t>
  </si>
  <si>
    <t>FORMACION ACADEMICA</t>
  </si>
  <si>
    <t>EXPERIENCIA</t>
  </si>
  <si>
    <t>HONORARIOS 2026</t>
  </si>
  <si>
    <t>PROFESIONAL ESPECIALIZADO</t>
  </si>
  <si>
    <t>Título profesional y titulo de postgrado</t>
  </si>
  <si>
    <t>108 meses de experiencia profesional</t>
  </si>
  <si>
    <t>90 meses de experiencia profesional</t>
  </si>
  <si>
    <t>72 meses de experiencia profesional</t>
  </si>
  <si>
    <t>54 meses de experiencia profesional</t>
  </si>
  <si>
    <t>36 meses de experiencia profesional</t>
  </si>
  <si>
    <t>24 meses de experiencia profesional</t>
  </si>
  <si>
    <t>PROFESIONAL</t>
  </si>
  <si>
    <t>Título profesional</t>
  </si>
  <si>
    <t>18 meses de experiencia profesional</t>
  </si>
  <si>
    <t>12 meses de experiencia profesional</t>
  </si>
  <si>
    <t>No requerida</t>
  </si>
  <si>
    <t>TECNICO</t>
  </si>
  <si>
    <t>Título  de  formación  técnica o  tecnológica  o  aprobación de  seis  (6)  semestres  de educación   superior   en   la modalidad de pregrado.</t>
  </si>
  <si>
    <t>12 meses de experiencia laboral</t>
  </si>
  <si>
    <t>6 meses de experiencia laboral</t>
  </si>
  <si>
    <t>ASISTENCIAL</t>
  </si>
  <si>
    <t>Título de bachiller</t>
  </si>
  <si>
    <t>24 meses de experiencia laboral</t>
  </si>
  <si>
    <t>6 meses de experiencia laboral
o
18 meses de experiencia laboral sin titulo de bachiller</t>
  </si>
  <si>
    <t>Alternativa de 4 años de educación básica secundaria
Equivalencia: 6 meses de experiencia laboral por aprobación de 4 año de básica secundaria, siempre y cuando se acredite la
formación básica primaria</t>
  </si>
  <si>
    <t>Con titulo de bachiller no requiere experiencia o
12 meses de experiencia laboral sin titulo de bachiller.</t>
  </si>
  <si>
    <t>Formulario 1 - Formulario propuesta económica - Interventoría de infraestructura social</t>
  </si>
  <si>
    <t xml:space="preserve">Versión: 2 del 15 de diciembre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</si>
</sst>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&quot;$&quot;\ #,##0;[Red]\-&quot;$&quot;\ #,##0"/>
    <numFmt numFmtId="165" formatCode="_(* #,##0.00_);_(* \(#,##0.00\);_(* \-??_);_(@_)"/>
    <numFmt numFmtId="166" formatCode="_(* #,##0_);_(* \(#,##0\);_(* \-??_);_(@_)"/>
    <numFmt numFmtId="167" formatCode="[$$-240A]\ #,##0"/>
    <numFmt numFmtId="168" formatCode="#,##0.0\ _€"/>
    <numFmt numFmtId="169" formatCode="[$$-240A]\ #,##0.00"/>
    <numFmt numFmtId="170" formatCode="&quot;$ &quot;#,##0.00"/>
    <numFmt numFmtId="171" formatCode="#,##0.000"/>
    <numFmt numFmtId="172" formatCode="&quot;$ &quot;#,##0"/>
    <numFmt numFmtId="173" formatCode="_(\$* #,##0.00_);_(\$* \(#,##0.00\);_(\$* \-??_);_(@_)"/>
    <numFmt numFmtId="174" formatCode="_-&quot;$ &quot;* #,##0.00_-;&quot;-$ &quot;* #,##0.00_-;_-&quot;$ &quot;* \-??_-;_-@_-"/>
    <numFmt numFmtId="175" formatCode="_-* #,##0.00_-;\-* #,##0.00_-;_-* \-??_-;_-@_-"/>
    <numFmt numFmtId="176" formatCode="0.000%"/>
    <numFmt numFmtId="177" formatCode="0.0000000%"/>
    <numFmt numFmtId="178" formatCode="#,##0.0"/>
    <numFmt numFmtId="179" formatCode="&quot;$ &quot;#,##0.00;[Red]&quot;-$ &quot;#,##0.00"/>
    <numFmt numFmtId="180" formatCode="0.0%"/>
    <numFmt numFmtId="181" formatCode="_-&quot;$ &quot;* #,##0_-;&quot;-$ &quot;* #,##0_-;_-&quot;$ &quot;* \-??_-;_-@_-"/>
    <numFmt numFmtId="182" formatCode="0.00000%"/>
  </numFmts>
  <fonts count="27">
    <font>
      <sz val="11"/>
      <color theme="1"/>
      <name val="Calibri"/>
      <charset val="1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0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theme="1"/>
      <name val="Calibri"/>
      <family val="2"/>
      <charset val="1"/>
    </font>
    <font>
      <sz val="8"/>
      <color rgb="FF212529"/>
      <name val="Arial"/>
      <family val="2"/>
      <charset val="1"/>
    </font>
    <font>
      <b/>
      <sz val="14"/>
      <color theme="1"/>
      <name val="Arial"/>
      <family val="2"/>
      <charset val="1"/>
    </font>
    <font>
      <b/>
      <sz val="10"/>
      <color theme="0"/>
      <name val="Arial"/>
      <family val="2"/>
      <charset val="1"/>
    </font>
    <font>
      <b/>
      <sz val="16"/>
      <color theme="1"/>
      <name val="Arial"/>
      <family val="2"/>
      <charset val="1"/>
    </font>
    <font>
      <b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b/>
      <u/>
      <sz val="8"/>
      <color rgb="FF000000"/>
      <name val="Arial"/>
      <family val="2"/>
      <charset val="1"/>
    </font>
    <font>
      <sz val="8"/>
      <color theme="1"/>
      <name val="Arial"/>
      <family val="2"/>
      <charset val="1"/>
    </font>
    <font>
      <sz val="8"/>
      <name val="Arial"/>
      <family val="2"/>
      <charset val="1"/>
    </font>
    <font>
      <sz val="11"/>
      <color rgb="FFFF0000"/>
      <name val="Calibri"/>
      <family val="2"/>
      <charset val="1"/>
    </font>
    <font>
      <b/>
      <sz val="8"/>
      <color theme="1"/>
      <name val="Arial"/>
      <family val="2"/>
      <charset val="1"/>
    </font>
    <font>
      <sz val="11"/>
      <name val="Calibri"/>
      <family val="2"/>
      <charset val="1"/>
    </font>
    <font>
      <sz val="10"/>
      <color rgb="FF008000"/>
      <name val="Arial"/>
      <family val="2"/>
      <charset val="1"/>
    </font>
    <font>
      <b/>
      <sz val="10"/>
      <name val="Arial"/>
      <family val="2"/>
      <charset val="1"/>
    </font>
    <font>
      <sz val="10"/>
      <name val="Arial MT"/>
      <charset val="1"/>
    </font>
    <font>
      <sz val="10"/>
      <color rgb="FF000000"/>
      <name val="Arial MT"/>
      <family val="2"/>
      <charset val="1"/>
    </font>
    <font>
      <sz val="8"/>
      <color rgb="FF000000"/>
      <name val="Arial mt"/>
      <charset val="1"/>
    </font>
    <font>
      <sz val="8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CCCCCC"/>
      </patternFill>
    </fill>
    <fill>
      <patternFill patternType="solid">
        <fgColor rgb="FFEE0000"/>
        <bgColor rgb="FFFF0000"/>
      </patternFill>
    </fill>
    <fill>
      <patternFill patternType="solid">
        <fgColor theme="2" tint="-0.249977111117893"/>
        <bgColor rgb="FFCCCCCC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BFBFBF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CCCCCC"/>
      </right>
      <top style="medium">
        <color auto="1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auto="1"/>
      </top>
      <bottom style="medium">
        <color rgb="FFCCCCCC"/>
      </bottom>
      <diagonal/>
    </border>
    <border>
      <left style="medium">
        <color rgb="FFCCCCCC"/>
      </left>
      <right style="medium">
        <color auto="1"/>
      </right>
      <top style="medium">
        <color auto="1"/>
      </top>
      <bottom style="medium">
        <color rgb="FFCCCCCC"/>
      </bottom>
      <diagonal/>
    </border>
    <border>
      <left style="medium">
        <color auto="1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auto="1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auto="1"/>
      </right>
      <top style="medium">
        <color rgb="FFCCCCC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3">
    <xf numFmtId="0" fontId="0" fillId="0" borderId="0"/>
    <xf numFmtId="165" fontId="3" fillId="0" borderId="0"/>
    <xf numFmtId="173" fontId="3" fillId="0" borderId="0"/>
    <xf numFmtId="9" fontId="3" fillId="0" borderId="0"/>
    <xf numFmtId="165" fontId="2" fillId="0" borderId="0"/>
    <xf numFmtId="165" fontId="3" fillId="0" borderId="0"/>
    <xf numFmtId="0" fontId="4" fillId="0" borderId="0"/>
    <xf numFmtId="0" fontId="3" fillId="0" borderId="0"/>
    <xf numFmtId="0" fontId="5" fillId="0" borderId="0"/>
    <xf numFmtId="0" fontId="3" fillId="0" borderId="0"/>
    <xf numFmtId="9" fontId="3" fillId="0" borderId="0"/>
    <xf numFmtId="9" fontId="4" fillId="0" borderId="0"/>
    <xf numFmtId="9" fontId="5" fillId="0" borderId="0"/>
  </cellStyleXfs>
  <cellXfs count="275">
    <xf numFmtId="0" fontId="0" fillId="0" borderId="0" xfId="0"/>
    <xf numFmtId="0" fontId="13" fillId="0" borderId="45" xfId="0" applyFont="1" applyBorder="1" applyAlignment="1">
      <alignment horizontal="left"/>
    </xf>
    <xf numFmtId="0" fontId="13" fillId="0" borderId="57" xfId="0" applyFont="1" applyBorder="1" applyAlignment="1">
      <alignment horizontal="left"/>
    </xf>
    <xf numFmtId="0" fontId="14" fillId="2" borderId="57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/>
    <xf numFmtId="3" fontId="5" fillId="0" borderId="0" xfId="0" applyNumberFormat="1" applyFont="1"/>
    <xf numFmtId="0" fontId="6" fillId="0" borderId="0" xfId="0" applyFont="1" applyAlignment="1">
      <alignment vertical="center" shrinkToFit="1"/>
    </xf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0" fontId="5" fillId="0" borderId="0" xfId="3" applyNumberFormat="1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166" fontId="5" fillId="2" borderId="9" xfId="0" applyNumberFormat="1" applyFont="1" applyFill="1" applyBorder="1" applyAlignment="1">
      <alignment vertical="center" wrapText="1"/>
    </xf>
    <xf numFmtId="165" fontId="5" fillId="2" borderId="9" xfId="0" applyNumberFormat="1" applyFont="1" applyFill="1" applyBorder="1" applyAlignment="1">
      <alignment vertical="center" wrapText="1"/>
    </xf>
    <xf numFmtId="3" fontId="6" fillId="2" borderId="10" xfId="0" applyNumberFormat="1" applyFont="1" applyFill="1" applyBorder="1" applyAlignment="1">
      <alignment vertical="center" wrapText="1"/>
    </xf>
    <xf numFmtId="10" fontId="7" fillId="0" borderId="11" xfId="3" applyNumberFormat="1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167" fontId="5" fillId="0" borderId="13" xfId="0" applyNumberFormat="1" applyFont="1" applyBorder="1" applyAlignment="1">
      <alignment vertical="center" wrapText="1"/>
    </xf>
    <xf numFmtId="9" fontId="5" fillId="0" borderId="13" xfId="0" applyNumberFormat="1" applyFont="1" applyBorder="1" applyAlignment="1">
      <alignment horizontal="center" vertical="center" wrapText="1"/>
    </xf>
    <xf numFmtId="168" fontId="5" fillId="0" borderId="13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167" fontId="5" fillId="0" borderId="17" xfId="0" applyNumberFormat="1" applyFont="1" applyBorder="1" applyAlignment="1">
      <alignment vertical="center" wrapText="1"/>
    </xf>
    <xf numFmtId="9" fontId="5" fillId="0" borderId="17" xfId="0" applyNumberFormat="1" applyFont="1" applyBorder="1" applyAlignment="1">
      <alignment horizontal="center" vertical="center" wrapText="1"/>
    </xf>
    <xf numFmtId="168" fontId="5" fillId="0" borderId="17" xfId="0" applyNumberFormat="1" applyFont="1" applyBorder="1" applyAlignment="1">
      <alignment horizontal="center" vertical="center" wrapText="1"/>
    </xf>
    <xf numFmtId="169" fontId="7" fillId="0" borderId="15" xfId="0" applyNumberFormat="1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167" fontId="5" fillId="0" borderId="21" xfId="0" applyNumberFormat="1" applyFont="1" applyBorder="1" applyAlignment="1">
      <alignment vertical="center" wrapText="1"/>
    </xf>
    <xf numFmtId="167" fontId="5" fillId="0" borderId="20" xfId="0" applyNumberFormat="1" applyFont="1" applyBorder="1" applyAlignment="1">
      <alignment vertical="center" wrapText="1"/>
    </xf>
    <xf numFmtId="9" fontId="5" fillId="0" borderId="20" xfId="0" applyNumberFormat="1" applyFont="1" applyBorder="1" applyAlignment="1">
      <alignment horizontal="center" vertical="center" wrapText="1"/>
    </xf>
    <xf numFmtId="168" fontId="5" fillId="0" borderId="20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167" fontId="5" fillId="0" borderId="24" xfId="0" applyNumberFormat="1" applyFont="1" applyBorder="1" applyAlignment="1">
      <alignment vertical="center" wrapText="1"/>
    </xf>
    <xf numFmtId="9" fontId="5" fillId="0" borderId="24" xfId="0" applyNumberFormat="1" applyFont="1" applyBorder="1" applyAlignment="1">
      <alignment horizontal="center" vertical="center" wrapText="1"/>
    </xf>
    <xf numFmtId="168" fontId="5" fillId="0" borderId="24" xfId="0" applyNumberFormat="1" applyFont="1" applyBorder="1" applyAlignment="1">
      <alignment horizontal="center" vertical="center" wrapText="1"/>
    </xf>
    <xf numFmtId="168" fontId="5" fillId="0" borderId="21" xfId="0" applyNumberFormat="1" applyFont="1" applyBorder="1" applyAlignment="1">
      <alignment horizontal="center" vertical="center" wrapText="1"/>
    </xf>
    <xf numFmtId="169" fontId="7" fillId="0" borderId="26" xfId="0" applyNumberFormat="1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166" fontId="6" fillId="0" borderId="29" xfId="0" applyNumberFormat="1" applyFont="1" applyBorder="1" applyAlignment="1">
      <alignment vertical="center" wrapText="1"/>
    </xf>
    <xf numFmtId="165" fontId="6" fillId="0" borderId="29" xfId="0" applyNumberFormat="1" applyFont="1" applyBorder="1" applyAlignment="1">
      <alignment vertical="center" wrapText="1"/>
    </xf>
    <xf numFmtId="170" fontId="6" fillId="0" borderId="18" xfId="0" applyNumberFormat="1" applyFont="1" applyBorder="1" applyAlignment="1">
      <alignment vertical="center" wrapText="1"/>
    </xf>
    <xf numFmtId="169" fontId="5" fillId="0" borderId="0" xfId="0" applyNumberFormat="1" applyFont="1" applyAlignment="1">
      <alignment vertical="center" wrapText="1"/>
    </xf>
    <xf numFmtId="171" fontId="6" fillId="0" borderId="30" xfId="0" applyNumberFormat="1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3" fontId="6" fillId="0" borderId="33" xfId="0" applyNumberFormat="1" applyFont="1" applyBorder="1" applyAlignment="1">
      <alignment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165" fontId="5" fillId="0" borderId="37" xfId="0" applyNumberFormat="1" applyFont="1" applyBorder="1" applyAlignment="1">
      <alignment horizontal="center" vertical="center" wrapText="1"/>
    </xf>
    <xf numFmtId="3" fontId="5" fillId="0" borderId="38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3" fontId="5" fillId="0" borderId="40" xfId="0" applyNumberFormat="1" applyFont="1" applyBorder="1" applyAlignment="1">
      <alignment horizontal="center" vertical="center" wrapText="1"/>
    </xf>
    <xf numFmtId="170" fontId="6" fillId="2" borderId="10" xfId="0" applyNumberFormat="1" applyFont="1" applyFill="1" applyBorder="1" applyAlignment="1">
      <alignment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72" fontId="5" fillId="0" borderId="20" xfId="0" applyNumberFormat="1" applyFont="1" applyBorder="1" applyAlignment="1">
      <alignment vertical="center" wrapText="1"/>
    </xf>
    <xf numFmtId="0" fontId="5" fillId="0" borderId="42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174" fontId="5" fillId="0" borderId="0" xfId="2" applyNumberFormat="1" applyFont="1"/>
    <xf numFmtId="174" fontId="5" fillId="0" borderId="0" xfId="0" applyNumberFormat="1" applyFont="1"/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left"/>
    </xf>
    <xf numFmtId="3" fontId="5" fillId="0" borderId="4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2" fontId="5" fillId="0" borderId="13" xfId="0" applyNumberFormat="1" applyFont="1" applyBorder="1" applyAlignment="1">
      <alignment vertical="center" wrapText="1"/>
    </xf>
    <xf numFmtId="174" fontId="5" fillId="0" borderId="0" xfId="2" applyNumberFormat="1" applyFont="1" applyAlignment="1">
      <alignment horizontal="left"/>
    </xf>
    <xf numFmtId="166" fontId="5" fillId="0" borderId="29" xfId="0" applyNumberFormat="1" applyFont="1" applyBorder="1" applyAlignment="1">
      <alignment vertical="center" wrapText="1"/>
    </xf>
    <xf numFmtId="165" fontId="5" fillId="0" borderId="29" xfId="0" applyNumberFormat="1" applyFont="1" applyBorder="1" applyAlignment="1">
      <alignment vertical="center" wrapText="1"/>
    </xf>
    <xf numFmtId="175" fontId="5" fillId="0" borderId="0" xfId="0" applyNumberFormat="1" applyFont="1" applyAlignment="1">
      <alignment horizontal="left"/>
    </xf>
    <xf numFmtId="0" fontId="5" fillId="0" borderId="35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3" fontId="6" fillId="0" borderId="43" xfId="0" applyNumberFormat="1" applyFont="1" applyBorder="1" applyAlignment="1">
      <alignment vertical="center" wrapText="1"/>
    </xf>
    <xf numFmtId="170" fontId="6" fillId="2" borderId="33" xfId="0" applyNumberFormat="1" applyFont="1" applyFill="1" applyBorder="1" applyAlignment="1">
      <alignment vertical="center" wrapText="1"/>
    </xf>
    <xf numFmtId="170" fontId="5" fillId="0" borderId="18" xfId="2" applyNumberFormat="1" applyFont="1" applyBorder="1" applyAlignment="1">
      <alignment vertical="center" wrapText="1"/>
    </xf>
    <xf numFmtId="4" fontId="6" fillId="0" borderId="30" xfId="0" applyNumberFormat="1" applyFont="1" applyBorder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3" fontId="5" fillId="0" borderId="43" xfId="0" applyNumberFormat="1" applyFont="1" applyBorder="1" applyAlignment="1">
      <alignment vertical="center" wrapText="1"/>
    </xf>
    <xf numFmtId="0" fontId="9" fillId="0" borderId="0" xfId="0" applyFont="1"/>
    <xf numFmtId="170" fontId="6" fillId="2" borderId="6" xfId="0" applyNumberFormat="1" applyFont="1" applyFill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170" fontId="6" fillId="0" borderId="3" xfId="0" applyNumberFormat="1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70" fontId="6" fillId="0" borderId="38" xfId="0" applyNumberFormat="1" applyFont="1" applyBorder="1" applyAlignment="1">
      <alignment vertical="center" wrapText="1"/>
    </xf>
    <xf numFmtId="176" fontId="5" fillId="0" borderId="0" xfId="0" applyNumberFormat="1" applyFont="1" applyAlignment="1">
      <alignment vertical="center" wrapText="1"/>
    </xf>
    <xf numFmtId="177" fontId="5" fillId="0" borderId="0" xfId="10" applyNumberFormat="1" applyFont="1" applyAlignment="1">
      <alignment vertical="center" wrapText="1"/>
    </xf>
    <xf numFmtId="10" fontId="5" fillId="0" borderId="0" xfId="0" applyNumberFormat="1" applyFont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6" fillId="0" borderId="45" xfId="0" applyFont="1" applyBorder="1" applyAlignment="1">
      <alignment vertical="center" wrapText="1"/>
    </xf>
    <xf numFmtId="10" fontId="5" fillId="0" borderId="46" xfId="3" applyNumberFormat="1" applyFont="1" applyBorder="1" applyAlignment="1">
      <alignment vertical="center" wrapText="1"/>
    </xf>
    <xf numFmtId="177" fontId="5" fillId="0" borderId="46" xfId="10" applyNumberFormat="1" applyFont="1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170" fontId="6" fillId="0" borderId="47" xfId="0" applyNumberFormat="1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170" fontId="9" fillId="4" borderId="40" xfId="0" applyNumberFormat="1" applyFont="1" applyFill="1" applyBorder="1" applyAlignment="1">
      <alignment vertical="center" wrapText="1"/>
    </xf>
    <xf numFmtId="170" fontId="5" fillId="0" borderId="0" xfId="0" applyNumberFormat="1" applyFont="1"/>
    <xf numFmtId="3" fontId="6" fillId="0" borderId="0" xfId="0" applyNumberFormat="1" applyFont="1" applyAlignment="1">
      <alignment vertical="center" wrapText="1"/>
    </xf>
    <xf numFmtId="178" fontId="5" fillId="0" borderId="0" xfId="0" applyNumberFormat="1" applyFont="1"/>
    <xf numFmtId="0" fontId="6" fillId="0" borderId="32" xfId="0" applyFont="1" applyBorder="1" applyAlignment="1">
      <alignment horizontal="center" vertical="center" wrapText="1"/>
    </xf>
    <xf numFmtId="3" fontId="10" fillId="3" borderId="0" xfId="0" applyNumberFormat="1" applyFont="1" applyFill="1"/>
    <xf numFmtId="175" fontId="5" fillId="0" borderId="0" xfId="1" applyNumberFormat="1" applyFont="1"/>
    <xf numFmtId="0" fontId="11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 wrapText="1"/>
    </xf>
    <xf numFmtId="0" fontId="3" fillId="0" borderId="50" xfId="0" applyFont="1" applyBorder="1" applyAlignment="1">
      <alignment vertical="center" wrapText="1"/>
    </xf>
    <xf numFmtId="0" fontId="3" fillId="0" borderId="51" xfId="0" applyFont="1" applyBorder="1" applyAlignment="1">
      <alignment vertical="center" wrapText="1"/>
    </xf>
    <xf numFmtId="0" fontId="3" fillId="0" borderId="52" xfId="0" applyFont="1" applyBorder="1" applyAlignment="1">
      <alignment vertical="center" wrapText="1"/>
    </xf>
    <xf numFmtId="0" fontId="3" fillId="0" borderId="53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9" fontId="6" fillId="5" borderId="52" xfId="0" applyNumberFormat="1" applyFont="1" applyFill="1" applyBorder="1" applyAlignment="1">
      <alignment horizontal="right" vertical="center" wrapText="1"/>
    </xf>
    <xf numFmtId="179" fontId="6" fillId="0" borderId="0" xfId="0" applyNumberFormat="1" applyFont="1" applyAlignment="1">
      <alignment horizontal="right" vertical="center" wrapText="1"/>
    </xf>
    <xf numFmtId="0" fontId="3" fillId="0" borderId="54" xfId="0" applyFont="1" applyBorder="1" applyAlignment="1">
      <alignment vertical="center" wrapText="1"/>
    </xf>
    <xf numFmtId="0" fontId="3" fillId="0" borderId="55" xfId="0" applyFont="1" applyBorder="1" applyAlignment="1">
      <alignment vertical="center" wrapText="1"/>
    </xf>
    <xf numFmtId="0" fontId="3" fillId="0" borderId="56" xfId="0" applyFont="1" applyBorder="1" applyAlignment="1">
      <alignment vertical="center" wrapText="1"/>
    </xf>
    <xf numFmtId="0" fontId="11" fillId="0" borderId="31" xfId="0" applyFont="1" applyBorder="1" applyAlignment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179" fontId="6" fillId="6" borderId="0" xfId="0" applyNumberFormat="1" applyFont="1" applyFill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/>
    <xf numFmtId="0" fontId="12" fillId="2" borderId="57" xfId="0" applyFont="1" applyFill="1" applyBorder="1" applyAlignment="1">
      <alignment horizontal="center" vertical="center"/>
    </xf>
    <xf numFmtId="0" fontId="12" fillId="0" borderId="57" xfId="0" applyFont="1" applyBorder="1" applyAlignment="1">
      <alignment horizontal="left"/>
    </xf>
    <xf numFmtId="10" fontId="13" fillId="0" borderId="57" xfId="0" applyNumberFormat="1" applyFont="1" applyBorder="1"/>
    <xf numFmtId="10" fontId="15" fillId="0" borderId="57" xfId="0" applyNumberFormat="1" applyFont="1" applyBorder="1"/>
    <xf numFmtId="10" fontId="13" fillId="0" borderId="46" xfId="0" applyNumberFormat="1" applyFont="1" applyBorder="1"/>
    <xf numFmtId="0" fontId="13" fillId="0" borderId="46" xfId="0" applyFont="1" applyBorder="1" applyAlignment="1">
      <alignment horizontal="left"/>
    </xf>
    <xf numFmtId="10" fontId="13" fillId="0" borderId="58" xfId="0" applyNumberFormat="1" applyFont="1" applyBorder="1"/>
    <xf numFmtId="10" fontId="15" fillId="0" borderId="59" xfId="0" applyNumberFormat="1" applyFont="1" applyBorder="1"/>
    <xf numFmtId="10" fontId="17" fillId="0" borderId="57" xfId="0" applyNumberFormat="1" applyFont="1" applyBorder="1"/>
    <xf numFmtId="0" fontId="13" fillId="0" borderId="45" xfId="0" applyFont="1" applyBorder="1"/>
    <xf numFmtId="10" fontId="15" fillId="0" borderId="60" xfId="0" applyNumberFormat="1" applyFont="1" applyBorder="1"/>
    <xf numFmtId="9" fontId="3" fillId="0" borderId="0" xfId="0" applyNumberFormat="1" applyFont="1"/>
    <xf numFmtId="0" fontId="13" fillId="2" borderId="57" xfId="0" applyFont="1" applyFill="1" applyBorder="1"/>
    <xf numFmtId="0" fontId="13" fillId="2" borderId="45" xfId="0" applyFont="1" applyFill="1" applyBorder="1"/>
    <xf numFmtId="0" fontId="13" fillId="2" borderId="46" xfId="0" applyFont="1" applyFill="1" applyBorder="1"/>
    <xf numFmtId="10" fontId="12" fillId="2" borderId="57" xfId="0" applyNumberFormat="1" applyFont="1" applyFill="1" applyBorder="1"/>
    <xf numFmtId="10" fontId="18" fillId="2" borderId="57" xfId="0" applyNumberFormat="1" applyFont="1" applyFill="1" applyBorder="1"/>
    <xf numFmtId="180" fontId="3" fillId="0" borderId="0" xfId="0" applyNumberFormat="1" applyFont="1"/>
    <xf numFmtId="0" fontId="12" fillId="0" borderId="57" xfId="0" applyFont="1" applyBorder="1" applyAlignment="1">
      <alignment horizontal="left" vertical="center"/>
    </xf>
    <xf numFmtId="10" fontId="12" fillId="0" borderId="57" xfId="0" applyNumberFormat="1" applyFont="1" applyBorder="1" applyAlignment="1">
      <alignment vertical="center"/>
    </xf>
    <xf numFmtId="10" fontId="12" fillId="2" borderId="58" xfId="0" applyNumberFormat="1" applyFont="1" applyFill="1" applyBorder="1"/>
    <xf numFmtId="10" fontId="3" fillId="0" borderId="0" xfId="0" applyNumberFormat="1" applyFont="1"/>
    <xf numFmtId="0" fontId="3" fillId="0" borderId="61" xfId="0" applyFont="1" applyBorder="1" applyAlignment="1">
      <alignment wrapText="1"/>
    </xf>
    <xf numFmtId="0" fontId="12" fillId="0" borderId="62" xfId="0" applyFont="1" applyBorder="1" applyAlignment="1">
      <alignment horizontal="left"/>
    </xf>
    <xf numFmtId="0" fontId="13" fillId="0" borderId="64" xfId="0" applyFont="1" applyBorder="1" applyAlignment="1">
      <alignment horizontal="left"/>
    </xf>
    <xf numFmtId="0" fontId="19" fillId="0" borderId="46" xfId="0" applyFont="1" applyBorder="1"/>
    <xf numFmtId="0" fontId="19" fillId="0" borderId="58" xfId="0" applyFont="1" applyBorder="1"/>
    <xf numFmtId="176" fontId="13" fillId="0" borderId="47" xfId="0" applyNumberFormat="1" applyFont="1" applyBorder="1"/>
    <xf numFmtId="176" fontId="13" fillId="0" borderId="57" xfId="0" applyNumberFormat="1" applyFont="1" applyBorder="1"/>
    <xf numFmtId="0" fontId="13" fillId="2" borderId="64" xfId="0" applyFont="1" applyFill="1" applyBorder="1"/>
    <xf numFmtId="176" fontId="12" fillId="2" borderId="47" xfId="0" applyNumberFormat="1" applyFont="1" applyFill="1" applyBorder="1"/>
    <xf numFmtId="176" fontId="0" fillId="0" borderId="0" xfId="0" applyNumberFormat="1"/>
    <xf numFmtId="3" fontId="0" fillId="0" borderId="0" xfId="0" applyNumberFormat="1"/>
    <xf numFmtId="0" fontId="12" fillId="0" borderId="64" xfId="0" applyFont="1" applyBorder="1" applyAlignment="1">
      <alignment horizontal="left"/>
    </xf>
    <xf numFmtId="10" fontId="13" fillId="0" borderId="47" xfId="0" applyNumberFormat="1" applyFont="1" applyBorder="1"/>
    <xf numFmtId="181" fontId="0" fillId="0" borderId="0" xfId="2" applyNumberFormat="1" applyFont="1"/>
    <xf numFmtId="0" fontId="0" fillId="5" borderId="0" xfId="0" applyFill="1"/>
    <xf numFmtId="10" fontId="13" fillId="5" borderId="47" xfId="0" applyNumberFormat="1" applyFont="1" applyFill="1" applyBorder="1"/>
    <xf numFmtId="9" fontId="17" fillId="0" borderId="0" xfId="0" applyNumberFormat="1" applyFont="1"/>
    <xf numFmtId="10" fontId="12" fillId="2" borderId="47" xfId="0" applyNumberFormat="1" applyFont="1" applyFill="1" applyBorder="1"/>
    <xf numFmtId="10" fontId="12" fillId="2" borderId="66" xfId="0" applyNumberFormat="1" applyFont="1" applyFill="1" applyBorder="1"/>
    <xf numFmtId="0" fontId="3" fillId="0" borderId="0" xfId="0" applyFont="1" applyAlignment="1">
      <alignment vertical="center"/>
    </xf>
    <xf numFmtId="10" fontId="20" fillId="0" borderId="0" xfId="0" applyNumberFormat="1" applyFont="1"/>
    <xf numFmtId="0" fontId="5" fillId="0" borderId="0" xfId="0" applyFont="1" applyAlignment="1">
      <alignment horizontal="center" vertical="center"/>
    </xf>
    <xf numFmtId="10" fontId="0" fillId="0" borderId="0" xfId="0" applyNumberFormat="1"/>
    <xf numFmtId="182" fontId="5" fillId="0" borderId="0" xfId="3" applyNumberFormat="1" applyFont="1"/>
    <xf numFmtId="9" fontId="0" fillId="0" borderId="0" xfId="0" applyNumberFormat="1"/>
    <xf numFmtId="182" fontId="0" fillId="0" borderId="0" xfId="0" applyNumberFormat="1"/>
    <xf numFmtId="0" fontId="21" fillId="0" borderId="57" xfId="7" applyFont="1" applyBorder="1" applyAlignment="1">
      <alignment horizontal="center" vertical="top" wrapText="1"/>
    </xf>
    <xf numFmtId="0" fontId="3" fillId="0" borderId="0" xfId="7" applyAlignment="1">
      <alignment horizontal="left" vertical="top"/>
    </xf>
    <xf numFmtId="0" fontId="21" fillId="0" borderId="57" xfId="7" applyFont="1" applyBorder="1" applyAlignment="1">
      <alignment horizontal="left" vertical="top" wrapText="1"/>
    </xf>
    <xf numFmtId="0" fontId="21" fillId="0" borderId="57" xfId="7" applyFont="1" applyBorder="1" applyAlignment="1">
      <alignment horizontal="left" vertical="top" wrapText="1" indent="1"/>
    </xf>
    <xf numFmtId="0" fontId="22" fillId="0" borderId="57" xfId="7" applyFont="1" applyBorder="1" applyAlignment="1">
      <alignment horizontal="left" vertical="center" wrapText="1"/>
    </xf>
    <xf numFmtId="1" fontId="23" fillId="0" borderId="57" xfId="7" applyNumberFormat="1" applyFont="1" applyBorder="1" applyAlignment="1">
      <alignment horizontal="center" vertical="center" shrinkToFit="1"/>
    </xf>
    <xf numFmtId="0" fontId="22" fillId="0" borderId="57" xfId="7" applyFont="1" applyBorder="1" applyAlignment="1">
      <alignment horizontal="left" vertical="top" wrapText="1"/>
    </xf>
    <xf numFmtId="0" fontId="22" fillId="0" borderId="57" xfId="7" applyFont="1" applyBorder="1" applyAlignment="1">
      <alignment horizontal="center" vertical="top" wrapText="1"/>
    </xf>
    <xf numFmtId="172" fontId="23" fillId="0" borderId="57" xfId="7" applyNumberFormat="1" applyFont="1" applyBorder="1" applyAlignment="1">
      <alignment horizontal="center" vertical="center" shrinkToFit="1"/>
    </xf>
    <xf numFmtId="10" fontId="24" fillId="0" borderId="57" xfId="7" applyNumberFormat="1" applyFont="1" applyBorder="1" applyAlignment="1">
      <alignment horizontal="center" vertical="center"/>
    </xf>
    <xf numFmtId="172" fontId="23" fillId="0" borderId="58" xfId="7" applyNumberFormat="1" applyFont="1" applyBorder="1" applyAlignment="1">
      <alignment horizontal="center" vertical="center" shrinkToFit="1"/>
    </xf>
    <xf numFmtId="1" fontId="23" fillId="0" borderId="57" xfId="7" applyNumberFormat="1" applyFont="1" applyBorder="1" applyAlignment="1">
      <alignment horizontal="center" vertical="top" shrinkToFit="1"/>
    </xf>
    <xf numFmtId="0" fontId="22" fillId="0" borderId="57" xfId="7" applyFont="1" applyBorder="1" applyAlignment="1">
      <alignment horizontal="left" vertical="top" wrapText="1" indent="2"/>
    </xf>
    <xf numFmtId="172" fontId="23" fillId="0" borderId="57" xfId="7" applyNumberFormat="1" applyFont="1" applyBorder="1" applyAlignment="1">
      <alignment horizontal="center" vertical="top" shrinkToFit="1"/>
    </xf>
    <xf numFmtId="0" fontId="22" fillId="0" borderId="59" xfId="7" applyFont="1" applyBorder="1" applyAlignment="1">
      <alignment horizontal="center" vertical="top" wrapText="1"/>
    </xf>
    <xf numFmtId="1" fontId="23" fillId="0" borderId="59" xfId="7" applyNumberFormat="1" applyFont="1" applyBorder="1" applyAlignment="1">
      <alignment horizontal="center" vertical="top" shrinkToFit="1"/>
    </xf>
    <xf numFmtId="0" fontId="22" fillId="0" borderId="59" xfId="7" applyFont="1" applyBorder="1" applyAlignment="1">
      <alignment horizontal="left" vertical="top" wrapText="1"/>
    </xf>
    <xf numFmtId="0" fontId="22" fillId="0" borderId="59" xfId="7" applyFont="1" applyBorder="1" applyAlignment="1">
      <alignment horizontal="left" vertical="top" wrapText="1" indent="2"/>
    </xf>
    <xf numFmtId="172" fontId="23" fillId="0" borderId="59" xfId="7" applyNumberFormat="1" applyFont="1" applyBorder="1" applyAlignment="1">
      <alignment horizontal="center" vertical="top" shrinkToFit="1"/>
    </xf>
    <xf numFmtId="0" fontId="3" fillId="0" borderId="60" xfId="7" applyBorder="1" applyAlignment="1">
      <alignment horizontal="left" vertical="top" wrapText="1"/>
    </xf>
    <xf numFmtId="1" fontId="23" fillId="0" borderId="60" xfId="7" applyNumberFormat="1" applyFont="1" applyBorder="1" applyAlignment="1">
      <alignment horizontal="center" vertical="top" shrinkToFit="1"/>
    </xf>
    <xf numFmtId="0" fontId="22" fillId="0" borderId="60" xfId="7" applyFont="1" applyBorder="1" applyAlignment="1">
      <alignment horizontal="left" vertical="top" wrapText="1"/>
    </xf>
    <xf numFmtId="0" fontId="22" fillId="0" borderId="60" xfId="7" applyFont="1" applyBorder="1" applyAlignment="1">
      <alignment horizontal="left" vertical="top" wrapText="1" indent="2"/>
    </xf>
    <xf numFmtId="172" fontId="23" fillId="0" borderId="60" xfId="7" applyNumberFormat="1" applyFont="1" applyBorder="1" applyAlignment="1">
      <alignment horizontal="center" vertical="top" shrinkToFit="1"/>
    </xf>
    <xf numFmtId="0" fontId="22" fillId="0" borderId="57" xfId="7" applyFont="1" applyBorder="1" applyAlignment="1">
      <alignment horizontal="center" vertical="center" wrapText="1"/>
    </xf>
    <xf numFmtId="1" fontId="23" fillId="0" borderId="59" xfId="7" applyNumberFormat="1" applyFont="1" applyBorder="1" applyAlignment="1">
      <alignment horizontal="center" vertical="center" shrinkToFit="1"/>
    </xf>
    <xf numFmtId="0" fontId="22" fillId="0" borderId="59" xfId="7" applyFont="1" applyBorder="1" applyAlignment="1">
      <alignment horizontal="left" vertical="center" wrapText="1"/>
    </xf>
    <xf numFmtId="0" fontId="3" fillId="0" borderId="59" xfId="7" applyBorder="1" applyAlignment="1">
      <alignment horizontal="center" vertical="top" wrapText="1"/>
    </xf>
    <xf numFmtId="172" fontId="23" fillId="0" borderId="59" xfId="7" applyNumberFormat="1" applyFont="1" applyBorder="1" applyAlignment="1">
      <alignment horizontal="center" vertical="center" shrinkToFit="1"/>
    </xf>
    <xf numFmtId="1" fontId="23" fillId="0" borderId="60" xfId="7" applyNumberFormat="1" applyFont="1" applyBorder="1" applyAlignment="1">
      <alignment horizontal="center" vertical="center" shrinkToFit="1"/>
    </xf>
    <xf numFmtId="0" fontId="3" fillId="0" borderId="60" xfId="7" applyBorder="1" applyAlignment="1">
      <alignment horizontal="center" vertical="top" wrapText="1"/>
    </xf>
    <xf numFmtId="172" fontId="23" fillId="0" borderId="60" xfId="7" applyNumberFormat="1" applyFont="1" applyBorder="1" applyAlignment="1">
      <alignment horizontal="center" vertical="center" shrinkToFit="1"/>
    </xf>
    <xf numFmtId="164" fontId="5" fillId="0" borderId="18" xfId="0" applyNumberFormat="1" applyFont="1" applyBorder="1" applyAlignment="1">
      <alignment vertical="center" wrapText="1"/>
    </xf>
    <xf numFmtId="164" fontId="5" fillId="0" borderId="22" xfId="0" applyNumberFormat="1" applyFont="1" applyBorder="1" applyAlignment="1">
      <alignment vertical="center" wrapText="1"/>
    </xf>
    <xf numFmtId="164" fontId="5" fillId="0" borderId="25" xfId="0" applyNumberFormat="1" applyFont="1" applyBorder="1" applyAlignment="1">
      <alignment vertical="center" wrapText="1"/>
    </xf>
    <xf numFmtId="0" fontId="26" fillId="0" borderId="70" xfId="0" applyFont="1" applyBorder="1" applyAlignment="1">
      <alignment horizontal="justify" vertical="center" wrapText="1"/>
    </xf>
    <xf numFmtId="0" fontId="25" fillId="7" borderId="6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3" fontId="10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25" fillId="0" borderId="67" xfId="0" applyFont="1" applyBorder="1" applyAlignment="1">
      <alignment horizontal="center" vertical="center" wrapText="1"/>
    </xf>
    <xf numFmtId="0" fontId="25" fillId="0" borderId="68" xfId="0" applyFont="1" applyBorder="1" applyAlignment="1">
      <alignment horizontal="center" vertical="center" wrapText="1"/>
    </xf>
    <xf numFmtId="0" fontId="25" fillId="0" borderId="69" xfId="0" applyFont="1" applyBorder="1" applyAlignment="1">
      <alignment horizontal="center" vertical="center" wrapText="1"/>
    </xf>
    <xf numFmtId="0" fontId="25" fillId="7" borderId="67" xfId="0" applyFont="1" applyFill="1" applyBorder="1" applyAlignment="1">
      <alignment horizontal="center" vertical="center" wrapText="1"/>
    </xf>
    <xf numFmtId="0" fontId="25" fillId="7" borderId="68" xfId="0" applyFont="1" applyFill="1" applyBorder="1" applyAlignment="1">
      <alignment horizontal="center" vertical="center" wrapText="1"/>
    </xf>
    <xf numFmtId="0" fontId="25" fillId="7" borderId="6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2" borderId="57" xfId="0" applyFont="1" applyFill="1" applyBorder="1" applyAlignment="1">
      <alignment horizontal="center" vertical="center"/>
    </xf>
    <xf numFmtId="0" fontId="14" fillId="0" borderId="57" xfId="0" applyFont="1" applyBorder="1" applyAlignment="1">
      <alignment horizontal="left"/>
    </xf>
    <xf numFmtId="0" fontId="13" fillId="0" borderId="57" xfId="0" applyFont="1" applyBorder="1" applyAlignment="1">
      <alignment horizontal="left"/>
    </xf>
    <xf numFmtId="0" fontId="13" fillId="0" borderId="45" xfId="0" applyFont="1" applyBorder="1" applyAlignment="1">
      <alignment horizontal="left"/>
    </xf>
    <xf numFmtId="0" fontId="16" fillId="0" borderId="57" xfId="0" applyFont="1" applyBorder="1" applyAlignment="1">
      <alignment horizontal="left"/>
    </xf>
    <xf numFmtId="0" fontId="7" fillId="0" borderId="57" xfId="0" applyFont="1" applyBorder="1" applyAlignment="1">
      <alignment horizontal="left" vertical="center" wrapText="1"/>
    </xf>
    <xf numFmtId="0" fontId="12" fillId="2" borderId="58" xfId="0" applyFont="1" applyFill="1" applyBorder="1" applyAlignment="1">
      <alignment horizontal="right"/>
    </xf>
    <xf numFmtId="0" fontId="14" fillId="0" borderId="45" xfId="0" applyFont="1" applyBorder="1" applyAlignment="1">
      <alignment horizontal="left"/>
    </xf>
    <xf numFmtId="0" fontId="14" fillId="0" borderId="45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right" vertical="center"/>
    </xf>
    <xf numFmtId="0" fontId="12" fillId="2" borderId="45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4" fillId="0" borderId="63" xfId="0" applyFont="1" applyBorder="1" applyAlignment="1">
      <alignment horizontal="left"/>
    </xf>
    <xf numFmtId="0" fontId="12" fillId="2" borderId="58" xfId="0" applyFont="1" applyFill="1" applyBorder="1" applyAlignment="1">
      <alignment horizontal="center"/>
    </xf>
    <xf numFmtId="0" fontId="14" fillId="0" borderId="47" xfId="0" applyFont="1" applyBorder="1" applyAlignment="1">
      <alignment horizontal="left"/>
    </xf>
    <xf numFmtId="0" fontId="12" fillId="2" borderId="65" xfId="0" applyFont="1" applyFill="1" applyBorder="1" applyAlignment="1">
      <alignment horizontal="center"/>
    </xf>
    <xf numFmtId="0" fontId="21" fillId="0" borderId="57" xfId="7" applyFont="1" applyBorder="1" applyAlignment="1">
      <alignment horizontal="center" vertical="top" wrapText="1"/>
    </xf>
    <xf numFmtId="0" fontId="22" fillId="0" borderId="57" xfId="7" applyFont="1" applyBorder="1" applyAlignment="1">
      <alignment horizontal="left" vertical="center" wrapText="1"/>
    </xf>
    <xf numFmtId="0" fontId="3" fillId="0" borderId="60" xfId="7" applyBorder="1" applyAlignment="1">
      <alignment horizontal="left" vertical="top" wrapText="1"/>
    </xf>
    <xf numFmtId="0" fontId="22" fillId="0" borderId="57" xfId="7" applyFont="1" applyBorder="1" applyAlignment="1">
      <alignment horizontal="left" vertical="center" wrapText="1" indent="2"/>
    </xf>
    <xf numFmtId="0" fontId="22" fillId="0" borderId="59" xfId="7" applyFont="1" applyBorder="1" applyAlignment="1">
      <alignment horizontal="left" vertical="center" wrapText="1" indent="1"/>
    </xf>
  </cellXfs>
  <cellStyles count="13">
    <cellStyle name="Millares" xfId="1" builtinId="3"/>
    <cellStyle name="Millares 10" xfId="4" xr:uid="{00000000-0005-0000-0000-000006000000}"/>
    <cellStyle name="Millares 2 2 2" xfId="5" xr:uid="{00000000-0005-0000-0000-000007000000}"/>
    <cellStyle name="Moneda" xfId="2" builtinId="4"/>
    <cellStyle name="Normal" xfId="0" builtinId="0"/>
    <cellStyle name="Normal 10 2" xfId="6" xr:uid="{00000000-0005-0000-0000-000008000000}"/>
    <cellStyle name="Normal 2" xfId="7" xr:uid="{00000000-0005-0000-0000-000009000000}"/>
    <cellStyle name="Normal 3 2" xfId="8" xr:uid="{00000000-0005-0000-0000-00000A000000}"/>
    <cellStyle name="Normal 4 2" xfId="9" xr:uid="{00000000-0005-0000-0000-00000B000000}"/>
    <cellStyle name="Porcentaje" xfId="3" builtinId="5"/>
    <cellStyle name="Porcentaje 2" xfId="10" xr:uid="{00000000-0005-0000-0000-00000C000000}"/>
    <cellStyle name="Porcentaje 2 3" xfId="11" xr:uid="{00000000-0005-0000-0000-00000D000000}"/>
    <cellStyle name="Porcentaje 2 4" xfId="12" xr:uid="{00000000-0005-0000-0000-00000E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EE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8D8D8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85623"/>
      <rgbColor rgb="FF993300"/>
      <rgbColor rgb="FF993366"/>
      <rgbColor rgb="FF333399"/>
      <rgbColor rgb="FF21252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85623"/>
  </sheetPr>
  <dimension ref="A3:AA89"/>
  <sheetViews>
    <sheetView tabSelected="1" topLeftCell="A22" zoomScale="70" zoomScaleNormal="70" workbookViewId="0">
      <selection activeCell="D10" sqref="D10"/>
    </sheetView>
  </sheetViews>
  <sheetFormatPr baseColWidth="10" defaultColWidth="14.5" defaultRowHeight="13"/>
  <cols>
    <col min="1" max="2" width="11.5" style="5" customWidth="1"/>
    <col min="3" max="3" width="61" style="5" customWidth="1"/>
    <col min="4" max="4" width="18.1640625" style="5" customWidth="1"/>
    <col min="5" max="5" width="14.33203125" style="5" customWidth="1"/>
    <col min="6" max="6" width="18.6640625" style="5" customWidth="1"/>
    <col min="7" max="7" width="15.5" style="5" customWidth="1"/>
    <col min="8" max="8" width="22.33203125" style="5" customWidth="1"/>
    <col min="9" max="9" width="35.5" style="5" hidden="1" customWidth="1"/>
    <col min="10" max="10" width="16.33203125" style="5" hidden="1" customWidth="1"/>
    <col min="11" max="11" width="19.33203125" style="5" hidden="1" customWidth="1"/>
    <col min="12" max="12" width="8.5" style="5" hidden="1" customWidth="1"/>
    <col min="13" max="13" width="7.1640625" style="5" hidden="1" customWidth="1"/>
    <col min="14" max="14" width="16.5" style="5" hidden="1" customWidth="1"/>
    <col min="15" max="15" width="4.83203125" style="5" customWidth="1"/>
    <col min="16" max="16" width="14.5" style="5"/>
    <col min="17" max="17" width="11.33203125" style="5" customWidth="1"/>
    <col min="18" max="18" width="37.33203125" style="5" customWidth="1"/>
    <col min="19" max="19" width="16.33203125" style="5" customWidth="1"/>
    <col min="20" max="20" width="18.33203125" style="6" customWidth="1"/>
    <col min="21" max="21" width="16.83203125" style="5" customWidth="1"/>
    <col min="22" max="22" width="15.33203125" style="5" customWidth="1"/>
    <col min="23" max="23" width="11.5" style="5" hidden="1" customWidth="1"/>
    <col min="24" max="24" width="14.5" style="5"/>
    <col min="25" max="25" width="11.5" style="5" hidden="1" customWidth="1"/>
    <col min="26" max="26" width="17.83203125" style="5" customWidth="1"/>
    <col min="27" max="16384" width="14.5" style="5"/>
  </cols>
  <sheetData>
    <row r="3" spans="1:11">
      <c r="A3" s="243" t="s">
        <v>199</v>
      </c>
      <c r="B3" s="244"/>
      <c r="C3" s="244"/>
      <c r="D3" s="244"/>
      <c r="E3" s="245"/>
    </row>
    <row r="4" spans="1:11">
      <c r="A4" s="237"/>
      <c r="B4" s="246" t="s">
        <v>200</v>
      </c>
      <c r="C4" s="247"/>
      <c r="D4" s="248"/>
      <c r="E4" s="238"/>
    </row>
    <row r="7" spans="1:11" ht="29.25" customHeight="1">
      <c r="B7" s="249" t="s">
        <v>0</v>
      </c>
      <c r="C7" s="249"/>
      <c r="D7" s="249"/>
      <c r="E7" s="249"/>
      <c r="F7" s="249"/>
      <c r="G7" s="249"/>
      <c r="H7" s="249"/>
      <c r="I7" s="7"/>
      <c r="J7" s="8"/>
      <c r="K7" s="8"/>
    </row>
    <row r="8" spans="1:11" ht="12.75" customHeight="1">
      <c r="B8" s="8"/>
      <c r="C8" s="8"/>
      <c r="D8" s="8"/>
      <c r="E8" s="8"/>
      <c r="F8" s="8"/>
      <c r="G8" s="8"/>
      <c r="H8" s="9"/>
      <c r="I8" s="8"/>
      <c r="J8" s="8"/>
      <c r="K8" s="8"/>
    </row>
    <row r="9" spans="1:11" ht="13.5" customHeight="1">
      <c r="B9" s="8"/>
      <c r="C9" s="8"/>
      <c r="D9" s="8"/>
      <c r="E9" s="8"/>
      <c r="F9" s="8"/>
      <c r="G9" s="8"/>
      <c r="H9" s="9"/>
      <c r="I9" s="8"/>
      <c r="J9" s="10"/>
      <c r="K9" s="8"/>
    </row>
    <row r="10" spans="1:11" ht="59.25" customHeight="1">
      <c r="B10" s="11" t="s">
        <v>1</v>
      </c>
      <c r="C10" s="12" t="s">
        <v>2</v>
      </c>
      <c r="D10" s="12" t="s">
        <v>3</v>
      </c>
      <c r="E10" s="12" t="s">
        <v>4</v>
      </c>
      <c r="F10" s="12" t="s">
        <v>5</v>
      </c>
      <c r="G10" s="12" t="s">
        <v>6</v>
      </c>
      <c r="H10" s="13" t="s">
        <v>7</v>
      </c>
      <c r="I10" s="8"/>
      <c r="J10" s="8"/>
      <c r="K10" s="8"/>
    </row>
    <row r="11" spans="1:11" ht="24" customHeight="1">
      <c r="B11" s="250" t="s">
        <v>8</v>
      </c>
      <c r="C11" s="250"/>
      <c r="D11" s="250"/>
      <c r="E11" s="250"/>
      <c r="F11" s="250"/>
      <c r="G11" s="250"/>
      <c r="H11" s="250"/>
      <c r="I11" s="14"/>
      <c r="J11" s="15"/>
      <c r="K11" s="16"/>
    </row>
    <row r="12" spans="1:11" ht="15">
      <c r="B12" s="17"/>
      <c r="C12" s="18" t="s">
        <v>9</v>
      </c>
      <c r="D12" s="19"/>
      <c r="E12" s="19"/>
      <c r="F12" s="19"/>
      <c r="G12" s="20"/>
      <c r="H12" s="21"/>
      <c r="I12" s="14"/>
      <c r="J12" s="22"/>
      <c r="K12" s="23"/>
    </row>
    <row r="13" spans="1:11" ht="15">
      <c r="B13" s="24"/>
      <c r="C13" s="25"/>
      <c r="D13" s="26"/>
      <c r="E13" s="26"/>
      <c r="F13" s="27"/>
      <c r="G13" s="28"/>
      <c r="H13" s="29"/>
      <c r="I13" s="14"/>
      <c r="J13" s="30"/>
      <c r="K13" s="30"/>
    </row>
    <row r="14" spans="1:11" ht="14.25" customHeight="1">
      <c r="B14" s="31"/>
      <c r="C14" s="32" t="s">
        <v>10</v>
      </c>
      <c r="D14" s="33"/>
      <c r="E14" s="33"/>
      <c r="F14" s="34"/>
      <c r="G14" s="35"/>
      <c r="H14" s="234">
        <f>SUM(H15:H16)</f>
        <v>9516912</v>
      </c>
      <c r="I14" s="16"/>
      <c r="J14" s="36"/>
      <c r="K14" s="36"/>
    </row>
    <row r="15" spans="1:11" ht="13.5" customHeight="1">
      <c r="B15" s="37">
        <v>1</v>
      </c>
      <c r="C15" s="38" t="s">
        <v>11</v>
      </c>
      <c r="D15" s="39">
        <v>6344608</v>
      </c>
      <c r="E15" s="40"/>
      <c r="F15" s="41">
        <v>1</v>
      </c>
      <c r="G15" s="42">
        <v>1.5</v>
      </c>
      <c r="H15" s="235">
        <f>ROUND(B15*(D15+E15)*F15*G15,0)</f>
        <v>9516912</v>
      </c>
      <c r="I15" s="16"/>
      <c r="J15" s="36"/>
      <c r="K15" s="36"/>
    </row>
    <row r="16" spans="1:11" ht="14.25" customHeight="1">
      <c r="B16" s="44"/>
      <c r="C16" s="45"/>
      <c r="D16" s="46"/>
      <c r="E16" s="46"/>
      <c r="F16" s="47"/>
      <c r="G16" s="48"/>
      <c r="H16" s="236"/>
      <c r="I16" s="16"/>
      <c r="J16" s="36"/>
      <c r="K16" s="36"/>
    </row>
    <row r="17" spans="2:11" ht="14.25" customHeight="1">
      <c r="B17" s="31"/>
      <c r="C17" s="32" t="s">
        <v>12</v>
      </c>
      <c r="D17" s="33"/>
      <c r="E17" s="33"/>
      <c r="F17" s="34"/>
      <c r="G17" s="35"/>
      <c r="H17" s="234">
        <f>SUM(H18:H19)</f>
        <v>25975650</v>
      </c>
      <c r="I17" s="16"/>
      <c r="J17" s="36"/>
      <c r="K17" s="36"/>
    </row>
    <row r="18" spans="2:11" ht="13.5" customHeight="1">
      <c r="B18" s="37">
        <v>5</v>
      </c>
      <c r="C18" s="38" t="s">
        <v>13</v>
      </c>
      <c r="D18" s="39">
        <v>3463420</v>
      </c>
      <c r="E18" s="40"/>
      <c r="F18" s="41">
        <v>1</v>
      </c>
      <c r="G18" s="42">
        <v>1.5</v>
      </c>
      <c r="H18" s="235">
        <f>ROUND(B18*(D18+E18)*G18*F18,0)</f>
        <v>25975650</v>
      </c>
      <c r="I18" s="16"/>
      <c r="J18" s="36"/>
      <c r="K18" s="36"/>
    </row>
    <row r="19" spans="2:11" ht="14.25" customHeight="1">
      <c r="B19" s="37"/>
      <c r="C19" s="38"/>
      <c r="D19" s="40"/>
      <c r="E19" s="40"/>
      <c r="F19" s="41"/>
      <c r="G19" s="42"/>
      <c r="H19" s="235"/>
      <c r="I19" s="16"/>
      <c r="J19" s="36"/>
      <c r="K19" s="36"/>
    </row>
    <row r="20" spans="2:11" ht="14.25" customHeight="1">
      <c r="B20" s="31"/>
      <c r="C20" s="32" t="s">
        <v>14</v>
      </c>
      <c r="D20" s="33"/>
      <c r="E20" s="33"/>
      <c r="F20" s="34"/>
      <c r="G20" s="35"/>
      <c r="H20" s="234">
        <f>SUM(H21:H27)</f>
        <v>89638235</v>
      </c>
      <c r="I20" s="16"/>
      <c r="J20" s="36"/>
      <c r="K20" s="36"/>
    </row>
    <row r="21" spans="2:11" ht="13.5" customHeight="1">
      <c r="B21" s="37"/>
      <c r="C21" s="38"/>
      <c r="D21" s="40"/>
      <c r="E21" s="40"/>
      <c r="F21" s="41"/>
      <c r="G21" s="42"/>
      <c r="H21" s="235"/>
      <c r="I21" s="16"/>
      <c r="J21" s="36"/>
      <c r="K21" s="36"/>
    </row>
    <row r="22" spans="2:11" ht="13.5" customHeight="1">
      <c r="B22" s="37">
        <v>10</v>
      </c>
      <c r="C22" s="38" t="s">
        <v>15</v>
      </c>
      <c r="D22" s="39">
        <v>2171747</v>
      </c>
      <c r="E22" s="40"/>
      <c r="F22" s="41">
        <v>1</v>
      </c>
      <c r="G22" s="42">
        <v>1.5</v>
      </c>
      <c r="H22" s="235">
        <f t="shared" ref="H22:H27" si="0">ROUND(+B22*(D22+E22)*F22*G22,0)</f>
        <v>32576205</v>
      </c>
      <c r="I22" s="16"/>
      <c r="J22" s="36"/>
      <c r="K22" s="36"/>
    </row>
    <row r="23" spans="2:11" ht="13.5" customHeight="1">
      <c r="B23" s="37">
        <v>5</v>
      </c>
      <c r="C23" s="38" t="s">
        <v>16</v>
      </c>
      <c r="D23" s="39">
        <v>3463420</v>
      </c>
      <c r="E23" s="40"/>
      <c r="F23" s="41">
        <v>1</v>
      </c>
      <c r="G23" s="42">
        <v>1.5</v>
      </c>
      <c r="H23" s="235">
        <f t="shared" si="0"/>
        <v>25975650</v>
      </c>
      <c r="I23" s="16"/>
      <c r="J23" s="36"/>
      <c r="K23" s="36"/>
    </row>
    <row r="24" spans="2:11" ht="13.5" customHeight="1">
      <c r="B24" s="37">
        <v>5</v>
      </c>
      <c r="C24" s="38" t="s">
        <v>17</v>
      </c>
      <c r="D24" s="39">
        <v>2171747</v>
      </c>
      <c r="E24" s="40"/>
      <c r="F24" s="41">
        <v>1</v>
      </c>
      <c r="G24" s="42">
        <v>1.5</v>
      </c>
      <c r="H24" s="235">
        <f t="shared" si="0"/>
        <v>16288103</v>
      </c>
      <c r="I24" s="16"/>
      <c r="J24" s="36"/>
      <c r="K24" s="36"/>
    </row>
    <row r="25" spans="2:11" ht="13.5" customHeight="1">
      <c r="B25" s="37">
        <v>1</v>
      </c>
      <c r="C25" s="38" t="s">
        <v>18</v>
      </c>
      <c r="D25" s="39">
        <v>3463420</v>
      </c>
      <c r="E25" s="40"/>
      <c r="F25" s="41">
        <v>1</v>
      </c>
      <c r="G25" s="42">
        <v>1.5</v>
      </c>
      <c r="H25" s="235">
        <f t="shared" si="0"/>
        <v>5195130</v>
      </c>
      <c r="I25" s="16"/>
      <c r="J25" s="36"/>
      <c r="K25" s="36"/>
    </row>
    <row r="26" spans="2:11" ht="13.5" customHeight="1">
      <c r="B26" s="37">
        <v>1</v>
      </c>
      <c r="C26" s="38" t="s">
        <v>19</v>
      </c>
      <c r="D26" s="39">
        <v>3463420</v>
      </c>
      <c r="E26" s="40"/>
      <c r="F26" s="41">
        <v>1</v>
      </c>
      <c r="G26" s="49">
        <v>1.5</v>
      </c>
      <c r="H26" s="235">
        <f t="shared" si="0"/>
        <v>5195130</v>
      </c>
      <c r="I26" s="16"/>
      <c r="J26" s="36"/>
      <c r="K26" s="36"/>
    </row>
    <row r="27" spans="2:11" ht="14.25" customHeight="1">
      <c r="B27" s="37">
        <v>1</v>
      </c>
      <c r="C27" s="38" t="s">
        <v>20</v>
      </c>
      <c r="D27" s="39">
        <v>2938678</v>
      </c>
      <c r="E27" s="40"/>
      <c r="F27" s="41">
        <v>1</v>
      </c>
      <c r="G27" s="49">
        <v>1.5</v>
      </c>
      <c r="H27" s="235">
        <f t="shared" si="0"/>
        <v>4408017</v>
      </c>
      <c r="I27" s="16"/>
      <c r="J27" s="36"/>
      <c r="K27" s="36"/>
    </row>
    <row r="28" spans="2:11" ht="14.25" customHeight="1">
      <c r="B28" s="31"/>
      <c r="C28" s="32" t="s">
        <v>21</v>
      </c>
      <c r="D28" s="33"/>
      <c r="E28" s="33"/>
      <c r="F28" s="34"/>
      <c r="G28" s="35"/>
      <c r="H28" s="234">
        <f>SUM(H29:H32)</f>
        <v>5859774</v>
      </c>
      <c r="I28" s="16"/>
      <c r="J28" s="36"/>
      <c r="K28" s="36"/>
    </row>
    <row r="29" spans="2:11" ht="13.5" customHeight="1">
      <c r="B29" s="37">
        <v>1</v>
      </c>
      <c r="C29" s="38" t="s">
        <v>22</v>
      </c>
      <c r="D29" s="40">
        <v>2171747</v>
      </c>
      <c r="E29" s="40"/>
      <c r="F29" s="41">
        <v>0.5</v>
      </c>
      <c r="G29" s="42">
        <v>1.5</v>
      </c>
      <c r="H29" s="235">
        <f>ROUND(+B29*(D29+E29)*G29*F29,0)</f>
        <v>1628810</v>
      </c>
      <c r="I29" s="16"/>
      <c r="J29" s="36"/>
      <c r="K29" s="36"/>
    </row>
    <row r="30" spans="2:11" ht="14.25" customHeight="1">
      <c r="B30" s="37">
        <v>1</v>
      </c>
      <c r="C30" s="38" t="s">
        <v>23</v>
      </c>
      <c r="D30" s="26">
        <v>1776662</v>
      </c>
      <c r="E30" s="40"/>
      <c r="F30" s="41">
        <v>0.5</v>
      </c>
      <c r="G30" s="42">
        <v>1.5</v>
      </c>
      <c r="H30" s="235">
        <f>ROUND(+B30*(D30+E30)*G30*F30,0)</f>
        <v>1332497</v>
      </c>
      <c r="I30" s="16"/>
      <c r="J30" s="50"/>
      <c r="K30" s="36"/>
    </row>
    <row r="31" spans="2:11" ht="13.5" customHeight="1">
      <c r="B31" s="24">
        <v>1</v>
      </c>
      <c r="C31" s="25" t="s">
        <v>24</v>
      </c>
      <c r="D31" s="40">
        <v>2087959.6014608999</v>
      </c>
      <c r="E31" s="26"/>
      <c r="F31" s="41">
        <v>0.5</v>
      </c>
      <c r="G31" s="42">
        <v>1.5</v>
      </c>
      <c r="H31" s="235">
        <f>ROUND(+B31*(D31+E31)*G31*F31,0)</f>
        <v>1565970</v>
      </c>
      <c r="I31" s="16"/>
      <c r="J31" s="36"/>
      <c r="K31" s="36"/>
    </row>
    <row r="32" spans="2:11" ht="14.25" customHeight="1">
      <c r="B32" s="24">
        <v>1</v>
      </c>
      <c r="C32" s="25" t="s">
        <v>25</v>
      </c>
      <c r="D32" s="26">
        <v>1776662</v>
      </c>
      <c r="E32" s="26"/>
      <c r="F32" s="41">
        <v>0.5</v>
      </c>
      <c r="G32" s="42">
        <v>1.5</v>
      </c>
      <c r="H32" s="235">
        <f>ROUND(+B32*(D32+E32)*G32*F32,0)</f>
        <v>1332497</v>
      </c>
      <c r="I32" s="16"/>
      <c r="J32" s="50"/>
      <c r="K32" s="50"/>
    </row>
    <row r="33" spans="2:25" ht="15">
      <c r="B33" s="37"/>
      <c r="C33" s="38"/>
      <c r="D33" s="39"/>
      <c r="E33" s="40"/>
      <c r="F33" s="41"/>
      <c r="G33" s="42"/>
      <c r="H33" s="43"/>
      <c r="I33" s="14"/>
      <c r="J33" s="51"/>
      <c r="K33" s="51"/>
    </row>
    <row r="34" spans="2:25" ht="13.5" customHeight="1">
      <c r="B34" s="52"/>
      <c r="C34" s="53" t="s">
        <v>26</v>
      </c>
      <c r="D34" s="54"/>
      <c r="E34" s="54"/>
      <c r="F34" s="54"/>
      <c r="G34" s="55"/>
      <c r="H34" s="56">
        <f>H14+H17+H20+H28</f>
        <v>130990571</v>
      </c>
      <c r="I34" s="8"/>
      <c r="J34" s="9"/>
      <c r="K34" s="57"/>
    </row>
    <row r="35" spans="2:25" ht="13.5" customHeight="1">
      <c r="B35" s="52"/>
      <c r="C35" s="53" t="s">
        <v>27</v>
      </c>
      <c r="D35" s="54"/>
      <c r="E35" s="54"/>
      <c r="F35" s="54"/>
      <c r="G35" s="55"/>
      <c r="H35" s="58">
        <f>'FactorMultiplicador '!I40</f>
        <v>1.96</v>
      </c>
      <c r="I35" s="8"/>
      <c r="J35" s="8"/>
      <c r="K35" s="8"/>
    </row>
    <row r="36" spans="2:25" ht="15.75" customHeight="1">
      <c r="B36" s="59"/>
      <c r="C36" s="53" t="s">
        <v>28</v>
      </c>
      <c r="D36" s="60"/>
      <c r="E36" s="60"/>
      <c r="F36" s="60"/>
      <c r="G36" s="60"/>
      <c r="H36" s="56">
        <f>ROUND(+H34*H35,0)</f>
        <v>256741519</v>
      </c>
      <c r="I36" s="8"/>
      <c r="J36" s="8"/>
      <c r="K36" s="8"/>
    </row>
    <row r="37" spans="2:25" ht="15.75" customHeight="1">
      <c r="B37" s="61"/>
      <c r="C37" s="62"/>
      <c r="D37" s="63"/>
      <c r="E37" s="63"/>
      <c r="F37" s="63"/>
      <c r="G37" s="63"/>
      <c r="H37" s="64"/>
      <c r="I37" s="9"/>
      <c r="J37" s="8"/>
      <c r="K37" s="8"/>
    </row>
    <row r="38" spans="2:25" ht="15.75" customHeight="1">
      <c r="B38" s="65"/>
      <c r="C38" s="66"/>
      <c r="D38" s="67"/>
      <c r="E38" s="67" t="s">
        <v>29</v>
      </c>
      <c r="F38" s="67"/>
      <c r="G38" s="68" t="s">
        <v>30</v>
      </c>
      <c r="H38" s="69" t="s">
        <v>31</v>
      </c>
      <c r="I38" s="8"/>
      <c r="J38" s="8"/>
      <c r="K38" s="8"/>
    </row>
    <row r="39" spans="2:25" ht="15.75" customHeight="1">
      <c r="B39" s="70" t="s">
        <v>32</v>
      </c>
      <c r="C39" s="71" t="s">
        <v>33</v>
      </c>
      <c r="D39" s="72" t="s">
        <v>34</v>
      </c>
      <c r="E39" s="72" t="s">
        <v>35</v>
      </c>
      <c r="F39" s="72"/>
      <c r="G39" s="73" t="s">
        <v>36</v>
      </c>
      <c r="H39" s="74" t="s">
        <v>37</v>
      </c>
    </row>
    <row r="40" spans="2:25" ht="15.75" customHeight="1">
      <c r="B40" s="75" t="s">
        <v>38</v>
      </c>
      <c r="C40" s="76"/>
      <c r="D40" s="77"/>
      <c r="E40" s="77" t="s">
        <v>39</v>
      </c>
      <c r="F40" s="77"/>
      <c r="G40" s="78" t="s">
        <v>40</v>
      </c>
      <c r="H40" s="79" t="s">
        <v>41</v>
      </c>
    </row>
    <row r="41" spans="2:25" ht="24.75" customHeight="1">
      <c r="B41" s="250" t="s">
        <v>42</v>
      </c>
      <c r="C41" s="250"/>
      <c r="D41" s="250"/>
      <c r="E41" s="250"/>
      <c r="F41" s="250"/>
      <c r="G41" s="250"/>
      <c r="H41" s="250"/>
    </row>
    <row r="42" spans="2:25" ht="23.25" customHeight="1">
      <c r="B42" s="17"/>
      <c r="C42" s="18" t="s">
        <v>43</v>
      </c>
      <c r="D42" s="19"/>
      <c r="E42" s="19"/>
      <c r="F42" s="19"/>
      <c r="G42" s="20"/>
      <c r="H42" s="80">
        <f>SUM(H43:H45)</f>
        <v>42514683</v>
      </c>
    </row>
    <row r="43" spans="2:25" ht="15.75" customHeight="1">
      <c r="B43" s="81">
        <v>1</v>
      </c>
      <c r="C43" s="38" t="s">
        <v>44</v>
      </c>
      <c r="D43" s="82" t="s">
        <v>45</v>
      </c>
      <c r="E43" s="83">
        <v>4116000</v>
      </c>
      <c r="F43" s="41">
        <v>0.5</v>
      </c>
      <c r="G43" s="42">
        <v>1.5</v>
      </c>
      <c r="H43" s="43">
        <f>ROUND(+B43*(0+E43)*G43*F43,0)</f>
        <v>3087000</v>
      </c>
    </row>
    <row r="44" spans="2:25" ht="15.75" customHeight="1">
      <c r="B44" s="84">
        <v>1</v>
      </c>
      <c r="C44" s="25" t="s">
        <v>46</v>
      </c>
      <c r="D44" s="82" t="s">
        <v>45</v>
      </c>
      <c r="E44" s="83">
        <v>7625966.5</v>
      </c>
      <c r="F44" s="41">
        <v>1</v>
      </c>
      <c r="G44" s="42">
        <v>1.5</v>
      </c>
      <c r="H44" s="43">
        <f>ROUND(+B44*(0+E44)*G44*F44,0)</f>
        <v>11438950</v>
      </c>
      <c r="I44" s="85"/>
      <c r="K44" s="86"/>
      <c r="N44" s="87"/>
      <c r="S44" s="88"/>
      <c r="T44" s="89"/>
      <c r="U44" s="88"/>
      <c r="V44" s="88"/>
      <c r="W44" s="88"/>
      <c r="X44" s="88"/>
    </row>
    <row r="45" spans="2:25" ht="15.75" customHeight="1">
      <c r="B45" s="90">
        <v>5</v>
      </c>
      <c r="C45" s="25" t="s">
        <v>47</v>
      </c>
      <c r="D45" s="91" t="s">
        <v>45</v>
      </c>
      <c r="E45" s="92">
        <v>3731831</v>
      </c>
      <c r="F45" s="27">
        <v>1</v>
      </c>
      <c r="G45" s="28">
        <v>1.5</v>
      </c>
      <c r="H45" s="29">
        <f>ROUND(+B45*(0+E45)*G45*F45,0)</f>
        <v>27988733</v>
      </c>
      <c r="I45" s="85"/>
      <c r="K45" s="86"/>
      <c r="N45" s="87"/>
      <c r="R45" s="88"/>
      <c r="S45" s="88"/>
      <c r="T45" s="89"/>
      <c r="U45" s="88"/>
      <c r="V45" s="93"/>
      <c r="W45" s="88"/>
      <c r="X45" s="88"/>
      <c r="Y45" s="5">
        <f>SUM(Y43:Y43)</f>
        <v>0</v>
      </c>
    </row>
    <row r="46" spans="2:25" ht="20.25" customHeight="1">
      <c r="B46" s="59"/>
      <c r="C46" s="53" t="s">
        <v>48</v>
      </c>
      <c r="D46" s="94"/>
      <c r="E46" s="94"/>
      <c r="F46" s="94"/>
      <c r="G46" s="95"/>
      <c r="H46" s="56">
        <f>H42</f>
        <v>42514683</v>
      </c>
      <c r="N46" s="87"/>
      <c r="R46" s="88"/>
      <c r="S46" s="88"/>
      <c r="T46" s="89"/>
      <c r="U46" s="88"/>
      <c r="V46" s="88"/>
      <c r="W46" s="88"/>
      <c r="X46" s="88"/>
      <c r="Y46" s="96"/>
    </row>
    <row r="47" spans="2:25" ht="15.75" customHeight="1">
      <c r="B47" s="97"/>
      <c r="C47" s="98"/>
      <c r="D47" s="8"/>
      <c r="E47" s="8"/>
      <c r="F47" s="8"/>
      <c r="G47" s="8"/>
      <c r="H47" s="99"/>
      <c r="N47" s="87"/>
    </row>
    <row r="48" spans="2:25" ht="26.25" customHeight="1">
      <c r="B48" s="239" t="s">
        <v>49</v>
      </c>
      <c r="C48" s="239"/>
      <c r="D48" s="239"/>
      <c r="E48" s="239"/>
      <c r="F48" s="239"/>
      <c r="G48" s="239"/>
      <c r="H48" s="100">
        <f>H46+H36</f>
        <v>299256202</v>
      </c>
    </row>
    <row r="49" spans="2:27" ht="15.75" customHeight="1">
      <c r="B49" s="61"/>
      <c r="C49" s="62"/>
      <c r="D49" s="63"/>
      <c r="E49" s="63"/>
      <c r="F49" s="63"/>
      <c r="G49" s="63"/>
      <c r="H49" s="64"/>
      <c r="I49" s="92"/>
    </row>
    <row r="50" spans="2:27" ht="24.75" customHeight="1">
      <c r="B50" s="250" t="s">
        <v>50</v>
      </c>
      <c r="C50" s="250"/>
      <c r="D50" s="250"/>
      <c r="E50" s="250"/>
      <c r="F50" s="250"/>
      <c r="G50" s="250"/>
      <c r="H50" s="250"/>
    </row>
    <row r="51" spans="2:27" ht="23.25" customHeight="1">
      <c r="B51" s="17"/>
      <c r="C51" s="18" t="s">
        <v>51</v>
      </c>
      <c r="D51" s="19"/>
      <c r="E51" s="19"/>
      <c r="F51" s="19"/>
      <c r="G51" s="20"/>
      <c r="H51" s="21"/>
    </row>
    <row r="52" spans="2:27" ht="15.75" customHeight="1">
      <c r="B52" s="31"/>
      <c r="C52" s="32" t="s">
        <v>52</v>
      </c>
      <c r="D52" s="33"/>
      <c r="E52" s="33"/>
      <c r="F52" s="34"/>
      <c r="G52" s="35"/>
      <c r="H52" s="101">
        <f>SUM(H53:H58)</f>
        <v>9105926</v>
      </c>
    </row>
    <row r="53" spans="2:27" ht="15.75" customHeight="1">
      <c r="B53" s="37">
        <v>1</v>
      </c>
      <c r="C53" s="38" t="s">
        <v>53</v>
      </c>
      <c r="D53" s="40">
        <v>3463420</v>
      </c>
      <c r="E53" s="40"/>
      <c r="F53" s="41">
        <v>0.3</v>
      </c>
      <c r="G53" s="42">
        <v>1.5</v>
      </c>
      <c r="H53" s="43">
        <f>ROUND(+B53*(D53+E53)*F53*G53,0)</f>
        <v>1558539</v>
      </c>
      <c r="I53" s="16"/>
    </row>
    <row r="54" spans="2:27" ht="15.75" customHeight="1">
      <c r="B54" s="24">
        <v>1</v>
      </c>
      <c r="C54" s="25" t="s">
        <v>54</v>
      </c>
      <c r="D54" s="40">
        <v>3463420</v>
      </c>
      <c r="E54" s="40"/>
      <c r="F54" s="41">
        <v>0.3</v>
      </c>
      <c r="G54" s="42">
        <v>1.5</v>
      </c>
      <c r="H54" s="43">
        <f>ROUND(+B54*(D54+E54)*F54*G54,0)</f>
        <v>1558539</v>
      </c>
      <c r="I54" s="16"/>
    </row>
    <row r="55" spans="2:27" ht="15.75" customHeight="1">
      <c r="B55" s="24">
        <v>1</v>
      </c>
      <c r="C55" s="25" t="s">
        <v>55</v>
      </c>
      <c r="D55" s="39">
        <v>4786283</v>
      </c>
      <c r="E55" s="26"/>
      <c r="F55" s="41">
        <v>0.4</v>
      </c>
      <c r="G55" s="42">
        <v>1.5</v>
      </c>
      <c r="H55" s="43">
        <f>ROUND(+B55*(D55+E55)*F55*G55,0)</f>
        <v>2871770</v>
      </c>
      <c r="I55" s="16"/>
    </row>
    <row r="56" spans="2:27" ht="15.75" customHeight="1">
      <c r="B56" s="24">
        <v>1</v>
      </c>
      <c r="C56" s="25" t="s">
        <v>56</v>
      </c>
      <c r="D56" s="39">
        <v>3463420</v>
      </c>
      <c r="E56" s="26"/>
      <c r="F56" s="41">
        <v>0.3</v>
      </c>
      <c r="G56" s="42">
        <v>1.5</v>
      </c>
      <c r="H56" s="43">
        <f>ROUND(+B56*(D56+E56)*F56*G56,0)</f>
        <v>1558539</v>
      </c>
      <c r="I56" s="16"/>
    </row>
    <row r="57" spans="2:27" ht="15.75" customHeight="1">
      <c r="B57" s="24">
        <v>1</v>
      </c>
      <c r="C57" s="25" t="s">
        <v>57</v>
      </c>
      <c r="D57" s="39">
        <v>3463420</v>
      </c>
      <c r="E57" s="26"/>
      <c r="F57" s="41">
        <v>0.3</v>
      </c>
      <c r="G57" s="42">
        <v>1.5</v>
      </c>
      <c r="H57" s="43">
        <f>ROUND(+B57*(D57+E57)*F57*G57,0)</f>
        <v>1558539</v>
      </c>
      <c r="I57" s="16"/>
    </row>
    <row r="58" spans="2:27" ht="15.75" customHeight="1">
      <c r="B58" s="24"/>
      <c r="C58" s="25"/>
      <c r="D58" s="26"/>
      <c r="E58" s="26"/>
      <c r="F58" s="41"/>
      <c r="G58" s="42"/>
      <c r="H58" s="43"/>
      <c r="I58" s="8"/>
    </row>
    <row r="59" spans="2:27" ht="31.5" customHeight="1">
      <c r="B59" s="52"/>
      <c r="C59" s="53" t="s">
        <v>26</v>
      </c>
      <c r="D59" s="54"/>
      <c r="E59" s="54"/>
      <c r="F59" s="54"/>
      <c r="G59" s="55"/>
      <c r="H59" s="56">
        <f>H52</f>
        <v>9105926</v>
      </c>
      <c r="I59" s="9"/>
    </row>
    <row r="60" spans="2:27" ht="15.75" customHeight="1">
      <c r="B60" s="52"/>
      <c r="C60" s="53" t="s">
        <v>27</v>
      </c>
      <c r="D60" s="54"/>
      <c r="E60" s="54"/>
      <c r="F60" s="54"/>
      <c r="G60" s="55"/>
      <c r="H60" s="102">
        <f>'FactorMultiplicador '!I40</f>
        <v>1.96</v>
      </c>
      <c r="I60" s="103"/>
    </row>
    <row r="61" spans="2:27" ht="15.75" customHeight="1">
      <c r="B61" s="59"/>
      <c r="C61" s="53" t="s">
        <v>28</v>
      </c>
      <c r="D61" s="60"/>
      <c r="E61" s="60"/>
      <c r="F61" s="60"/>
      <c r="G61" s="60"/>
      <c r="H61" s="56">
        <f>ROUND(+H59*H60,0)</f>
        <v>17847615</v>
      </c>
      <c r="J61" s="103"/>
    </row>
    <row r="62" spans="2:27" ht="15.75" customHeight="1">
      <c r="B62" s="97"/>
      <c r="C62" s="98"/>
      <c r="D62" s="8"/>
      <c r="E62" s="8"/>
      <c r="F62" s="8"/>
      <c r="G62" s="8"/>
      <c r="H62" s="104"/>
      <c r="I62" s="8"/>
      <c r="AA62" s="105"/>
    </row>
    <row r="63" spans="2:27" ht="26.25" customHeight="1">
      <c r="B63" s="239" t="s">
        <v>58</v>
      </c>
      <c r="C63" s="239"/>
      <c r="D63" s="239"/>
      <c r="E63" s="239"/>
      <c r="F63" s="239"/>
      <c r="G63" s="239"/>
      <c r="H63" s="106">
        <f>H61</f>
        <v>17847615</v>
      </c>
      <c r="I63" s="9"/>
    </row>
    <row r="64" spans="2:27" ht="15.75" customHeight="1">
      <c r="B64" s="97"/>
      <c r="C64" s="98"/>
      <c r="D64" s="8"/>
      <c r="E64" s="8"/>
      <c r="F64" s="8"/>
      <c r="G64" s="8"/>
      <c r="H64" s="104"/>
      <c r="I64" s="8"/>
    </row>
    <row r="65" spans="2:26" ht="15.75" customHeight="1">
      <c r="B65" s="61"/>
      <c r="C65" s="107" t="s">
        <v>59</v>
      </c>
      <c r="D65" s="63"/>
      <c r="E65" s="63"/>
      <c r="F65" s="63"/>
      <c r="G65" s="63"/>
      <c r="H65" s="108">
        <f>H48+H63</f>
        <v>317103817</v>
      </c>
      <c r="I65" s="9"/>
    </row>
    <row r="66" spans="2:26" ht="30.75" customHeight="1">
      <c r="B66" s="97"/>
      <c r="C66" s="109" t="s">
        <v>60</v>
      </c>
      <c r="D66" s="110" t="s">
        <v>61</v>
      </c>
      <c r="E66" s="110" t="s">
        <v>62</v>
      </c>
      <c r="F66" s="8"/>
      <c r="G66" s="8"/>
      <c r="H66" s="111"/>
      <c r="I66" s="9"/>
      <c r="P66" s="240" t="s">
        <v>63</v>
      </c>
      <c r="Q66" s="240"/>
    </row>
    <row r="67" spans="2:26" ht="33" customHeight="1">
      <c r="B67" s="97"/>
      <c r="C67" s="109" t="s">
        <v>64</v>
      </c>
      <c r="D67" s="112">
        <f>Polizas_Impuestos!I9</f>
        <v>6.5700000000000003E-3</v>
      </c>
      <c r="E67" s="113">
        <f>IF($H$65=0,0,H67/$H$65)</f>
        <v>7.6983463116118847E-3</v>
      </c>
      <c r="F67" s="8"/>
      <c r="H67" s="111">
        <f>ROUND($P$68*D67,0)</f>
        <v>2441175</v>
      </c>
      <c r="I67" s="9"/>
      <c r="P67" s="240"/>
      <c r="Q67" s="240"/>
      <c r="S67" s="6"/>
    </row>
    <row r="68" spans="2:26" ht="30" customHeight="1">
      <c r="B68" s="97"/>
      <c r="C68" s="109" t="s">
        <v>65</v>
      </c>
      <c r="D68" s="114">
        <f>Polizas_Impuestos!I19</f>
        <v>0.14000000000000001</v>
      </c>
      <c r="E68" s="113">
        <f>IF($H$65=0,0,H68/$H$65)</f>
        <v>0.16404391625471981</v>
      </c>
      <c r="F68" s="8"/>
      <c r="H68" s="111">
        <f>ROUND($P$68*D68,0)</f>
        <v>52018952</v>
      </c>
      <c r="I68" s="9"/>
      <c r="P68" s="241">
        <f>ROUND(H65/(1-D67-D68),0)</f>
        <v>371563944</v>
      </c>
      <c r="Q68" s="241"/>
      <c r="S68" s="6"/>
      <c r="U68" s="6"/>
    </row>
    <row r="69" spans="2:26" ht="15.75" customHeight="1">
      <c r="B69" s="115"/>
      <c r="C69" s="116" t="s">
        <v>66</v>
      </c>
      <c r="D69" s="117">
        <v>0.19</v>
      </c>
      <c r="E69" s="118">
        <f>IF($H$65=0,0,H69/$H$65)</f>
        <v>0.22263102875232813</v>
      </c>
      <c r="F69" s="119"/>
      <c r="G69" s="119"/>
      <c r="H69" s="120">
        <f>ROUND(D69*SUM(H65:H68),0)</f>
        <v>70597149</v>
      </c>
      <c r="I69" s="9"/>
    </row>
    <row r="70" spans="2:26" ht="15.75" customHeight="1">
      <c r="B70" s="121"/>
      <c r="C70" s="122" t="s">
        <v>67</v>
      </c>
      <c r="D70" s="123"/>
      <c r="E70" s="123"/>
      <c r="F70" s="123"/>
      <c r="G70" s="123"/>
      <c r="H70" s="124">
        <f>H65+H67+H68+H69</f>
        <v>442161093</v>
      </c>
      <c r="J70" s="125"/>
      <c r="R70" s="126"/>
    </row>
    <row r="71" spans="2:26" ht="15" customHeight="1">
      <c r="P71" s="127"/>
    </row>
    <row r="72" spans="2:26" ht="15" hidden="1" customHeight="1">
      <c r="I72" s="6">
        <f>H78-H70</f>
        <v>-38523190</v>
      </c>
      <c r="J72" s="5" t="s">
        <v>68</v>
      </c>
    </row>
    <row r="73" spans="2:26" ht="15" hidden="1" customHeight="1"/>
    <row r="74" spans="2:26" ht="15" hidden="1" customHeight="1"/>
    <row r="75" spans="2:26" ht="15.75" hidden="1" customHeight="1">
      <c r="C75" s="128" t="s">
        <v>69</v>
      </c>
    </row>
    <row r="76" spans="2:26" ht="15.75" hidden="1" customHeight="1">
      <c r="C76" s="110" t="s">
        <v>70</v>
      </c>
    </row>
    <row r="77" spans="2:26" ht="15" hidden="1" customHeight="1"/>
    <row r="78" spans="2:26" ht="15" hidden="1" customHeight="1">
      <c r="D78" s="242" t="s">
        <v>71</v>
      </c>
      <c r="E78" s="242"/>
      <c r="F78" s="242"/>
      <c r="G78" s="242"/>
      <c r="H78" s="129">
        <v>403637903</v>
      </c>
      <c r="Q78" s="6"/>
      <c r="R78" s="6"/>
      <c r="Y78" s="6"/>
      <c r="Z78" s="130"/>
    </row>
    <row r="80" spans="2:26" ht="21" hidden="1" customHeight="1">
      <c r="G80" s="131" t="s">
        <v>72</v>
      </c>
      <c r="H80" s="132"/>
      <c r="I80" s="133"/>
    </row>
    <row r="81" spans="7:20" ht="15" hidden="1" customHeight="1">
      <c r="G81" s="134"/>
      <c r="H81" s="135"/>
      <c r="I81" s="136"/>
      <c r="R81" s="137"/>
      <c r="S81" s="138"/>
      <c r="T81" s="138"/>
    </row>
    <row r="82" spans="7:20" ht="15" hidden="1" customHeight="1">
      <c r="G82" s="134"/>
      <c r="H82" s="139">
        <v>540822123</v>
      </c>
      <c r="I82" s="136" t="s">
        <v>73</v>
      </c>
      <c r="R82" s="138"/>
      <c r="S82" s="138"/>
      <c r="T82" s="138"/>
    </row>
    <row r="83" spans="7:20" ht="15" hidden="1" customHeight="1">
      <c r="G83" s="134"/>
      <c r="H83" s="135"/>
      <c r="I83" s="136"/>
      <c r="R83" s="138"/>
      <c r="S83" s="140"/>
      <c r="T83" s="138"/>
    </row>
    <row r="84" spans="7:20" ht="15" hidden="1" customHeight="1">
      <c r="G84" s="141"/>
      <c r="H84" s="142"/>
      <c r="I84" s="143"/>
      <c r="R84" s="138"/>
      <c r="S84" s="138"/>
      <c r="T84" s="138"/>
    </row>
    <row r="85" spans="7:20" ht="15" customHeight="1">
      <c r="G85" s="144" t="s">
        <v>72</v>
      </c>
      <c r="H85" s="145"/>
      <c r="I85" s="146"/>
      <c r="R85" s="138"/>
      <c r="S85" s="138"/>
      <c r="T85" s="138"/>
    </row>
    <row r="86" spans="7:20" ht="15" customHeight="1">
      <c r="G86" s="147"/>
      <c r="H86" s="138"/>
      <c r="I86" s="148"/>
    </row>
    <row r="87" spans="7:20" ht="15" customHeight="1">
      <c r="G87" s="147"/>
      <c r="H87" s="149">
        <v>442161094</v>
      </c>
      <c r="I87" s="148"/>
    </row>
    <row r="88" spans="7:20" ht="15" customHeight="1">
      <c r="G88" s="150"/>
      <c r="H88" s="151"/>
      <c r="I88" s="152"/>
    </row>
    <row r="89" spans="7:20" ht="15" customHeight="1">
      <c r="G89" s="138"/>
      <c r="H89" s="138"/>
      <c r="I89" s="138"/>
    </row>
  </sheetData>
  <mergeCells count="11">
    <mergeCell ref="B63:G63"/>
    <mergeCell ref="P66:Q67"/>
    <mergeCell ref="P68:Q68"/>
    <mergeCell ref="D78:G78"/>
    <mergeCell ref="A3:E3"/>
    <mergeCell ref="B4:D4"/>
    <mergeCell ref="B7:H7"/>
    <mergeCell ref="B11:H11"/>
    <mergeCell ref="B41:H41"/>
    <mergeCell ref="B48:G48"/>
    <mergeCell ref="B50:H50"/>
  </mergeCells>
  <printOptions horizontalCentered="1"/>
  <pageMargins left="0.51180555555555596" right="0.51180555555555596" top="1.1812499999999999" bottom="0.94513888888888897" header="0.39374999999999999" footer="0.39374999999999999"/>
  <pageSetup scale="46" orientation="portrait" horizontalDpi="300" verticalDpi="300"/>
  <headerFooter>
    <oddHeader>&amp;C&amp;18 SECRETARIA DEL DEPORTE Y LA RECREACION_x005F_x000a_CONCURSO DE MERITOS No.4162.010.32.1.1269-2026_x005F_x000a_PRESUPUESTO OFICIAL</oddHeader>
    <oddFooter>&amp;C&amp;12 REALIZAR LA INTERVENTORÍA INTEGRAL: TÉCNICA, ADMINISTRATIVA, FINANCIERA, JURÍDICA, SOCIAL Y AMBIENTAL AL CONTRATO DE OBRA DERIVADO DEL PROCESO LICITATORIO No. 4162.010.32.1.1269-2026.&amp;R&amp;N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85623"/>
  </sheetPr>
  <dimension ref="B3:L41"/>
  <sheetViews>
    <sheetView topLeftCell="A16" zoomScaleNormal="100" zoomScalePageLayoutView="120" workbookViewId="0">
      <selection activeCell="O10" sqref="O10"/>
    </sheetView>
  </sheetViews>
  <sheetFormatPr baseColWidth="10" defaultColWidth="14.5" defaultRowHeight="15"/>
  <cols>
    <col min="1" max="1" width="10.6640625" customWidth="1"/>
    <col min="2" max="2" width="12.6640625" customWidth="1"/>
    <col min="3" max="8" width="10.6640625" customWidth="1"/>
    <col min="9" max="9" width="10.33203125" customWidth="1"/>
    <col min="10" max="10" width="4.83203125" hidden="1" customWidth="1"/>
    <col min="11" max="11" width="6.5" hidden="1" customWidth="1"/>
    <col min="12" max="12" width="14" hidden="1" customWidth="1"/>
    <col min="13" max="14" width="7" customWidth="1"/>
  </cols>
  <sheetData>
    <row r="3" spans="2:11" ht="12" customHeight="1">
      <c r="B3" s="251" t="s">
        <v>74</v>
      </c>
      <c r="C3" s="251"/>
      <c r="D3" s="251"/>
      <c r="E3" s="251"/>
      <c r="F3" s="251"/>
      <c r="G3" s="251"/>
      <c r="H3" s="251"/>
      <c r="I3" s="251"/>
      <c r="J3" s="153"/>
    </row>
    <row r="4" spans="2:11" ht="12" customHeight="1">
      <c r="B4" s="252"/>
      <c r="C4" s="252"/>
      <c r="D4" s="252"/>
      <c r="E4" s="252"/>
      <c r="F4" s="252"/>
      <c r="G4" s="252"/>
      <c r="H4" s="252"/>
      <c r="I4" s="4"/>
      <c r="J4" s="153"/>
    </row>
    <row r="5" spans="2:11" ht="12" customHeight="1">
      <c r="B5" s="154" t="s">
        <v>75</v>
      </c>
      <c r="C5" s="253" t="s">
        <v>33</v>
      </c>
      <c r="D5" s="253"/>
      <c r="E5" s="253"/>
      <c r="F5" s="253"/>
      <c r="G5" s="253"/>
      <c r="H5" s="253"/>
      <c r="I5" s="3" t="s">
        <v>76</v>
      </c>
      <c r="J5" s="153"/>
    </row>
    <row r="6" spans="2:11" ht="12" customHeight="1">
      <c r="B6" s="155" t="s">
        <v>77</v>
      </c>
      <c r="C6" s="254" t="s">
        <v>78</v>
      </c>
      <c r="D6" s="254"/>
      <c r="E6" s="254"/>
      <c r="F6" s="254"/>
      <c r="G6" s="254"/>
      <c r="H6" s="254"/>
      <c r="I6" s="254"/>
      <c r="J6" s="153"/>
    </row>
    <row r="7" spans="2:11" ht="12" customHeight="1">
      <c r="B7" s="2" t="s">
        <v>79</v>
      </c>
      <c r="C7" s="255" t="s">
        <v>80</v>
      </c>
      <c r="D7" s="255"/>
      <c r="E7" s="255"/>
      <c r="F7" s="255"/>
      <c r="G7" s="255"/>
      <c r="H7" s="255"/>
      <c r="I7" s="156">
        <v>1</v>
      </c>
      <c r="J7" s="153"/>
      <c r="K7" s="157">
        <v>1</v>
      </c>
    </row>
    <row r="8" spans="2:11" ht="12" customHeight="1">
      <c r="B8" s="2" t="s">
        <v>81</v>
      </c>
      <c r="C8" s="256" t="s">
        <v>82</v>
      </c>
      <c r="D8" s="256"/>
      <c r="E8" s="256"/>
      <c r="F8" s="158">
        <v>1</v>
      </c>
      <c r="G8" s="159" t="s">
        <v>83</v>
      </c>
      <c r="H8" s="160"/>
      <c r="I8" s="156">
        <f>1/12</f>
        <v>8.3333333333333329E-2</v>
      </c>
      <c r="J8" s="153"/>
      <c r="K8" s="157">
        <f>1/12</f>
        <v>8.3333333333333329E-2</v>
      </c>
    </row>
    <row r="9" spans="2:11" ht="12" customHeight="1">
      <c r="B9" s="2" t="s">
        <v>84</v>
      </c>
      <c r="C9" s="256" t="s">
        <v>85</v>
      </c>
      <c r="D9" s="256"/>
      <c r="E9" s="256"/>
      <c r="F9" s="158">
        <v>1</v>
      </c>
      <c r="G9" s="159" t="s">
        <v>83</v>
      </c>
      <c r="H9" s="160"/>
      <c r="I9" s="156">
        <f>1/12</f>
        <v>8.3333333333333329E-2</v>
      </c>
      <c r="J9" s="153"/>
      <c r="K9" s="157">
        <f>1/12</f>
        <v>8.3333333333333329E-2</v>
      </c>
    </row>
    <row r="10" spans="2:11" ht="12" customHeight="1">
      <c r="B10" s="2" t="s">
        <v>86</v>
      </c>
      <c r="C10" s="256" t="s">
        <v>87</v>
      </c>
      <c r="D10" s="256"/>
      <c r="E10" s="256"/>
      <c r="F10" s="158">
        <v>0.01</v>
      </c>
      <c r="G10" s="159" t="s">
        <v>88</v>
      </c>
      <c r="H10" s="160"/>
      <c r="I10" s="156">
        <v>0.01</v>
      </c>
      <c r="J10" s="153"/>
      <c r="K10" s="157">
        <v>0.01</v>
      </c>
    </row>
    <row r="11" spans="2:11" ht="12" customHeight="1">
      <c r="B11" s="2" t="s">
        <v>89</v>
      </c>
      <c r="C11" s="255" t="s">
        <v>90</v>
      </c>
      <c r="D11" s="255"/>
      <c r="E11" s="255"/>
      <c r="F11" s="255"/>
      <c r="G11" s="255"/>
      <c r="H11" s="255"/>
      <c r="I11" s="156">
        <f>+I9/2</f>
        <v>4.1666666666666664E-2</v>
      </c>
      <c r="J11" s="153"/>
      <c r="K11" s="157">
        <f>+K9/2</f>
        <v>4.1666666666666664E-2</v>
      </c>
    </row>
    <row r="12" spans="2:11" ht="12" customHeight="1">
      <c r="B12" s="2" t="s">
        <v>91</v>
      </c>
      <c r="C12" s="255" t="s">
        <v>92</v>
      </c>
      <c r="D12" s="255"/>
      <c r="E12" s="255"/>
      <c r="F12" s="255"/>
      <c r="G12" s="255"/>
      <c r="H12" s="255"/>
      <c r="I12" s="156">
        <v>0.28499999999999998</v>
      </c>
      <c r="J12" s="153"/>
      <c r="K12" s="157">
        <v>0.28499999999999998</v>
      </c>
    </row>
    <row r="13" spans="2:11" ht="12" customHeight="1">
      <c r="B13" s="2" t="s">
        <v>93</v>
      </c>
      <c r="C13" s="255" t="s">
        <v>94</v>
      </c>
      <c r="D13" s="255"/>
      <c r="E13" s="255"/>
      <c r="F13" s="255"/>
      <c r="G13" s="255"/>
      <c r="H13" s="255"/>
      <c r="I13" s="156">
        <v>0.04</v>
      </c>
      <c r="J13" s="153"/>
      <c r="K13" s="161">
        <v>0.04</v>
      </c>
    </row>
    <row r="14" spans="2:11" ht="12" customHeight="1">
      <c r="B14" s="2" t="s">
        <v>95</v>
      </c>
      <c r="C14" s="257" t="s">
        <v>96</v>
      </c>
      <c r="D14" s="257"/>
      <c r="E14" s="257"/>
      <c r="F14" s="257"/>
      <c r="G14" s="257"/>
      <c r="H14" s="257"/>
      <c r="I14" s="156">
        <v>2.5000000000000001E-2</v>
      </c>
      <c r="J14" s="153"/>
      <c r="K14" s="162">
        <v>6.9599999999999995E-2</v>
      </c>
    </row>
    <row r="15" spans="2:11" ht="12" customHeight="1">
      <c r="B15" s="2" t="s">
        <v>97</v>
      </c>
      <c r="C15" s="163" t="s">
        <v>98</v>
      </c>
      <c r="D15" s="156">
        <v>0.02</v>
      </c>
      <c r="E15" s="258" t="s">
        <v>99</v>
      </c>
      <c r="F15" s="258"/>
      <c r="G15" s="258"/>
      <c r="H15" s="258"/>
      <c r="I15" s="156">
        <v>2.7023094274366099E-3</v>
      </c>
      <c r="J15" s="153"/>
      <c r="K15" s="164">
        <v>2.7023094274366099E-3</v>
      </c>
    </row>
    <row r="16" spans="2:11" ht="12" customHeight="1">
      <c r="B16" s="2" t="s">
        <v>100</v>
      </c>
      <c r="C16" s="163" t="s">
        <v>101</v>
      </c>
      <c r="D16" s="156">
        <v>0.03</v>
      </c>
      <c r="E16" s="258"/>
      <c r="F16" s="258"/>
      <c r="G16" s="258"/>
      <c r="H16" s="258"/>
      <c r="I16" s="156">
        <v>4.0534641411549199E-3</v>
      </c>
      <c r="J16" s="153"/>
      <c r="K16" s="157">
        <v>4.0534641411549199E-3</v>
      </c>
    </row>
    <row r="17" spans="2:11" ht="12" customHeight="1">
      <c r="B17" s="2" t="s">
        <v>102</v>
      </c>
      <c r="C17" s="255" t="s">
        <v>103</v>
      </c>
      <c r="D17" s="255"/>
      <c r="E17" s="255"/>
      <c r="F17" s="255"/>
      <c r="G17" s="255"/>
      <c r="H17" s="255"/>
      <c r="I17" s="156">
        <v>0.01</v>
      </c>
      <c r="J17" s="153"/>
      <c r="K17" s="157">
        <v>0.01</v>
      </c>
    </row>
    <row r="18" spans="2:11" ht="12" customHeight="1">
      <c r="B18" s="2" t="s">
        <v>104</v>
      </c>
      <c r="C18" s="255" t="s">
        <v>105</v>
      </c>
      <c r="D18" s="255"/>
      <c r="E18" s="255"/>
      <c r="F18" s="255"/>
      <c r="G18" s="255"/>
      <c r="H18" s="255"/>
      <c r="I18" s="156">
        <v>0.04</v>
      </c>
      <c r="J18" s="165">
        <v>0.05</v>
      </c>
      <c r="K18" s="157">
        <v>2.5000000000000001E-2</v>
      </c>
    </row>
    <row r="19" spans="2:11" ht="12" customHeight="1">
      <c r="B19" s="166"/>
      <c r="C19" s="167"/>
      <c r="D19" s="168"/>
      <c r="E19" s="168"/>
      <c r="F19" s="168"/>
      <c r="G19" s="259" t="s">
        <v>106</v>
      </c>
      <c r="H19" s="259"/>
      <c r="I19" s="169">
        <f>SUM(I7:I18)</f>
        <v>1.6250891069019247</v>
      </c>
      <c r="J19" s="153"/>
      <c r="K19" s="170">
        <f>SUM(K7:K18)</f>
        <v>1.6546891069019247</v>
      </c>
    </row>
    <row r="20" spans="2:11" ht="12" customHeight="1">
      <c r="B20" s="155" t="s">
        <v>107</v>
      </c>
      <c r="C20" s="260" t="s">
        <v>108</v>
      </c>
      <c r="D20" s="260"/>
      <c r="E20" s="260"/>
      <c r="F20" s="260"/>
      <c r="G20" s="260"/>
      <c r="H20" s="260"/>
      <c r="I20" s="260"/>
      <c r="J20" s="153"/>
    </row>
    <row r="21" spans="2:11" ht="12" customHeight="1">
      <c r="B21" s="2" t="s">
        <v>109</v>
      </c>
      <c r="C21" s="255" t="s">
        <v>110</v>
      </c>
      <c r="D21" s="255"/>
      <c r="E21" s="255"/>
      <c r="F21" s="255"/>
      <c r="G21" s="255"/>
      <c r="H21" s="255"/>
      <c r="I21" s="156">
        <v>0.02</v>
      </c>
      <c r="J21" s="165">
        <v>0.03</v>
      </c>
      <c r="K21" s="156">
        <v>0.02</v>
      </c>
    </row>
    <row r="22" spans="2:11" ht="12" customHeight="1">
      <c r="B22" s="2" t="s">
        <v>111</v>
      </c>
      <c r="C22" s="255" t="s">
        <v>112</v>
      </c>
      <c r="D22" s="255"/>
      <c r="E22" s="255"/>
      <c r="F22" s="255"/>
      <c r="G22" s="255"/>
      <c r="H22" s="255"/>
      <c r="I22" s="156">
        <v>4.0000000000000001E-3</v>
      </c>
      <c r="J22" s="153"/>
      <c r="K22" s="156">
        <v>4.0000000000000001E-3</v>
      </c>
    </row>
    <row r="23" spans="2:11" ht="12" customHeight="1">
      <c r="B23" s="2" t="s">
        <v>113</v>
      </c>
      <c r="C23" s="255" t="s">
        <v>114</v>
      </c>
      <c r="D23" s="255"/>
      <c r="E23" s="255"/>
      <c r="F23" s="255"/>
      <c r="G23" s="255"/>
      <c r="H23" s="255"/>
      <c r="I23" s="156">
        <v>5.0000000000000001E-3</v>
      </c>
      <c r="J23" s="153"/>
      <c r="K23" s="156">
        <v>5.0000000000000001E-3</v>
      </c>
    </row>
    <row r="24" spans="2:11" ht="12" customHeight="1">
      <c r="B24" s="166"/>
      <c r="C24" s="167"/>
      <c r="D24" s="168"/>
      <c r="E24" s="168"/>
      <c r="F24" s="168"/>
      <c r="G24" s="259" t="s">
        <v>106</v>
      </c>
      <c r="H24" s="259"/>
      <c r="I24" s="169">
        <f>SUM(I21:I23)</f>
        <v>2.9000000000000001E-2</v>
      </c>
      <c r="J24" s="153"/>
      <c r="K24" s="169">
        <f>SUM(K21:K23)</f>
        <v>2.9000000000000001E-2</v>
      </c>
    </row>
    <row r="25" spans="2:11" ht="12" customHeight="1">
      <c r="B25" s="155" t="s">
        <v>115</v>
      </c>
      <c r="C25" s="260" t="s">
        <v>116</v>
      </c>
      <c r="D25" s="260"/>
      <c r="E25" s="260"/>
      <c r="F25" s="260"/>
      <c r="G25" s="260"/>
      <c r="H25" s="260"/>
      <c r="I25" s="260"/>
      <c r="J25" s="153"/>
    </row>
    <row r="26" spans="2:11" ht="12" customHeight="1">
      <c r="B26" s="2" t="s">
        <v>117</v>
      </c>
      <c r="C26" s="255" t="s">
        <v>118</v>
      </c>
      <c r="D26" s="255"/>
      <c r="E26" s="255"/>
      <c r="F26" s="255"/>
      <c r="G26" s="255"/>
      <c r="H26" s="255"/>
      <c r="I26" s="156">
        <v>0.01</v>
      </c>
      <c r="J26" s="171">
        <v>1.4999999999999999E-2</v>
      </c>
      <c r="K26" s="156">
        <v>0.01</v>
      </c>
    </row>
    <row r="27" spans="2:11" ht="12" customHeight="1">
      <c r="B27" s="2" t="s">
        <v>119</v>
      </c>
      <c r="C27" s="255" t="s">
        <v>120</v>
      </c>
      <c r="D27" s="255"/>
      <c r="E27" s="255"/>
      <c r="F27" s="255"/>
      <c r="G27" s="255"/>
      <c r="H27" s="255"/>
      <c r="I27" s="156">
        <v>0.01</v>
      </c>
      <c r="J27" s="171">
        <v>0.02</v>
      </c>
      <c r="K27" s="156">
        <v>0.01</v>
      </c>
    </row>
    <row r="28" spans="2:11" ht="12" customHeight="1">
      <c r="B28" s="2" t="s">
        <v>121</v>
      </c>
      <c r="C28" s="255" t="s">
        <v>122</v>
      </c>
      <c r="D28" s="255"/>
      <c r="E28" s="255"/>
      <c r="F28" s="255"/>
      <c r="G28" s="255"/>
      <c r="H28" s="255"/>
      <c r="I28" s="156">
        <v>0.01</v>
      </c>
      <c r="J28" s="171">
        <v>0.02</v>
      </c>
      <c r="K28" s="156">
        <v>0.01</v>
      </c>
    </row>
    <row r="29" spans="2:11" ht="12" customHeight="1">
      <c r="B29" s="2" t="s">
        <v>123</v>
      </c>
      <c r="C29" s="255" t="s">
        <v>124</v>
      </c>
      <c r="D29" s="255"/>
      <c r="E29" s="255"/>
      <c r="F29" s="255"/>
      <c r="G29" s="255"/>
      <c r="H29" s="255"/>
      <c r="I29" s="156">
        <v>0.01</v>
      </c>
      <c r="J29" s="165">
        <v>0.01</v>
      </c>
      <c r="K29" s="156">
        <v>5.0000000000000001E-3</v>
      </c>
    </row>
    <row r="30" spans="2:11" ht="12" customHeight="1">
      <c r="B30" s="2" t="s">
        <v>125</v>
      </c>
      <c r="C30" s="255" t="s">
        <v>126</v>
      </c>
      <c r="D30" s="255"/>
      <c r="E30" s="255"/>
      <c r="F30" s="255"/>
      <c r="G30" s="255"/>
      <c r="H30" s="255"/>
      <c r="I30" s="156">
        <v>5.0000000000000001E-3</v>
      </c>
      <c r="J30" s="153"/>
      <c r="K30" s="156">
        <v>5.0000000000000001E-3</v>
      </c>
    </row>
    <row r="31" spans="2:11" ht="12" customHeight="1">
      <c r="B31" s="2" t="s">
        <v>127</v>
      </c>
      <c r="C31" s="255" t="s">
        <v>128</v>
      </c>
      <c r="D31" s="255"/>
      <c r="E31" s="255"/>
      <c r="F31" s="255"/>
      <c r="G31" s="255"/>
      <c r="H31" s="255"/>
      <c r="I31" s="156">
        <v>0.02</v>
      </c>
      <c r="J31" s="165">
        <v>0.03</v>
      </c>
      <c r="K31" s="156">
        <v>0.02</v>
      </c>
    </row>
    <row r="32" spans="2:11" ht="12" customHeight="1">
      <c r="B32" s="2" t="s">
        <v>129</v>
      </c>
      <c r="C32" s="255" t="s">
        <v>130</v>
      </c>
      <c r="D32" s="255"/>
      <c r="E32" s="255"/>
      <c r="F32" s="255"/>
      <c r="G32" s="255"/>
      <c r="H32" s="255"/>
      <c r="I32" s="156">
        <v>0.01</v>
      </c>
      <c r="J32" s="153"/>
      <c r="K32" s="156">
        <v>0.01</v>
      </c>
    </row>
    <row r="33" spans="2:11" ht="12" customHeight="1">
      <c r="B33" s="2" t="s">
        <v>131</v>
      </c>
      <c r="C33" s="255" t="s">
        <v>132</v>
      </c>
      <c r="D33" s="255"/>
      <c r="E33" s="255"/>
      <c r="F33" s="255"/>
      <c r="G33" s="255"/>
      <c r="H33" s="255"/>
      <c r="I33" s="156">
        <v>0.01</v>
      </c>
      <c r="J33" s="153"/>
      <c r="K33" s="156">
        <v>0.01</v>
      </c>
    </row>
    <row r="34" spans="2:11" ht="12" customHeight="1">
      <c r="B34" s="2" t="s">
        <v>133</v>
      </c>
      <c r="C34" s="255" t="s">
        <v>134</v>
      </c>
      <c r="D34" s="255"/>
      <c r="E34" s="255"/>
      <c r="F34" s="255"/>
      <c r="G34" s="255"/>
      <c r="H34" s="255"/>
      <c r="I34" s="156">
        <v>0.01</v>
      </c>
      <c r="J34" s="153"/>
      <c r="K34" s="156">
        <v>0.01</v>
      </c>
    </row>
    <row r="35" spans="2:11" ht="12" customHeight="1">
      <c r="B35" s="2" t="s">
        <v>135</v>
      </c>
      <c r="C35" s="255" t="s">
        <v>136</v>
      </c>
      <c r="D35" s="255"/>
      <c r="E35" s="255"/>
      <c r="F35" s="255"/>
      <c r="G35" s="255"/>
      <c r="H35" s="255"/>
      <c r="I35" s="156">
        <v>5.0000000000000001E-3</v>
      </c>
      <c r="J35" s="153"/>
      <c r="K35" s="156">
        <v>5.0000000000000001E-3</v>
      </c>
    </row>
    <row r="36" spans="2:11" ht="12" customHeight="1">
      <c r="B36" s="2" t="s">
        <v>137</v>
      </c>
      <c r="C36" s="255" t="s">
        <v>138</v>
      </c>
      <c r="D36" s="255"/>
      <c r="E36" s="255"/>
      <c r="F36" s="255"/>
      <c r="G36" s="255"/>
      <c r="H36" s="255"/>
      <c r="I36" s="156">
        <v>0.02</v>
      </c>
      <c r="J36" s="165">
        <v>0.03</v>
      </c>
      <c r="K36" s="156">
        <v>0.02</v>
      </c>
    </row>
    <row r="37" spans="2:11" ht="12" customHeight="1">
      <c r="B37" s="2" t="s">
        <v>139</v>
      </c>
      <c r="C37" s="255" t="s">
        <v>140</v>
      </c>
      <c r="D37" s="255"/>
      <c r="E37" s="255"/>
      <c r="F37" s="255"/>
      <c r="G37" s="255"/>
      <c r="H37" s="255"/>
      <c r="I37" s="156">
        <v>5.0000000000000001E-3</v>
      </c>
      <c r="J37" s="153"/>
      <c r="K37" s="156">
        <v>5.0000000000000001E-3</v>
      </c>
    </row>
    <row r="38" spans="2:11" ht="12" customHeight="1">
      <c r="B38" s="166"/>
      <c r="C38" s="167"/>
      <c r="D38" s="168"/>
      <c r="E38" s="168"/>
      <c r="F38" s="168"/>
      <c r="G38" s="259" t="s">
        <v>106</v>
      </c>
      <c r="H38" s="259"/>
      <c r="I38" s="169">
        <f>SUM(I26:I37)</f>
        <v>0.125</v>
      </c>
      <c r="J38" s="153"/>
      <c r="K38" s="169">
        <f>SUM(K26:K37)</f>
        <v>0.12</v>
      </c>
    </row>
    <row r="39" spans="2:11" ht="12" customHeight="1">
      <c r="B39" s="172" t="s">
        <v>141</v>
      </c>
      <c r="C39" s="261" t="s">
        <v>142</v>
      </c>
      <c r="D39" s="261"/>
      <c r="E39" s="261"/>
      <c r="F39" s="261"/>
      <c r="G39" s="262" t="s">
        <v>106</v>
      </c>
      <c r="H39" s="262"/>
      <c r="I39" s="173">
        <v>0.18</v>
      </c>
      <c r="J39" s="153"/>
      <c r="K39" s="173">
        <v>0.16</v>
      </c>
    </row>
    <row r="40" spans="2:11" ht="12" customHeight="1">
      <c r="B40" s="263" t="s">
        <v>143</v>
      </c>
      <c r="C40" s="263"/>
      <c r="D40" s="263"/>
      <c r="E40" s="263"/>
      <c r="F40" s="263"/>
      <c r="G40" s="263"/>
      <c r="H40" s="263"/>
      <c r="I40" s="174">
        <f>ROUND(SUM(I39,I38,I24,I19),2)</f>
        <v>1.96</v>
      </c>
      <c r="J40" s="175"/>
      <c r="K40" s="174">
        <f>ROUND(SUM(K39,K38,K24,K19),2)</f>
        <v>1.96</v>
      </c>
    </row>
    <row r="41" spans="2:11" ht="12" customHeight="1">
      <c r="B41" s="176"/>
      <c r="C41" s="176"/>
      <c r="D41" s="176"/>
      <c r="E41" s="176"/>
      <c r="F41" s="176"/>
      <c r="G41" s="176"/>
      <c r="H41" s="176"/>
      <c r="I41" s="176"/>
      <c r="J41" s="153"/>
    </row>
  </sheetData>
  <mergeCells count="38">
    <mergeCell ref="C39:F39"/>
    <mergeCell ref="G39:H39"/>
    <mergeCell ref="B40:H40"/>
    <mergeCell ref="C34:H34"/>
    <mergeCell ref="C35:H35"/>
    <mergeCell ref="C36:H36"/>
    <mergeCell ref="C37:H37"/>
    <mergeCell ref="G38:H38"/>
    <mergeCell ref="C29:H29"/>
    <mergeCell ref="C30:H30"/>
    <mergeCell ref="C31:H31"/>
    <mergeCell ref="C32:H32"/>
    <mergeCell ref="C33:H33"/>
    <mergeCell ref="G24:H24"/>
    <mergeCell ref="C25:I25"/>
    <mergeCell ref="C26:H26"/>
    <mergeCell ref="C27:H27"/>
    <mergeCell ref="C28:H28"/>
    <mergeCell ref="G19:H19"/>
    <mergeCell ref="C20:I20"/>
    <mergeCell ref="C21:H21"/>
    <mergeCell ref="C22:H22"/>
    <mergeCell ref="C23:H23"/>
    <mergeCell ref="C13:H13"/>
    <mergeCell ref="C14:H14"/>
    <mergeCell ref="E15:H16"/>
    <mergeCell ref="C17:H17"/>
    <mergeCell ref="C18:H18"/>
    <mergeCell ref="C8:E8"/>
    <mergeCell ref="C9:E9"/>
    <mergeCell ref="C10:E10"/>
    <mergeCell ref="C11:H11"/>
    <mergeCell ref="C12:H12"/>
    <mergeCell ref="B3:I3"/>
    <mergeCell ref="B4:H4"/>
    <mergeCell ref="C5:H5"/>
    <mergeCell ref="C6:I6"/>
    <mergeCell ref="C7:H7"/>
  </mergeCells>
  <printOptions horizontalCentered="1"/>
  <pageMargins left="0.51180555555555596" right="0.51180555555555596" top="1.575" bottom="0.94513888888888897" header="0.39374999999999999" footer="0.39374999999999999"/>
  <pageSetup scale="85" orientation="portrait" horizontalDpi="300" verticalDpi="300"/>
  <headerFooter>
    <oddHeader>&amp;C&amp;18 SECRETARIA DEL DEPORTE Y LA RECREACION_x005F_x000a_CONCURSO DE MERITOS No.4162.010.32.1.1269-2026_x005F_x000a_PRESUPUESTO OFICIAL</oddHeader>
    <oddFooter>&amp;C&amp;14 REALIZAR LA INTERVENTORÍA INTEGRAL: TÉCNICA, ADMINISTRATIVA, FINANCIERA, JURÍDICA, SOCIAL Y AMBIENTAL AL CONTRATO DE OBRA DERIVADO DEL PROCESO LICITATORIO No. 4162.010.32.1.1269-2026.&amp;R&amp;N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385623"/>
  </sheetPr>
  <dimension ref="B3:T31"/>
  <sheetViews>
    <sheetView zoomScaleNormal="100" zoomScalePageLayoutView="120" workbookViewId="0">
      <selection activeCell="U18" sqref="U18"/>
    </sheetView>
  </sheetViews>
  <sheetFormatPr baseColWidth="10" defaultColWidth="14.5" defaultRowHeight="15"/>
  <cols>
    <col min="1" max="1" width="10.6640625" customWidth="1"/>
    <col min="2" max="2" width="12.6640625" customWidth="1"/>
    <col min="3" max="8" width="10.6640625" customWidth="1"/>
    <col min="9" max="9" width="14.83203125" customWidth="1"/>
    <col min="10" max="10" width="11.5" hidden="1" customWidth="1"/>
    <col min="11" max="11" width="7.33203125" hidden="1" customWidth="1"/>
    <col min="12" max="12" width="19.6640625" hidden="1" customWidth="1"/>
    <col min="13" max="20" width="11.5" hidden="1" customWidth="1"/>
  </cols>
  <sheetData>
    <row r="3" spans="2:20">
      <c r="B3" s="264" t="s">
        <v>144</v>
      </c>
      <c r="C3" s="264"/>
      <c r="D3" s="264"/>
      <c r="E3" s="264"/>
      <c r="F3" s="264"/>
      <c r="G3" s="264"/>
      <c r="H3" s="264"/>
      <c r="I3" s="264"/>
    </row>
    <row r="4" spans="2:20">
      <c r="B4" s="265"/>
      <c r="C4" s="265"/>
      <c r="D4" s="265"/>
      <c r="E4" s="265"/>
      <c r="F4" s="265"/>
      <c r="G4" s="265"/>
      <c r="H4" s="265"/>
      <c r="I4" s="4"/>
    </row>
    <row r="5" spans="2:20" ht="12.75" customHeight="1">
      <c r="B5" s="177" t="s">
        <v>141</v>
      </c>
      <c r="C5" s="266" t="s">
        <v>144</v>
      </c>
      <c r="D5" s="266"/>
      <c r="E5" s="266"/>
      <c r="F5" s="266"/>
      <c r="G5" s="266"/>
      <c r="H5" s="266"/>
      <c r="I5" s="266"/>
    </row>
    <row r="6" spans="2:20" ht="12.75" customHeight="1">
      <c r="B6" s="178">
        <v>4.0999999999999996</v>
      </c>
      <c r="C6" s="1" t="s">
        <v>145</v>
      </c>
      <c r="D6" s="179"/>
      <c r="E6" s="179"/>
      <c r="F6" s="179"/>
      <c r="G6" s="179"/>
      <c r="H6" s="180"/>
      <c r="I6" s="181">
        <v>2.8600000000000001E-3</v>
      </c>
      <c r="K6" s="182">
        <v>2.8600000000000001E-3</v>
      </c>
    </row>
    <row r="7" spans="2:20" ht="12.75" customHeight="1">
      <c r="B7" s="178">
        <v>4.2</v>
      </c>
      <c r="C7" s="1" t="s">
        <v>146</v>
      </c>
      <c r="D7" s="179"/>
      <c r="E7" s="179"/>
      <c r="F7" s="179"/>
      <c r="G7" s="179"/>
      <c r="H7" s="180"/>
      <c r="I7" s="181">
        <v>2.2200000000000002E-3</v>
      </c>
      <c r="K7" s="182">
        <v>2.2200000000000002E-3</v>
      </c>
    </row>
    <row r="8" spans="2:20" ht="12.75" customHeight="1">
      <c r="B8" s="178">
        <v>4.3</v>
      </c>
      <c r="C8" s="1" t="s">
        <v>147</v>
      </c>
      <c r="D8" s="179"/>
      <c r="E8" s="179"/>
      <c r="F8" s="179"/>
      <c r="G8" s="179"/>
      <c r="H8" s="180"/>
      <c r="I8" s="181">
        <v>1.49E-3</v>
      </c>
      <c r="K8" s="182">
        <v>1.49E-3</v>
      </c>
    </row>
    <row r="9" spans="2:20" ht="12.75" customHeight="1">
      <c r="B9" s="183"/>
      <c r="C9" s="167"/>
      <c r="D9" s="168"/>
      <c r="E9" s="168"/>
      <c r="F9" s="168"/>
      <c r="G9" s="267" t="s">
        <v>106</v>
      </c>
      <c r="H9" s="267"/>
      <c r="I9" s="184">
        <f>SUM(I6:I8)</f>
        <v>6.5700000000000003E-3</v>
      </c>
      <c r="K9" s="185">
        <f>+K6+K7+K8</f>
        <v>6.5700000000000003E-3</v>
      </c>
      <c r="S9" t="s">
        <v>148</v>
      </c>
      <c r="T9" s="186">
        <f>'PRESUPUESTO OFICIAL'!P68</f>
        <v>371563944</v>
      </c>
    </row>
    <row r="10" spans="2:20" ht="12.75" customHeight="1">
      <c r="B10" s="187" t="s">
        <v>149</v>
      </c>
      <c r="C10" s="268" t="s">
        <v>65</v>
      </c>
      <c r="D10" s="268"/>
      <c r="E10" s="268"/>
      <c r="F10" s="268"/>
      <c r="G10" s="268"/>
      <c r="H10" s="268"/>
      <c r="I10" s="268"/>
    </row>
    <row r="11" spans="2:20" ht="12.75" customHeight="1">
      <c r="B11" s="178" t="s">
        <v>150</v>
      </c>
      <c r="C11" s="255" t="s">
        <v>151</v>
      </c>
      <c r="D11" s="255"/>
      <c r="E11" s="255"/>
      <c r="F11" s="255"/>
      <c r="G11" s="255"/>
      <c r="H11" s="255"/>
      <c r="I11" s="188">
        <v>0.02</v>
      </c>
      <c r="K11" s="188">
        <v>0.02</v>
      </c>
      <c r="L11" s="189">
        <f t="shared" ref="L11:L18" si="0">ROUND($T$9*I11,0)</f>
        <v>7431279</v>
      </c>
    </row>
    <row r="12" spans="2:20" ht="12.75" customHeight="1">
      <c r="B12" s="178" t="s">
        <v>152</v>
      </c>
      <c r="C12" s="255" t="s">
        <v>153</v>
      </c>
      <c r="D12" s="255"/>
      <c r="E12" s="255"/>
      <c r="F12" s="255"/>
      <c r="G12" s="255"/>
      <c r="H12" s="255"/>
      <c r="I12" s="188">
        <v>0.01</v>
      </c>
      <c r="K12" s="188">
        <v>0.01</v>
      </c>
      <c r="L12" s="189">
        <f t="shared" si="0"/>
        <v>3715639</v>
      </c>
    </row>
    <row r="13" spans="2:20" ht="12.75" customHeight="1">
      <c r="B13" s="178" t="s">
        <v>154</v>
      </c>
      <c r="C13" s="255" t="s">
        <v>155</v>
      </c>
      <c r="D13" s="255"/>
      <c r="E13" s="255"/>
      <c r="F13" s="255"/>
      <c r="G13" s="255"/>
      <c r="H13" s="255"/>
      <c r="I13" s="188">
        <v>0.01</v>
      </c>
      <c r="K13" s="188">
        <v>0.01</v>
      </c>
      <c r="L13" s="189">
        <f t="shared" si="0"/>
        <v>3715639</v>
      </c>
    </row>
    <row r="14" spans="2:20" ht="12.75" customHeight="1">
      <c r="B14" s="178" t="s">
        <v>156</v>
      </c>
      <c r="C14" s="255" t="s">
        <v>157</v>
      </c>
      <c r="D14" s="255"/>
      <c r="E14" s="255"/>
      <c r="F14" s="255"/>
      <c r="G14" s="255"/>
      <c r="H14" s="255"/>
      <c r="I14" s="188">
        <v>3.5000000000000003E-2</v>
      </c>
      <c r="K14" s="188">
        <v>3.5000000000000003E-2</v>
      </c>
      <c r="L14" s="189">
        <f t="shared" si="0"/>
        <v>13004738</v>
      </c>
    </row>
    <row r="15" spans="2:20" ht="12.75" customHeight="1">
      <c r="B15" s="178" t="s">
        <v>158</v>
      </c>
      <c r="C15" s="257" t="s">
        <v>159</v>
      </c>
      <c r="D15" s="257"/>
      <c r="E15" s="257"/>
      <c r="F15" s="257"/>
      <c r="G15" s="257"/>
      <c r="H15" s="257"/>
      <c r="I15" s="188">
        <v>5.0000000000000001E-3</v>
      </c>
      <c r="J15" s="190"/>
      <c r="K15" s="191">
        <v>0.01</v>
      </c>
      <c r="L15" s="189">
        <f t="shared" si="0"/>
        <v>1857820</v>
      </c>
    </row>
    <row r="16" spans="2:20" ht="12.75" customHeight="1">
      <c r="B16" s="178" t="s">
        <v>160</v>
      </c>
      <c r="C16" s="257" t="s">
        <v>161</v>
      </c>
      <c r="D16" s="257"/>
      <c r="E16" s="257"/>
      <c r="F16" s="257"/>
      <c r="G16" s="257"/>
      <c r="H16" s="257"/>
      <c r="I16" s="188">
        <v>0.02</v>
      </c>
      <c r="K16" s="188">
        <v>0.02</v>
      </c>
      <c r="L16" s="189">
        <f t="shared" si="0"/>
        <v>7431279</v>
      </c>
    </row>
    <row r="17" spans="2:18" ht="12.75" customHeight="1">
      <c r="B17" s="178" t="s">
        <v>162</v>
      </c>
      <c r="C17" s="257" t="s">
        <v>163</v>
      </c>
      <c r="D17" s="257"/>
      <c r="E17" s="257"/>
      <c r="F17" s="257"/>
      <c r="G17" s="257"/>
      <c r="H17" s="257"/>
      <c r="I17" s="188">
        <v>0.02</v>
      </c>
      <c r="K17" s="192">
        <v>0.02</v>
      </c>
      <c r="L17" s="189">
        <f t="shared" si="0"/>
        <v>7431279</v>
      </c>
    </row>
    <row r="18" spans="2:18" ht="12.75" customHeight="1">
      <c r="B18" s="178" t="s">
        <v>164</v>
      </c>
      <c r="C18" s="257" t="s">
        <v>165</v>
      </c>
      <c r="D18" s="257"/>
      <c r="E18" s="257"/>
      <c r="F18" s="257"/>
      <c r="G18" s="257"/>
      <c r="H18" s="257"/>
      <c r="I18" s="188">
        <v>0.02</v>
      </c>
      <c r="K18" s="188">
        <v>0.02</v>
      </c>
      <c r="L18" s="189">
        <f t="shared" si="0"/>
        <v>7431279</v>
      </c>
    </row>
    <row r="19" spans="2:18" ht="12.75" customHeight="1">
      <c r="B19" s="183"/>
      <c r="C19" s="167"/>
      <c r="D19" s="168"/>
      <c r="E19" s="168"/>
      <c r="F19" s="168"/>
      <c r="G19" s="267" t="s">
        <v>106</v>
      </c>
      <c r="H19" s="267"/>
      <c r="I19" s="193">
        <f>SUM(I11:I18)</f>
        <v>0.14000000000000001</v>
      </c>
      <c r="K19" s="193">
        <f>SUM(K11:K18)</f>
        <v>0.14499999999999999</v>
      </c>
      <c r="L19">
        <f>SUM(L11:L18)</f>
        <v>52018952</v>
      </c>
    </row>
    <row r="20" spans="2:18" ht="15.75" customHeight="1">
      <c r="B20" s="269" t="s">
        <v>143</v>
      </c>
      <c r="C20" s="269"/>
      <c r="D20" s="269"/>
      <c r="E20" s="269"/>
      <c r="F20" s="269"/>
      <c r="G20" s="269"/>
      <c r="H20" s="269"/>
      <c r="I20" s="194">
        <f>I9+I19</f>
        <v>0.14657000000000001</v>
      </c>
      <c r="K20" s="194">
        <f>K9+K19</f>
        <v>0.15156999999999998</v>
      </c>
    </row>
    <row r="21" spans="2:18" ht="15.75" customHeight="1">
      <c r="B21" s="176"/>
      <c r="C21" s="176"/>
      <c r="D21" s="176"/>
      <c r="E21" s="176"/>
      <c r="F21" s="176"/>
      <c r="G21" s="176"/>
      <c r="H21" s="176"/>
      <c r="I21" s="176"/>
      <c r="J21" s="153"/>
    </row>
    <row r="22" spans="2:18" ht="15.75" customHeight="1">
      <c r="B22" s="195"/>
      <c r="F22" s="195"/>
      <c r="G22" s="195"/>
      <c r="H22" s="195"/>
      <c r="I22" s="196"/>
      <c r="J22" s="153"/>
      <c r="M22" s="5"/>
      <c r="N22" s="6"/>
      <c r="O22" s="197" t="s">
        <v>166</v>
      </c>
    </row>
    <row r="23" spans="2:18" ht="15" customHeight="1">
      <c r="I23" s="198"/>
      <c r="M23" s="5" t="s">
        <v>167</v>
      </c>
      <c r="N23" s="6">
        <f>ROUND('PRESUPUESTO OFICIAL'!H70/1.19,0)</f>
        <v>371563944</v>
      </c>
      <c r="O23" s="199">
        <f>ROUND('PRESUPUESTO OFICIAL'!H67/N23,5)</f>
        <v>6.5700000000000003E-3</v>
      </c>
      <c r="Q23" s="200"/>
      <c r="R23" s="201"/>
    </row>
    <row r="24" spans="2:18" ht="15" customHeight="1">
      <c r="I24" s="198"/>
      <c r="M24" s="5" t="s">
        <v>168</v>
      </c>
      <c r="N24" s="6">
        <f>ROUND(N23*0.19,0)</f>
        <v>70597149</v>
      </c>
      <c r="O24" s="5"/>
      <c r="Q24" s="200"/>
      <c r="R24" s="201"/>
    </row>
    <row r="25" spans="2:18" ht="15" customHeight="1">
      <c r="I25" s="198"/>
      <c r="M25" t="s">
        <v>169</v>
      </c>
      <c r="N25">
        <f>N23+N24</f>
        <v>442161093</v>
      </c>
    </row>
    <row r="26" spans="2:18" ht="15" customHeight="1">
      <c r="I26" s="198"/>
    </row>
    <row r="27" spans="2:18" ht="15" customHeight="1">
      <c r="I27" s="198"/>
    </row>
    <row r="28" spans="2:18" ht="15" customHeight="1">
      <c r="I28" s="198"/>
    </row>
    <row r="29" spans="2:18" ht="15" customHeight="1">
      <c r="I29" s="198"/>
    </row>
    <row r="30" spans="2:18" ht="15" customHeight="1">
      <c r="I30" s="198"/>
    </row>
    <row r="31" spans="2:18" ht="15" customHeight="1">
      <c r="I31" s="198"/>
    </row>
  </sheetData>
  <mergeCells count="15">
    <mergeCell ref="C16:H16"/>
    <mergeCell ref="C17:H17"/>
    <mergeCell ref="C18:H18"/>
    <mergeCell ref="G19:H19"/>
    <mergeCell ref="B20:H20"/>
    <mergeCell ref="C11:H11"/>
    <mergeCell ref="C12:H12"/>
    <mergeCell ref="C13:H13"/>
    <mergeCell ref="C14:H14"/>
    <mergeCell ref="C15:H15"/>
    <mergeCell ref="B3:I3"/>
    <mergeCell ref="B4:H4"/>
    <mergeCell ref="C5:I5"/>
    <mergeCell ref="G9:H9"/>
    <mergeCell ref="C10:I10"/>
  </mergeCells>
  <printOptions horizontalCentered="1"/>
  <pageMargins left="0.70833333333333304" right="0.70833333333333304" top="1.7319444444444401" bottom="0.74791666666666701" header="0.39374999999999999" footer="0.39374999999999999"/>
  <pageSetup paperSize="9" scale="85" orientation="portrait" horizontalDpi="300" verticalDpi="300"/>
  <headerFooter>
    <oddHeader>&amp;C&amp;14 SECRETARIA DEL DEPORTE Y LA RECREACION_x005F_x000a_CONCURSO DE MERITO No. 4162.010.32.1.1269-2026_x005F_x000a_COSTOS DIRECTO NO REEMBOLSABLES</oddHeader>
    <oddFooter>&amp;CProyectos cuyos recursos provienen de libre destinacion del proceso de presupuesto participativo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85623"/>
  </sheetPr>
  <dimension ref="A1:I18"/>
  <sheetViews>
    <sheetView topLeftCell="A10" zoomScaleNormal="100" workbookViewId="0">
      <selection activeCell="I14" sqref="I14"/>
    </sheetView>
  </sheetViews>
  <sheetFormatPr baseColWidth="10" defaultColWidth="8.83203125" defaultRowHeight="15"/>
  <cols>
    <col min="1" max="1" width="20" customWidth="1"/>
    <col min="2" max="2" width="12" customWidth="1"/>
    <col min="3" max="3" width="30.83203125" customWidth="1"/>
    <col min="4" max="4" width="20.6640625" customWidth="1"/>
    <col min="5" max="5" width="24.83203125" customWidth="1"/>
    <col min="6" max="6" width="3.33203125" customWidth="1"/>
    <col min="8" max="8" width="8.33203125" customWidth="1"/>
    <col min="9" max="9" width="8" customWidth="1"/>
  </cols>
  <sheetData>
    <row r="1" spans="1:9" s="203" customFormat="1" ht="14.25" customHeight="1">
      <c r="A1" s="270" t="s">
        <v>170</v>
      </c>
      <c r="B1" s="270"/>
      <c r="C1" s="270"/>
      <c r="D1" s="270"/>
      <c r="E1" s="270"/>
    </row>
    <row r="2" spans="1:9" s="203" customFormat="1" ht="14.25" customHeight="1">
      <c r="A2" s="202" t="s">
        <v>171</v>
      </c>
      <c r="B2" s="202" t="s">
        <v>172</v>
      </c>
      <c r="C2" s="204" t="s">
        <v>173</v>
      </c>
      <c r="D2" s="205" t="s">
        <v>174</v>
      </c>
      <c r="E2" s="202" t="s">
        <v>175</v>
      </c>
    </row>
    <row r="3" spans="1:9" s="203" customFormat="1" ht="67.5" customHeight="1">
      <c r="A3" s="271" t="s">
        <v>176</v>
      </c>
      <c r="B3" s="207">
        <v>6</v>
      </c>
      <c r="C3" s="208" t="s">
        <v>177</v>
      </c>
      <c r="D3" s="209" t="s">
        <v>178</v>
      </c>
      <c r="E3" s="210">
        <v>12368000</v>
      </c>
      <c r="H3" s="211">
        <v>1.63508910690192</v>
      </c>
      <c r="I3" s="212">
        <f t="shared" ref="I3:I17" si="0">ROUND(E3/H3,0)</f>
        <v>7564114</v>
      </c>
    </row>
    <row r="4" spans="1:9" s="203" customFormat="1" ht="55.5" customHeight="1">
      <c r="A4" s="271"/>
      <c r="B4" s="213">
        <v>5</v>
      </c>
      <c r="C4" s="208" t="s">
        <v>177</v>
      </c>
      <c r="D4" s="214" t="s">
        <v>179</v>
      </c>
      <c r="E4" s="215">
        <v>10374000</v>
      </c>
      <c r="H4" s="211">
        <v>1.63508910690192</v>
      </c>
      <c r="I4" s="212">
        <f t="shared" si="0"/>
        <v>6344608</v>
      </c>
    </row>
    <row r="5" spans="1:9" s="203" customFormat="1" ht="51.75" customHeight="1">
      <c r="A5" s="271"/>
      <c r="B5" s="213">
        <v>4</v>
      </c>
      <c r="C5" s="208" t="s">
        <v>177</v>
      </c>
      <c r="D5" s="214" t="s">
        <v>180</v>
      </c>
      <c r="E5" s="215">
        <v>8378000</v>
      </c>
      <c r="H5" s="211">
        <v>1.63508910690192</v>
      </c>
      <c r="I5" s="212">
        <f t="shared" si="0"/>
        <v>5123880</v>
      </c>
    </row>
    <row r="6" spans="1:9" s="203" customFormat="1" ht="44.25" customHeight="1">
      <c r="A6" s="271"/>
      <c r="B6" s="213">
        <v>3</v>
      </c>
      <c r="C6" s="208" t="s">
        <v>177</v>
      </c>
      <c r="D6" s="214" t="s">
        <v>181</v>
      </c>
      <c r="E6" s="215">
        <v>7826000</v>
      </c>
      <c r="H6" s="211">
        <v>1.63508910690192</v>
      </c>
      <c r="I6" s="212">
        <f t="shared" si="0"/>
        <v>4786283</v>
      </c>
    </row>
    <row r="7" spans="1:9" s="203" customFormat="1" ht="42" customHeight="1">
      <c r="A7" s="271"/>
      <c r="B7" s="207">
        <v>2</v>
      </c>
      <c r="C7" s="208" t="s">
        <v>177</v>
      </c>
      <c r="D7" s="214" t="s">
        <v>182</v>
      </c>
      <c r="E7" s="210">
        <v>7036000</v>
      </c>
      <c r="H7" s="211">
        <v>1.63508910690192</v>
      </c>
      <c r="I7" s="212">
        <f t="shared" si="0"/>
        <v>4303129</v>
      </c>
    </row>
    <row r="8" spans="1:9" s="203" customFormat="1" ht="48.75" customHeight="1">
      <c r="A8" s="271"/>
      <c r="B8" s="213">
        <v>1</v>
      </c>
      <c r="C8" s="208" t="s">
        <v>177</v>
      </c>
      <c r="D8" s="214" t="s">
        <v>183</v>
      </c>
      <c r="E8" s="215">
        <v>6247000</v>
      </c>
      <c r="H8" s="211">
        <v>1.63508910690192</v>
      </c>
      <c r="I8" s="212">
        <f t="shared" si="0"/>
        <v>3820587</v>
      </c>
    </row>
    <row r="9" spans="1:9" s="203" customFormat="1" ht="49.5" customHeight="1">
      <c r="A9" s="216" t="s">
        <v>184</v>
      </c>
      <c r="B9" s="217">
        <v>3</v>
      </c>
      <c r="C9" s="218" t="s">
        <v>185</v>
      </c>
      <c r="D9" s="219" t="s">
        <v>186</v>
      </c>
      <c r="E9" s="220">
        <v>5663000</v>
      </c>
      <c r="H9" s="211">
        <v>1.63508910690192</v>
      </c>
      <c r="I9" s="212">
        <f t="shared" si="0"/>
        <v>3463420</v>
      </c>
    </row>
    <row r="10" spans="1:9" s="203" customFormat="1" ht="49.5" customHeight="1">
      <c r="A10" s="272"/>
      <c r="B10" s="222">
        <v>2</v>
      </c>
      <c r="C10" s="223" t="s">
        <v>185</v>
      </c>
      <c r="D10" s="224" t="s">
        <v>187</v>
      </c>
      <c r="E10" s="225">
        <v>4805000</v>
      </c>
      <c r="H10" s="211">
        <v>1.63508910690192</v>
      </c>
      <c r="I10" s="212">
        <f t="shared" si="0"/>
        <v>2938678</v>
      </c>
    </row>
    <row r="11" spans="1:9" s="203" customFormat="1" ht="48.75" customHeight="1">
      <c r="A11" s="272"/>
      <c r="B11" s="213">
        <v>1</v>
      </c>
      <c r="C11" s="208" t="s">
        <v>185</v>
      </c>
      <c r="D11" s="209" t="s">
        <v>188</v>
      </c>
      <c r="E11" s="215">
        <v>3947000</v>
      </c>
      <c r="H11" s="211">
        <v>1.63508910690192</v>
      </c>
      <c r="I11" s="212">
        <f t="shared" si="0"/>
        <v>2413936</v>
      </c>
    </row>
    <row r="12" spans="1:9" s="203" customFormat="1" ht="77.25" customHeight="1">
      <c r="A12" s="273" t="s">
        <v>189</v>
      </c>
      <c r="B12" s="207">
        <v>3</v>
      </c>
      <c r="C12" s="208" t="s">
        <v>190</v>
      </c>
      <c r="D12" s="209" t="s">
        <v>191</v>
      </c>
      <c r="E12" s="210">
        <v>3551000</v>
      </c>
      <c r="H12" s="211">
        <v>1.63508910690192</v>
      </c>
      <c r="I12" s="212">
        <f t="shared" si="0"/>
        <v>2171747</v>
      </c>
    </row>
    <row r="13" spans="1:9" s="203" customFormat="1" ht="92.25" customHeight="1">
      <c r="A13" s="273"/>
      <c r="B13" s="207">
        <v>2</v>
      </c>
      <c r="C13" s="208" t="s">
        <v>190</v>
      </c>
      <c r="D13" s="209" t="s">
        <v>192</v>
      </c>
      <c r="E13" s="210">
        <v>3255000</v>
      </c>
      <c r="H13" s="211">
        <v>1.63508910690192</v>
      </c>
      <c r="I13" s="212">
        <f t="shared" si="0"/>
        <v>1990717</v>
      </c>
    </row>
    <row r="14" spans="1:9" s="203" customFormat="1" ht="77.25" customHeight="1">
      <c r="A14" s="273"/>
      <c r="B14" s="207">
        <v>1</v>
      </c>
      <c r="C14" s="208" t="s">
        <v>190</v>
      </c>
      <c r="D14" s="226" t="s">
        <v>188</v>
      </c>
      <c r="E14" s="210">
        <v>2905000</v>
      </c>
      <c r="H14" s="211">
        <v>1.63508910690192</v>
      </c>
      <c r="I14" s="212">
        <f t="shared" si="0"/>
        <v>1776662</v>
      </c>
    </row>
    <row r="15" spans="1:9" s="203" customFormat="1" ht="40.5" customHeight="1">
      <c r="A15" s="274" t="s">
        <v>193</v>
      </c>
      <c r="B15" s="207">
        <v>3</v>
      </c>
      <c r="C15" s="206" t="s">
        <v>194</v>
      </c>
      <c r="D15" s="209" t="s">
        <v>195</v>
      </c>
      <c r="E15" s="210">
        <v>2792000</v>
      </c>
      <c r="H15" s="211">
        <v>1.63508910690192</v>
      </c>
      <c r="I15" s="212">
        <f t="shared" si="0"/>
        <v>1707552</v>
      </c>
    </row>
    <row r="16" spans="1:9" s="203" customFormat="1" ht="101.25" customHeight="1">
      <c r="A16" s="274"/>
      <c r="B16" s="227">
        <v>2</v>
      </c>
      <c r="C16" s="228" t="s">
        <v>194</v>
      </c>
      <c r="D16" s="229" t="s">
        <v>196</v>
      </c>
      <c r="E16" s="230">
        <v>2271000</v>
      </c>
      <c r="H16" s="211">
        <v>1.63508910690192</v>
      </c>
      <c r="I16" s="212">
        <f t="shared" si="0"/>
        <v>1388915</v>
      </c>
    </row>
    <row r="17" spans="1:9" s="203" customFormat="1" ht="115.5" customHeight="1">
      <c r="A17" s="221"/>
      <c r="B17" s="231">
        <v>1</v>
      </c>
      <c r="C17" s="221" t="s">
        <v>197</v>
      </c>
      <c r="D17" s="232" t="s">
        <v>198</v>
      </c>
      <c r="E17" s="233">
        <v>2109000</v>
      </c>
      <c r="H17" s="211">
        <v>1.63508910690192</v>
      </c>
      <c r="I17" s="212">
        <f t="shared" si="0"/>
        <v>1289838</v>
      </c>
    </row>
    <row r="18" spans="1:9" s="203" customFormat="1"/>
  </sheetData>
  <mergeCells count="5">
    <mergeCell ref="A1:E1"/>
    <mergeCell ref="A3:A8"/>
    <mergeCell ref="A10:A11"/>
    <mergeCell ref="A12:A14"/>
    <mergeCell ref="A15:A16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 OFICIAL</vt:lpstr>
      <vt:lpstr>FactorMultiplicador </vt:lpstr>
      <vt:lpstr>Polizas_Impuestos</vt:lpstr>
      <vt:lpstr>TABLA DE SALARIOS</vt:lpstr>
      <vt:lpstr>'FactorMultiplicador '!Área_de_impresión</vt:lpstr>
      <vt:lpstr>Polizas_Impuestos!Área_de_impresión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angelica maria hernandez arroyo</cp:lastModifiedBy>
  <cp:revision>0</cp:revision>
  <cp:lastPrinted>2026-09-07T22:22:28Z</cp:lastPrinted>
  <dcterms:created xsi:type="dcterms:W3CDTF">2022-08-23T03:50:48Z</dcterms:created>
  <dcterms:modified xsi:type="dcterms:W3CDTF">2026-10-01T02:19:00Z</dcterms:modified>
  <dc:language>en-US</dc:language>
</cp:coreProperties>
</file>