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1.0 PROYECTOS DFP\12. ACUEDUCTOS 2026\PLAN DE INVERSION\"/>
    </mc:Choice>
  </mc:AlternateContent>
  <xr:revisionPtr revIDLastSave="0" documentId="8_{9B44CEDF-D810-46D9-80A8-7F7A357243CE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RESUMEN" sheetId="1" r:id="rId1"/>
    <sheet name="PLAN SEMANAL" sheetId="2" r:id="rId2"/>
    <sheet name="DETALLE POR ÍTEM" sheetId="3" r:id="rId3"/>
    <sheet name="PROGRAMA DE OBRA" sheetId="4" r:id="rId4"/>
    <sheet name="COMPRAS MATERIALES" sheetId="5" r:id="rId5"/>
    <sheet name="BASE PRESUPUESTO" sheetId="6" r:id="rId6"/>
  </sheets>
  <definedNames>
    <definedName name="_xlnm._FilterDatabase" localSheetId="5" hidden="1">'BASE PRESUPUESTO'!$A$4:$S$97</definedName>
    <definedName name="_xlnm._FilterDatabase" localSheetId="4" hidden="1">'COMPRAS MATERIALES'!$A$4:$I$87</definedName>
    <definedName name="ADMIN">'BASE PRESUPUESTO'!$H$101</definedName>
    <definedName name="ANTICIPO">RESUMEN!$D$7</definedName>
    <definedName name="ANTICIPO_INVERTIDO">'DETALLE POR ÍTEM'!$L$120</definedName>
    <definedName name="_xlnm.Print_Area" localSheetId="0">RESUMEN!$A$1:$N$68</definedName>
    <definedName name="CD_TOTAL">'BASE PRESUPUESTO'!$H$98</definedName>
    <definedName name="F_INICIO">RESUMEN!$D$10</definedName>
    <definedName name="_xlnm.Print_Titles" localSheetId="5">'BASE PRESUPUESTO'!$4:$4</definedName>
    <definedName name="_xlnm.Print_Titles" localSheetId="4">'COMPRAS MATERIALES'!$4:$4</definedName>
    <definedName name="_xlnm.Print_Titles" localSheetId="2">'DETALLE POR ÍTEM'!$4:$5</definedName>
    <definedName name="_xlnm.Print_Titles" localSheetId="3">'PROGRAMA DE OBRA'!$4:$5</definedName>
    <definedName name="VR_CONTRATO">'BASE PRESUPUESTO'!$H$104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97" i="6" l="1"/>
  <c r="H97" i="6"/>
  <c r="N96" i="6"/>
  <c r="H96" i="6"/>
  <c r="N95" i="6"/>
  <c r="H95" i="6"/>
  <c r="N94" i="6"/>
  <c r="H94" i="6"/>
  <c r="N93" i="6"/>
  <c r="H93" i="6"/>
  <c r="N92" i="6"/>
  <c r="H92" i="6"/>
  <c r="N91" i="6"/>
  <c r="H91" i="6"/>
  <c r="N90" i="6"/>
  <c r="H90" i="6"/>
  <c r="N89" i="6"/>
  <c r="H89" i="6"/>
  <c r="N88" i="6"/>
  <c r="H88" i="6"/>
  <c r="N87" i="6"/>
  <c r="H87" i="6"/>
  <c r="N86" i="6"/>
  <c r="H86" i="6"/>
  <c r="N85" i="6"/>
  <c r="H85" i="6"/>
  <c r="N84" i="6"/>
  <c r="H84" i="6"/>
  <c r="N83" i="6"/>
  <c r="H83" i="6"/>
  <c r="N82" i="6"/>
  <c r="H82" i="6"/>
  <c r="N81" i="6"/>
  <c r="H81" i="6"/>
  <c r="N80" i="6"/>
  <c r="H80" i="6"/>
  <c r="N79" i="6"/>
  <c r="H79" i="6"/>
  <c r="N78" i="6"/>
  <c r="H78" i="6"/>
  <c r="N77" i="6"/>
  <c r="H77" i="6"/>
  <c r="N76" i="6"/>
  <c r="H76" i="6"/>
  <c r="N75" i="6"/>
  <c r="H75" i="6"/>
  <c r="N74" i="6"/>
  <c r="H74" i="6"/>
  <c r="N73" i="6"/>
  <c r="H73" i="6"/>
  <c r="N72" i="6"/>
  <c r="H72" i="6"/>
  <c r="N71" i="6"/>
  <c r="H71" i="6"/>
  <c r="N70" i="6"/>
  <c r="H70" i="6"/>
  <c r="N69" i="6"/>
  <c r="H69" i="6"/>
  <c r="N68" i="6"/>
  <c r="H68" i="6"/>
  <c r="N67" i="6"/>
  <c r="H67" i="6"/>
  <c r="N66" i="6"/>
  <c r="H66" i="6"/>
  <c r="N65" i="6"/>
  <c r="H65" i="6"/>
  <c r="N64" i="6"/>
  <c r="H64" i="6"/>
  <c r="N63" i="6"/>
  <c r="H63" i="6"/>
  <c r="N62" i="6"/>
  <c r="H62" i="6"/>
  <c r="N61" i="6"/>
  <c r="H61" i="6"/>
  <c r="N60" i="6"/>
  <c r="H60" i="6"/>
  <c r="N59" i="6"/>
  <c r="H59" i="6"/>
  <c r="N58" i="6"/>
  <c r="H58" i="6"/>
  <c r="N57" i="6"/>
  <c r="H57" i="6"/>
  <c r="N56" i="6"/>
  <c r="H56" i="6"/>
  <c r="N55" i="6"/>
  <c r="H55" i="6"/>
  <c r="N54" i="6"/>
  <c r="H54" i="6"/>
  <c r="N53" i="6"/>
  <c r="H53" i="6"/>
  <c r="N52" i="6"/>
  <c r="H52" i="6"/>
  <c r="N51" i="6"/>
  <c r="H51" i="6"/>
  <c r="N50" i="6"/>
  <c r="H50" i="6"/>
  <c r="N49" i="6"/>
  <c r="H49" i="6"/>
  <c r="N48" i="6"/>
  <c r="H48" i="6"/>
  <c r="N47" i="6"/>
  <c r="H47" i="6"/>
  <c r="N46" i="6"/>
  <c r="H46" i="6"/>
  <c r="N45" i="6"/>
  <c r="H45" i="6"/>
  <c r="N44" i="6"/>
  <c r="H44" i="6"/>
  <c r="N43" i="6"/>
  <c r="H43" i="6"/>
  <c r="N42" i="6"/>
  <c r="H42" i="6"/>
  <c r="N41" i="6"/>
  <c r="H41" i="6"/>
  <c r="N40" i="6"/>
  <c r="H40" i="6"/>
  <c r="N39" i="6"/>
  <c r="H39" i="6"/>
  <c r="N38" i="6"/>
  <c r="H38" i="6"/>
  <c r="N37" i="6"/>
  <c r="H37" i="6"/>
  <c r="N36" i="6"/>
  <c r="H36" i="6"/>
  <c r="N35" i="6"/>
  <c r="H35" i="6"/>
  <c r="N34" i="6"/>
  <c r="H34" i="6"/>
  <c r="N33" i="6"/>
  <c r="H33" i="6"/>
  <c r="N32" i="6"/>
  <c r="H32" i="6"/>
  <c r="N31" i="6"/>
  <c r="H31" i="6"/>
  <c r="N30" i="6"/>
  <c r="H30" i="6"/>
  <c r="N29" i="6"/>
  <c r="H29" i="6"/>
  <c r="N28" i="6"/>
  <c r="H28" i="6"/>
  <c r="N27" i="6"/>
  <c r="H27" i="6"/>
  <c r="N26" i="6"/>
  <c r="H26" i="6"/>
  <c r="N25" i="6"/>
  <c r="H25" i="6"/>
  <c r="N24" i="6"/>
  <c r="H24" i="6"/>
  <c r="N23" i="6"/>
  <c r="H23" i="6"/>
  <c r="N22" i="6"/>
  <c r="H22" i="6"/>
  <c r="N21" i="6"/>
  <c r="H21" i="6"/>
  <c r="R20" i="6"/>
  <c r="AM23" i="4" s="1"/>
  <c r="N20" i="6"/>
  <c r="H20" i="6"/>
  <c r="N19" i="6"/>
  <c r="H19" i="6"/>
  <c r="N18" i="6"/>
  <c r="H18" i="6"/>
  <c r="N17" i="6"/>
  <c r="H17" i="6"/>
  <c r="N16" i="6"/>
  <c r="H16" i="6"/>
  <c r="N15" i="6"/>
  <c r="H15" i="6"/>
  <c r="N14" i="6"/>
  <c r="H14" i="6"/>
  <c r="N13" i="6"/>
  <c r="H13" i="6"/>
  <c r="N12" i="6"/>
  <c r="H12" i="6"/>
  <c r="N11" i="6"/>
  <c r="H11" i="6"/>
  <c r="N10" i="6"/>
  <c r="H10" i="6"/>
  <c r="N9" i="6"/>
  <c r="H9" i="6"/>
  <c r="N8" i="6"/>
  <c r="H8" i="6"/>
  <c r="N7" i="6"/>
  <c r="H7" i="6"/>
  <c r="N6" i="6"/>
  <c r="H6" i="6"/>
  <c r="N5" i="6"/>
  <c r="H5" i="6"/>
  <c r="I87" i="5"/>
  <c r="G87" i="5"/>
  <c r="B87" i="5"/>
  <c r="I86" i="5"/>
  <c r="G86" i="5"/>
  <c r="B86" i="5"/>
  <c r="I85" i="5"/>
  <c r="G85" i="5"/>
  <c r="B85" i="5"/>
  <c r="I84" i="5"/>
  <c r="G84" i="5"/>
  <c r="B84" i="5"/>
  <c r="I83" i="5"/>
  <c r="G83" i="5"/>
  <c r="B83" i="5"/>
  <c r="I82" i="5"/>
  <c r="G82" i="5"/>
  <c r="B82" i="5"/>
  <c r="I81" i="5"/>
  <c r="G81" i="5"/>
  <c r="B81" i="5"/>
  <c r="I80" i="5"/>
  <c r="G80" i="5"/>
  <c r="B80" i="5"/>
  <c r="I79" i="5"/>
  <c r="G79" i="5"/>
  <c r="B79" i="5"/>
  <c r="I78" i="5"/>
  <c r="G78" i="5"/>
  <c r="B78" i="5"/>
  <c r="I77" i="5"/>
  <c r="G77" i="5"/>
  <c r="B77" i="5"/>
  <c r="I76" i="5"/>
  <c r="G76" i="5"/>
  <c r="B76" i="5"/>
  <c r="I75" i="5"/>
  <c r="G75" i="5"/>
  <c r="B75" i="5"/>
  <c r="I74" i="5"/>
  <c r="G74" i="5"/>
  <c r="B74" i="5"/>
  <c r="I73" i="5"/>
  <c r="G73" i="5"/>
  <c r="B73" i="5"/>
  <c r="I72" i="5"/>
  <c r="G72" i="5"/>
  <c r="B72" i="5"/>
  <c r="I71" i="5"/>
  <c r="G71" i="5"/>
  <c r="B71" i="5"/>
  <c r="I70" i="5"/>
  <c r="G70" i="5"/>
  <c r="B70" i="5"/>
  <c r="I69" i="5"/>
  <c r="G69" i="5"/>
  <c r="B69" i="5"/>
  <c r="I68" i="5"/>
  <c r="G68" i="5"/>
  <c r="B68" i="5"/>
  <c r="I67" i="5"/>
  <c r="G67" i="5"/>
  <c r="B67" i="5"/>
  <c r="I66" i="5"/>
  <c r="G66" i="5"/>
  <c r="B66" i="5"/>
  <c r="I65" i="5"/>
  <c r="G65" i="5"/>
  <c r="B65" i="5"/>
  <c r="I64" i="5"/>
  <c r="G64" i="5"/>
  <c r="B64" i="5"/>
  <c r="I63" i="5"/>
  <c r="G63" i="5"/>
  <c r="B63" i="5"/>
  <c r="I62" i="5"/>
  <c r="G62" i="5"/>
  <c r="B62" i="5"/>
  <c r="I61" i="5"/>
  <c r="G61" i="5"/>
  <c r="B61" i="5"/>
  <c r="I60" i="5"/>
  <c r="G60" i="5"/>
  <c r="B60" i="5"/>
  <c r="I59" i="5"/>
  <c r="G59" i="5"/>
  <c r="B59" i="5"/>
  <c r="I58" i="5"/>
  <c r="G58" i="5"/>
  <c r="B58" i="5"/>
  <c r="I57" i="5"/>
  <c r="G57" i="5"/>
  <c r="B57" i="5"/>
  <c r="I56" i="5"/>
  <c r="G56" i="5"/>
  <c r="B56" i="5"/>
  <c r="I55" i="5"/>
  <c r="G55" i="5"/>
  <c r="B55" i="5"/>
  <c r="I54" i="5"/>
  <c r="G54" i="5"/>
  <c r="B54" i="5"/>
  <c r="I53" i="5"/>
  <c r="G53" i="5"/>
  <c r="B53" i="5"/>
  <c r="I52" i="5"/>
  <c r="G52" i="5"/>
  <c r="B52" i="5"/>
  <c r="I51" i="5"/>
  <c r="G51" i="5"/>
  <c r="B51" i="5"/>
  <c r="I50" i="5"/>
  <c r="G50" i="5"/>
  <c r="B50" i="5"/>
  <c r="I49" i="5"/>
  <c r="G49" i="5"/>
  <c r="B49" i="5"/>
  <c r="I48" i="5"/>
  <c r="G48" i="5"/>
  <c r="B48" i="5"/>
  <c r="I47" i="5"/>
  <c r="G47" i="5"/>
  <c r="B47" i="5"/>
  <c r="I46" i="5"/>
  <c r="G46" i="5"/>
  <c r="B46" i="5"/>
  <c r="I45" i="5"/>
  <c r="G45" i="5"/>
  <c r="B45" i="5"/>
  <c r="I44" i="5"/>
  <c r="G44" i="5"/>
  <c r="B44" i="5"/>
  <c r="I43" i="5"/>
  <c r="G43" i="5"/>
  <c r="B43" i="5"/>
  <c r="I42" i="5"/>
  <c r="G42" i="5"/>
  <c r="B42" i="5"/>
  <c r="I41" i="5"/>
  <c r="G41" i="5"/>
  <c r="B41" i="5"/>
  <c r="I40" i="5"/>
  <c r="G40" i="5"/>
  <c r="B40" i="5"/>
  <c r="I39" i="5"/>
  <c r="G39" i="5"/>
  <c r="B39" i="5"/>
  <c r="I38" i="5"/>
  <c r="G38" i="5"/>
  <c r="B38" i="5"/>
  <c r="I37" i="5"/>
  <c r="G37" i="5"/>
  <c r="B37" i="5"/>
  <c r="I36" i="5"/>
  <c r="G36" i="5"/>
  <c r="B36" i="5"/>
  <c r="I35" i="5"/>
  <c r="G35" i="5"/>
  <c r="B35" i="5"/>
  <c r="I34" i="5"/>
  <c r="G34" i="5"/>
  <c r="B34" i="5"/>
  <c r="I33" i="5"/>
  <c r="G33" i="5"/>
  <c r="B33" i="5"/>
  <c r="I32" i="5"/>
  <c r="G32" i="5"/>
  <c r="B32" i="5"/>
  <c r="I31" i="5"/>
  <c r="G31" i="5"/>
  <c r="B31" i="5"/>
  <c r="I30" i="5"/>
  <c r="G30" i="5"/>
  <c r="B30" i="5"/>
  <c r="I29" i="5"/>
  <c r="G29" i="5"/>
  <c r="B29" i="5"/>
  <c r="I28" i="5"/>
  <c r="G28" i="5"/>
  <c r="B28" i="5"/>
  <c r="I27" i="5"/>
  <c r="G27" i="5"/>
  <c r="B27" i="5"/>
  <c r="I26" i="5"/>
  <c r="G26" i="5"/>
  <c r="B26" i="5"/>
  <c r="I25" i="5"/>
  <c r="G25" i="5"/>
  <c r="B25" i="5"/>
  <c r="I24" i="5"/>
  <c r="G24" i="5"/>
  <c r="B24" i="5"/>
  <c r="I23" i="5"/>
  <c r="G23" i="5"/>
  <c r="B23" i="5"/>
  <c r="I22" i="5"/>
  <c r="G22" i="5"/>
  <c r="B22" i="5"/>
  <c r="I21" i="5"/>
  <c r="G21" i="5"/>
  <c r="B21" i="5"/>
  <c r="I20" i="5"/>
  <c r="G20" i="5"/>
  <c r="B20" i="5"/>
  <c r="I19" i="5"/>
  <c r="G19" i="5"/>
  <c r="B19" i="5"/>
  <c r="I18" i="5"/>
  <c r="G18" i="5"/>
  <c r="B18" i="5"/>
  <c r="I17" i="5"/>
  <c r="G17" i="5"/>
  <c r="B17" i="5"/>
  <c r="I16" i="5"/>
  <c r="G16" i="5"/>
  <c r="B16" i="5"/>
  <c r="I15" i="5"/>
  <c r="G15" i="5"/>
  <c r="B15" i="5"/>
  <c r="I14" i="5"/>
  <c r="G14" i="5"/>
  <c r="B14" i="5"/>
  <c r="I13" i="5"/>
  <c r="G13" i="5"/>
  <c r="B13" i="5"/>
  <c r="I12" i="5"/>
  <c r="G12" i="5"/>
  <c r="B12" i="5"/>
  <c r="I11" i="5"/>
  <c r="G11" i="5"/>
  <c r="B11" i="5"/>
  <c r="I10" i="5"/>
  <c r="G10" i="5"/>
  <c r="B10" i="5"/>
  <c r="I9" i="5"/>
  <c r="G9" i="5"/>
  <c r="B9" i="5"/>
  <c r="I8" i="5"/>
  <c r="G8" i="5"/>
  <c r="B8" i="5"/>
  <c r="I7" i="5"/>
  <c r="G7" i="5"/>
  <c r="B7" i="5"/>
  <c r="I6" i="5"/>
  <c r="G6" i="5"/>
  <c r="B6" i="5"/>
  <c r="I5" i="5"/>
  <c r="G5" i="5"/>
  <c r="G89" i="5" s="1"/>
  <c r="B5" i="5"/>
  <c r="S105" i="4"/>
  <c r="E105" i="4"/>
  <c r="D105" i="4"/>
  <c r="C105" i="4"/>
  <c r="A105" i="4"/>
  <c r="AH103" i="4"/>
  <c r="S103" i="4"/>
  <c r="E103" i="4"/>
  <c r="D103" i="4"/>
  <c r="C103" i="4"/>
  <c r="A103" i="4"/>
  <c r="AH102" i="4"/>
  <c r="S102" i="4"/>
  <c r="E102" i="4"/>
  <c r="D102" i="4"/>
  <c r="C102" i="4"/>
  <c r="A102" i="4"/>
  <c r="AH101" i="4"/>
  <c r="S101" i="4"/>
  <c r="D101" i="4"/>
  <c r="C101" i="4"/>
  <c r="A101" i="4"/>
  <c r="AH100" i="4"/>
  <c r="S100" i="4"/>
  <c r="D100" i="4"/>
  <c r="C100" i="4"/>
  <c r="A100" i="4"/>
  <c r="AH99" i="4"/>
  <c r="S99" i="4"/>
  <c r="D99" i="4"/>
  <c r="C99" i="4"/>
  <c r="A99" i="4"/>
  <c r="AH98" i="4"/>
  <c r="S98" i="4"/>
  <c r="D98" i="4"/>
  <c r="C98" i="4"/>
  <c r="A98" i="4"/>
  <c r="AH97" i="4"/>
  <c r="S97" i="4"/>
  <c r="D97" i="4"/>
  <c r="C97" i="4"/>
  <c r="A97" i="4"/>
  <c r="AH96" i="4"/>
  <c r="S96" i="4"/>
  <c r="D96" i="4"/>
  <c r="C96" i="4"/>
  <c r="A96" i="4"/>
  <c r="AH95" i="4"/>
  <c r="S95" i="4"/>
  <c r="D95" i="4"/>
  <c r="C95" i="4"/>
  <c r="A95" i="4"/>
  <c r="AH94" i="4"/>
  <c r="S94" i="4"/>
  <c r="D94" i="4"/>
  <c r="C94" i="4"/>
  <c r="A94" i="4"/>
  <c r="AH93" i="4"/>
  <c r="S93" i="4"/>
  <c r="E93" i="4"/>
  <c r="D93" i="4"/>
  <c r="C93" i="4"/>
  <c r="A93" i="4"/>
  <c r="AH92" i="4"/>
  <c r="S92" i="4"/>
  <c r="E92" i="4"/>
  <c r="D92" i="4"/>
  <c r="C92" i="4"/>
  <c r="A92" i="4"/>
  <c r="AH91" i="4"/>
  <c r="S91" i="4"/>
  <c r="E91" i="4"/>
  <c r="D91" i="4"/>
  <c r="C91" i="4"/>
  <c r="A91" i="4"/>
  <c r="AH90" i="4"/>
  <c r="S90" i="4"/>
  <c r="E90" i="4"/>
  <c r="D90" i="4"/>
  <c r="C90" i="4"/>
  <c r="A90" i="4"/>
  <c r="AH89" i="4"/>
  <c r="S89" i="4"/>
  <c r="E89" i="4"/>
  <c r="D89" i="4"/>
  <c r="C89" i="4"/>
  <c r="A89" i="4"/>
  <c r="AH87" i="4"/>
  <c r="S87" i="4"/>
  <c r="E87" i="4"/>
  <c r="D87" i="4"/>
  <c r="C87" i="4"/>
  <c r="A87" i="4"/>
  <c r="AH85" i="4"/>
  <c r="S85" i="4"/>
  <c r="E85" i="4"/>
  <c r="D85" i="4"/>
  <c r="C85" i="4"/>
  <c r="A85" i="4"/>
  <c r="AH84" i="4"/>
  <c r="S84" i="4"/>
  <c r="E84" i="4"/>
  <c r="D84" i="4"/>
  <c r="C84" i="4"/>
  <c r="A84" i="4"/>
  <c r="AH83" i="4"/>
  <c r="S83" i="4"/>
  <c r="E83" i="4"/>
  <c r="D83" i="4"/>
  <c r="C83" i="4"/>
  <c r="A83" i="4"/>
  <c r="AH82" i="4"/>
  <c r="S82" i="4"/>
  <c r="E82" i="4"/>
  <c r="D82" i="4"/>
  <c r="C82" i="4"/>
  <c r="A82" i="4"/>
  <c r="AH81" i="4"/>
  <c r="S81" i="4"/>
  <c r="E81" i="4"/>
  <c r="D81" i="4"/>
  <c r="C81" i="4"/>
  <c r="A81" i="4"/>
  <c r="AH80" i="4"/>
  <c r="S80" i="4"/>
  <c r="E80" i="4"/>
  <c r="D80" i="4"/>
  <c r="C80" i="4"/>
  <c r="A80" i="4"/>
  <c r="AH79" i="4"/>
  <c r="S79" i="4"/>
  <c r="E79" i="4"/>
  <c r="D79" i="4"/>
  <c r="C79" i="4"/>
  <c r="A79" i="4"/>
  <c r="AH78" i="4"/>
  <c r="S78" i="4"/>
  <c r="E78" i="4"/>
  <c r="D78" i="4"/>
  <c r="C78" i="4"/>
  <c r="A78" i="4"/>
  <c r="AH77" i="4"/>
  <c r="S77" i="4"/>
  <c r="E77" i="4"/>
  <c r="D77" i="4"/>
  <c r="C77" i="4"/>
  <c r="A77" i="4"/>
  <c r="AH76" i="4"/>
  <c r="S76" i="4"/>
  <c r="E76" i="4"/>
  <c r="D76" i="4"/>
  <c r="C76" i="4"/>
  <c r="A76" i="4"/>
  <c r="AH75" i="4"/>
  <c r="S75" i="4"/>
  <c r="E75" i="4"/>
  <c r="D75" i="4"/>
  <c r="C75" i="4"/>
  <c r="A75" i="4"/>
  <c r="AH74" i="4"/>
  <c r="S74" i="4"/>
  <c r="E74" i="4"/>
  <c r="D74" i="4"/>
  <c r="C74" i="4"/>
  <c r="A74" i="4"/>
  <c r="AH73" i="4"/>
  <c r="S73" i="4"/>
  <c r="E73" i="4"/>
  <c r="D73" i="4"/>
  <c r="C73" i="4"/>
  <c r="A73" i="4"/>
  <c r="AH72" i="4"/>
  <c r="S72" i="4"/>
  <c r="E72" i="4"/>
  <c r="D72" i="4"/>
  <c r="C72" i="4"/>
  <c r="A72" i="4"/>
  <c r="AH71" i="4"/>
  <c r="S71" i="4"/>
  <c r="E71" i="4"/>
  <c r="D71" i="4"/>
  <c r="C71" i="4"/>
  <c r="A71" i="4"/>
  <c r="AH70" i="4"/>
  <c r="S70" i="4"/>
  <c r="E70" i="4"/>
  <c r="D70" i="4"/>
  <c r="C70" i="4"/>
  <c r="A70" i="4"/>
  <c r="AH69" i="4"/>
  <c r="S69" i="4"/>
  <c r="E69" i="4"/>
  <c r="D69" i="4"/>
  <c r="C69" i="4"/>
  <c r="A69" i="4"/>
  <c r="AH68" i="4"/>
  <c r="S68" i="4"/>
  <c r="E68" i="4"/>
  <c r="D68" i="4"/>
  <c r="C68" i="4"/>
  <c r="A68" i="4"/>
  <c r="AH67" i="4"/>
  <c r="S67" i="4"/>
  <c r="E67" i="4"/>
  <c r="D67" i="4"/>
  <c r="C67" i="4"/>
  <c r="A67" i="4"/>
  <c r="AH66" i="4"/>
  <c r="S66" i="4"/>
  <c r="E66" i="4"/>
  <c r="D66" i="4"/>
  <c r="C66" i="4"/>
  <c r="A66" i="4"/>
  <c r="AH64" i="4"/>
  <c r="S64" i="4"/>
  <c r="E64" i="4"/>
  <c r="D64" i="4"/>
  <c r="C64" i="4"/>
  <c r="A64" i="4"/>
  <c r="AH63" i="4"/>
  <c r="S63" i="4"/>
  <c r="E63" i="4"/>
  <c r="D63" i="4"/>
  <c r="C63" i="4"/>
  <c r="A63" i="4"/>
  <c r="AH62" i="4"/>
  <c r="S62" i="4"/>
  <c r="E62" i="4"/>
  <c r="D62" i="4"/>
  <c r="C62" i="4"/>
  <c r="A62" i="4"/>
  <c r="AH61" i="4"/>
  <c r="S61" i="4"/>
  <c r="E61" i="4"/>
  <c r="D61" i="4"/>
  <c r="C61" i="4"/>
  <c r="A61" i="4"/>
  <c r="AH60" i="4"/>
  <c r="S60" i="4"/>
  <c r="E60" i="4"/>
  <c r="D60" i="4"/>
  <c r="C60" i="4"/>
  <c r="A60" i="4"/>
  <c r="AH59" i="4"/>
  <c r="S59" i="4"/>
  <c r="E59" i="4"/>
  <c r="D59" i="4"/>
  <c r="C59" i="4"/>
  <c r="A59" i="4"/>
  <c r="AH58" i="4"/>
  <c r="S58" i="4"/>
  <c r="E58" i="4"/>
  <c r="D58" i="4"/>
  <c r="C58" i="4"/>
  <c r="A58" i="4"/>
  <c r="AH57" i="4"/>
  <c r="S57" i="4"/>
  <c r="E57" i="4"/>
  <c r="D57" i="4"/>
  <c r="C57" i="4"/>
  <c r="A57" i="4"/>
  <c r="AH56" i="4"/>
  <c r="S56" i="4"/>
  <c r="E56" i="4"/>
  <c r="D56" i="4"/>
  <c r="C56" i="4"/>
  <c r="A56" i="4"/>
  <c r="AH55" i="4"/>
  <c r="S55" i="4"/>
  <c r="E55" i="4"/>
  <c r="D55" i="4"/>
  <c r="C55" i="4"/>
  <c r="A55" i="4"/>
  <c r="AH54" i="4"/>
  <c r="S54" i="4"/>
  <c r="E54" i="4"/>
  <c r="D54" i="4"/>
  <c r="C54" i="4"/>
  <c r="A54" i="4"/>
  <c r="AH53" i="4"/>
  <c r="S53" i="4"/>
  <c r="E53" i="4"/>
  <c r="D53" i="4"/>
  <c r="C53" i="4"/>
  <c r="A53" i="4"/>
  <c r="AH52" i="4"/>
  <c r="S52" i="4"/>
  <c r="E52" i="4"/>
  <c r="D52" i="4"/>
  <c r="C52" i="4"/>
  <c r="A52" i="4"/>
  <c r="AH51" i="4"/>
  <c r="S51" i="4"/>
  <c r="D51" i="4"/>
  <c r="C51" i="4"/>
  <c r="A51" i="4"/>
  <c r="AH50" i="4"/>
  <c r="S50" i="4"/>
  <c r="D50" i="4"/>
  <c r="C50" i="4"/>
  <c r="A50" i="4"/>
  <c r="AH49" i="4"/>
  <c r="S49" i="4"/>
  <c r="D49" i="4"/>
  <c r="C49" i="4"/>
  <c r="A49" i="4"/>
  <c r="AH48" i="4"/>
  <c r="S48" i="4"/>
  <c r="D48" i="4"/>
  <c r="C48" i="4"/>
  <c r="A48" i="4"/>
  <c r="AH47" i="4"/>
  <c r="S47" i="4"/>
  <c r="D47" i="4"/>
  <c r="C47" i="4"/>
  <c r="A47" i="4"/>
  <c r="AH46" i="4"/>
  <c r="S46" i="4"/>
  <c r="D46" i="4"/>
  <c r="C46" i="4"/>
  <c r="A46" i="4"/>
  <c r="AH45" i="4"/>
  <c r="S45" i="4"/>
  <c r="D45" i="4"/>
  <c r="C45" i="4"/>
  <c r="A45" i="4"/>
  <c r="AH44" i="4"/>
  <c r="S44" i="4"/>
  <c r="D44" i="4"/>
  <c r="C44" i="4"/>
  <c r="A44" i="4"/>
  <c r="AH43" i="4"/>
  <c r="S43" i="4"/>
  <c r="D43" i="4"/>
  <c r="C43" i="4"/>
  <c r="A43" i="4"/>
  <c r="AH42" i="4"/>
  <c r="S42" i="4"/>
  <c r="D42" i="4"/>
  <c r="C42" i="4"/>
  <c r="A42" i="4"/>
  <c r="AH40" i="4"/>
  <c r="S40" i="4"/>
  <c r="D40" i="4"/>
  <c r="C40" i="4"/>
  <c r="A40" i="4"/>
  <c r="AH39" i="4"/>
  <c r="S39" i="4"/>
  <c r="D39" i="4"/>
  <c r="C39" i="4"/>
  <c r="A39" i="4"/>
  <c r="AH38" i="4"/>
  <c r="S38" i="4"/>
  <c r="D38" i="4"/>
  <c r="C38" i="4"/>
  <c r="A38" i="4"/>
  <c r="AH37" i="4"/>
  <c r="S37" i="4"/>
  <c r="D37" i="4"/>
  <c r="C37" i="4"/>
  <c r="A37" i="4"/>
  <c r="AH36" i="4"/>
  <c r="S36" i="4"/>
  <c r="D36" i="4"/>
  <c r="C36" i="4"/>
  <c r="A36" i="4"/>
  <c r="AH35" i="4"/>
  <c r="S35" i="4"/>
  <c r="D35" i="4"/>
  <c r="C35" i="4"/>
  <c r="A35" i="4"/>
  <c r="AH34" i="4"/>
  <c r="S34" i="4"/>
  <c r="D34" i="4"/>
  <c r="C34" i="4"/>
  <c r="A34" i="4"/>
  <c r="AH33" i="4"/>
  <c r="S33" i="4"/>
  <c r="D33" i="4"/>
  <c r="C33" i="4"/>
  <c r="A33" i="4"/>
  <c r="AH32" i="4"/>
  <c r="S32" i="4"/>
  <c r="D32" i="4"/>
  <c r="C32" i="4"/>
  <c r="A32" i="4"/>
  <c r="AH31" i="4"/>
  <c r="S31" i="4"/>
  <c r="D31" i="4"/>
  <c r="C31" i="4"/>
  <c r="A31" i="4"/>
  <c r="AH30" i="4"/>
  <c r="S30" i="4"/>
  <c r="D30" i="4"/>
  <c r="C30" i="4"/>
  <c r="A30" i="4"/>
  <c r="AH29" i="4"/>
  <c r="S29" i="4"/>
  <c r="D29" i="4"/>
  <c r="C29" i="4"/>
  <c r="A29" i="4"/>
  <c r="AH28" i="4"/>
  <c r="S28" i="4"/>
  <c r="D28" i="4"/>
  <c r="C28" i="4"/>
  <c r="A28" i="4"/>
  <c r="AH27" i="4"/>
  <c r="S27" i="4"/>
  <c r="D27" i="4"/>
  <c r="C27" i="4"/>
  <c r="A27" i="4"/>
  <c r="AH26" i="4"/>
  <c r="S26" i="4"/>
  <c r="D26" i="4"/>
  <c r="C26" i="4"/>
  <c r="A26" i="4"/>
  <c r="AH25" i="4"/>
  <c r="S25" i="4"/>
  <c r="D25" i="4"/>
  <c r="C25" i="4"/>
  <c r="A25" i="4"/>
  <c r="AH24" i="4"/>
  <c r="S24" i="4"/>
  <c r="D24" i="4"/>
  <c r="C24" i="4"/>
  <c r="A24" i="4"/>
  <c r="AH23" i="4"/>
  <c r="S23" i="4"/>
  <c r="E23" i="4"/>
  <c r="D23" i="4"/>
  <c r="C23" i="4"/>
  <c r="A23" i="4"/>
  <c r="AH22" i="4"/>
  <c r="S22" i="4"/>
  <c r="E22" i="4"/>
  <c r="D22" i="4"/>
  <c r="C22" i="4"/>
  <c r="A22" i="4"/>
  <c r="AH21" i="4"/>
  <c r="S21" i="4"/>
  <c r="E21" i="4"/>
  <c r="D21" i="4"/>
  <c r="C21" i="4"/>
  <c r="A21" i="4"/>
  <c r="AH20" i="4"/>
  <c r="S20" i="4"/>
  <c r="E20" i="4"/>
  <c r="D20" i="4"/>
  <c r="C20" i="4"/>
  <c r="A20" i="4"/>
  <c r="AH19" i="4"/>
  <c r="S19" i="4"/>
  <c r="E19" i="4"/>
  <c r="D19" i="4"/>
  <c r="C19" i="4"/>
  <c r="A19" i="4"/>
  <c r="AH17" i="4"/>
  <c r="S17" i="4"/>
  <c r="E17" i="4"/>
  <c r="D17" i="4"/>
  <c r="C17" i="4"/>
  <c r="A17" i="4"/>
  <c r="AH16" i="4"/>
  <c r="S16" i="4"/>
  <c r="E16" i="4"/>
  <c r="D16" i="4"/>
  <c r="C16" i="4"/>
  <c r="A16" i="4"/>
  <c r="AH15" i="4"/>
  <c r="S15" i="4"/>
  <c r="E15" i="4"/>
  <c r="D15" i="4"/>
  <c r="C15" i="4"/>
  <c r="A15" i="4"/>
  <c r="AH14" i="4"/>
  <c r="S14" i="4"/>
  <c r="E14" i="4"/>
  <c r="D14" i="4"/>
  <c r="C14" i="4"/>
  <c r="A14" i="4"/>
  <c r="AH13" i="4"/>
  <c r="S13" i="4"/>
  <c r="E13" i="4"/>
  <c r="D13" i="4"/>
  <c r="C13" i="4"/>
  <c r="A13" i="4"/>
  <c r="AH12" i="4"/>
  <c r="S12" i="4"/>
  <c r="D12" i="4"/>
  <c r="C12" i="4"/>
  <c r="A12" i="4"/>
  <c r="AH11" i="4"/>
  <c r="S11" i="4"/>
  <c r="D11" i="4"/>
  <c r="C11" i="4"/>
  <c r="A11" i="4"/>
  <c r="AH10" i="4"/>
  <c r="S10" i="4"/>
  <c r="D10" i="4"/>
  <c r="C10" i="4"/>
  <c r="A10" i="4"/>
  <c r="AH9" i="4"/>
  <c r="S9" i="4"/>
  <c r="D9" i="4"/>
  <c r="C9" i="4"/>
  <c r="A9" i="4"/>
  <c r="AH8" i="4"/>
  <c r="S8" i="4"/>
  <c r="D8" i="4"/>
  <c r="C8" i="4"/>
  <c r="A8" i="4"/>
  <c r="AH7" i="4"/>
  <c r="S7" i="4"/>
  <c r="D7" i="4"/>
  <c r="C7" i="4"/>
  <c r="A7" i="4"/>
  <c r="AG5" i="4"/>
  <c r="AF5" i="4"/>
  <c r="AE5" i="4"/>
  <c r="AD5" i="4"/>
  <c r="AC5" i="4"/>
  <c r="AB5" i="4"/>
  <c r="AA5" i="4"/>
  <c r="Z5" i="4"/>
  <c r="Y5" i="4"/>
  <c r="X5" i="4"/>
  <c r="W5" i="4"/>
  <c r="V5" i="4"/>
  <c r="U5" i="4"/>
  <c r="R5" i="4"/>
  <c r="Q5" i="4"/>
  <c r="P5" i="4"/>
  <c r="O5" i="4"/>
  <c r="N5" i="4"/>
  <c r="M5" i="4"/>
  <c r="L5" i="4"/>
  <c r="K5" i="4"/>
  <c r="J5" i="4"/>
  <c r="I5" i="4"/>
  <c r="H5" i="4"/>
  <c r="G5" i="4"/>
  <c r="F5" i="4"/>
  <c r="E117" i="3"/>
  <c r="D117" i="3"/>
  <c r="C117" i="3"/>
  <c r="B117" i="3"/>
  <c r="A117" i="3"/>
  <c r="E113" i="3"/>
  <c r="D113" i="3"/>
  <c r="C113" i="3"/>
  <c r="B113" i="3"/>
  <c r="A113" i="3"/>
  <c r="E112" i="3"/>
  <c r="D112" i="3"/>
  <c r="C112" i="3"/>
  <c r="B112" i="3"/>
  <c r="A112" i="3"/>
  <c r="E111" i="3"/>
  <c r="D111" i="3"/>
  <c r="C111" i="3"/>
  <c r="B111" i="3"/>
  <c r="A111" i="3"/>
  <c r="E110" i="3"/>
  <c r="D110" i="3"/>
  <c r="C110" i="3"/>
  <c r="B110" i="3"/>
  <c r="A110" i="3"/>
  <c r="E109" i="3"/>
  <c r="D109" i="3"/>
  <c r="C109" i="3"/>
  <c r="B109" i="3"/>
  <c r="A109" i="3"/>
  <c r="E108" i="3"/>
  <c r="D108" i="3"/>
  <c r="C108" i="3"/>
  <c r="B108" i="3"/>
  <c r="A108" i="3"/>
  <c r="E107" i="3"/>
  <c r="D107" i="3"/>
  <c r="C107" i="3"/>
  <c r="B107" i="3"/>
  <c r="A107" i="3"/>
  <c r="E106" i="3"/>
  <c r="D106" i="3"/>
  <c r="C106" i="3"/>
  <c r="B106" i="3"/>
  <c r="A106" i="3"/>
  <c r="E105" i="3"/>
  <c r="D105" i="3"/>
  <c r="C105" i="3"/>
  <c r="B105" i="3"/>
  <c r="A105" i="3"/>
  <c r="E104" i="3"/>
  <c r="D104" i="3"/>
  <c r="C104" i="3"/>
  <c r="B104" i="3"/>
  <c r="A104" i="3"/>
  <c r="E103" i="3"/>
  <c r="D103" i="3"/>
  <c r="C103" i="3"/>
  <c r="B103" i="3"/>
  <c r="A103" i="3"/>
  <c r="E102" i="3"/>
  <c r="D102" i="3"/>
  <c r="C102" i="3"/>
  <c r="B102" i="3"/>
  <c r="A102" i="3"/>
  <c r="E101" i="3"/>
  <c r="D101" i="3"/>
  <c r="C101" i="3"/>
  <c r="B101" i="3"/>
  <c r="A101" i="3"/>
  <c r="E100" i="3"/>
  <c r="D100" i="3"/>
  <c r="C100" i="3"/>
  <c r="B100" i="3"/>
  <c r="A100" i="3"/>
  <c r="E99" i="3"/>
  <c r="D99" i="3"/>
  <c r="C99" i="3"/>
  <c r="B99" i="3"/>
  <c r="A99" i="3"/>
  <c r="E95" i="3"/>
  <c r="D95" i="3"/>
  <c r="C95" i="3"/>
  <c r="B95" i="3"/>
  <c r="A95" i="3"/>
  <c r="E91" i="3"/>
  <c r="D91" i="3"/>
  <c r="C91" i="3"/>
  <c r="B91" i="3"/>
  <c r="A91" i="3"/>
  <c r="E90" i="3"/>
  <c r="D90" i="3"/>
  <c r="C90" i="3"/>
  <c r="B90" i="3"/>
  <c r="A90" i="3"/>
  <c r="E89" i="3"/>
  <c r="D89" i="3"/>
  <c r="C89" i="3"/>
  <c r="B89" i="3"/>
  <c r="A89" i="3"/>
  <c r="E88" i="3"/>
  <c r="D88" i="3"/>
  <c r="C88" i="3"/>
  <c r="B88" i="3"/>
  <c r="A88" i="3"/>
  <c r="E87" i="3"/>
  <c r="D87" i="3"/>
  <c r="C87" i="3"/>
  <c r="B87" i="3"/>
  <c r="A87" i="3"/>
  <c r="E86" i="3"/>
  <c r="D86" i="3"/>
  <c r="C86" i="3"/>
  <c r="B86" i="3"/>
  <c r="A86" i="3"/>
  <c r="E85" i="3"/>
  <c r="D85" i="3"/>
  <c r="C85" i="3"/>
  <c r="B85" i="3"/>
  <c r="A85" i="3"/>
  <c r="D84" i="3"/>
  <c r="C84" i="3"/>
  <c r="B84" i="3"/>
  <c r="A84" i="3"/>
  <c r="D83" i="3"/>
  <c r="C83" i="3"/>
  <c r="B83" i="3"/>
  <c r="A83" i="3"/>
  <c r="D82" i="3"/>
  <c r="C82" i="3"/>
  <c r="B82" i="3"/>
  <c r="A82" i="3"/>
  <c r="D81" i="3"/>
  <c r="C81" i="3"/>
  <c r="B81" i="3"/>
  <c r="A81" i="3"/>
  <c r="D80" i="3"/>
  <c r="C80" i="3"/>
  <c r="B80" i="3"/>
  <c r="A80" i="3"/>
  <c r="D79" i="3"/>
  <c r="C79" i="3"/>
  <c r="B79" i="3"/>
  <c r="A79" i="3"/>
  <c r="D78" i="3"/>
  <c r="C78" i="3"/>
  <c r="B78" i="3"/>
  <c r="A78" i="3"/>
  <c r="D77" i="3"/>
  <c r="C77" i="3"/>
  <c r="B77" i="3"/>
  <c r="A77" i="3"/>
  <c r="E76" i="3"/>
  <c r="D76" i="3"/>
  <c r="C76" i="3"/>
  <c r="B76" i="3"/>
  <c r="A76" i="3"/>
  <c r="E75" i="3"/>
  <c r="D75" i="3"/>
  <c r="C75" i="3"/>
  <c r="B75" i="3"/>
  <c r="A75" i="3"/>
  <c r="E74" i="3"/>
  <c r="D74" i="3"/>
  <c r="C74" i="3"/>
  <c r="B74" i="3"/>
  <c r="A74" i="3"/>
  <c r="E73" i="3"/>
  <c r="D73" i="3"/>
  <c r="C73" i="3"/>
  <c r="B73" i="3"/>
  <c r="A73" i="3"/>
  <c r="E72" i="3"/>
  <c r="D72" i="3"/>
  <c r="C72" i="3"/>
  <c r="B72" i="3"/>
  <c r="A72" i="3"/>
  <c r="E68" i="3"/>
  <c r="D68" i="3"/>
  <c r="C68" i="3"/>
  <c r="B68" i="3"/>
  <c r="A68" i="3"/>
  <c r="E67" i="3"/>
  <c r="D67" i="3"/>
  <c r="C67" i="3"/>
  <c r="B67" i="3"/>
  <c r="A67" i="3"/>
  <c r="E66" i="3"/>
  <c r="D66" i="3"/>
  <c r="C66" i="3"/>
  <c r="B66" i="3"/>
  <c r="A66" i="3"/>
  <c r="E65" i="3"/>
  <c r="D65" i="3"/>
  <c r="C65" i="3"/>
  <c r="B65" i="3"/>
  <c r="A65" i="3"/>
  <c r="E64" i="3"/>
  <c r="D64" i="3"/>
  <c r="C64" i="3"/>
  <c r="B64" i="3"/>
  <c r="A64" i="3"/>
  <c r="E63" i="3"/>
  <c r="D63" i="3"/>
  <c r="C63" i="3"/>
  <c r="B63" i="3"/>
  <c r="A63" i="3"/>
  <c r="E62" i="3"/>
  <c r="D62" i="3"/>
  <c r="C62" i="3"/>
  <c r="B62" i="3"/>
  <c r="A62" i="3"/>
  <c r="E61" i="3"/>
  <c r="D61" i="3"/>
  <c r="C61" i="3"/>
  <c r="B61" i="3"/>
  <c r="A61" i="3"/>
  <c r="E60" i="3"/>
  <c r="D60" i="3"/>
  <c r="C60" i="3"/>
  <c r="B60" i="3"/>
  <c r="A60" i="3"/>
  <c r="E59" i="3"/>
  <c r="D59" i="3"/>
  <c r="C59" i="3"/>
  <c r="B59" i="3"/>
  <c r="A59" i="3"/>
  <c r="E58" i="3"/>
  <c r="D58" i="3"/>
  <c r="C58" i="3"/>
  <c r="B58" i="3"/>
  <c r="A58" i="3"/>
  <c r="E57" i="3"/>
  <c r="D57" i="3"/>
  <c r="C57" i="3"/>
  <c r="B57" i="3"/>
  <c r="A57" i="3"/>
  <c r="E56" i="3"/>
  <c r="D56" i="3"/>
  <c r="C56" i="3"/>
  <c r="B56" i="3"/>
  <c r="A56" i="3"/>
  <c r="E55" i="3"/>
  <c r="D55" i="3"/>
  <c r="C55" i="3"/>
  <c r="B55" i="3"/>
  <c r="A55" i="3"/>
  <c r="E54" i="3"/>
  <c r="D54" i="3"/>
  <c r="C54" i="3"/>
  <c r="B54" i="3"/>
  <c r="A54" i="3"/>
  <c r="D53" i="3"/>
  <c r="C53" i="3"/>
  <c r="B53" i="3"/>
  <c r="A53" i="3"/>
  <c r="D52" i="3"/>
  <c r="C52" i="3"/>
  <c r="B52" i="3"/>
  <c r="A52" i="3"/>
  <c r="D51" i="3"/>
  <c r="C51" i="3"/>
  <c r="B51" i="3"/>
  <c r="A51" i="3"/>
  <c r="D50" i="3"/>
  <c r="C50" i="3"/>
  <c r="B50" i="3"/>
  <c r="A50" i="3"/>
  <c r="D49" i="3"/>
  <c r="C49" i="3"/>
  <c r="B49" i="3"/>
  <c r="A49" i="3"/>
  <c r="D48" i="3"/>
  <c r="C48" i="3"/>
  <c r="B48" i="3"/>
  <c r="A48" i="3"/>
  <c r="D47" i="3"/>
  <c r="C47" i="3"/>
  <c r="B47" i="3"/>
  <c r="A47" i="3"/>
  <c r="D46" i="3"/>
  <c r="C46" i="3"/>
  <c r="B46" i="3"/>
  <c r="A46" i="3"/>
  <c r="D42" i="3"/>
  <c r="C42" i="3"/>
  <c r="B42" i="3"/>
  <c r="A42" i="3"/>
  <c r="D41" i="3"/>
  <c r="C41" i="3"/>
  <c r="B41" i="3"/>
  <c r="A41" i="3"/>
  <c r="D40" i="3"/>
  <c r="C40" i="3"/>
  <c r="B40" i="3"/>
  <c r="A40" i="3"/>
  <c r="D39" i="3"/>
  <c r="C39" i="3"/>
  <c r="B39" i="3"/>
  <c r="A39" i="3"/>
  <c r="D38" i="3"/>
  <c r="C38" i="3"/>
  <c r="B38" i="3"/>
  <c r="A38" i="3"/>
  <c r="D37" i="3"/>
  <c r="C37" i="3"/>
  <c r="B37" i="3"/>
  <c r="A37" i="3"/>
  <c r="D36" i="3"/>
  <c r="C36" i="3"/>
  <c r="B36" i="3"/>
  <c r="A36" i="3"/>
  <c r="D35" i="3"/>
  <c r="C35" i="3"/>
  <c r="B35" i="3"/>
  <c r="A35" i="3"/>
  <c r="E34" i="3"/>
  <c r="D34" i="3"/>
  <c r="C34" i="3"/>
  <c r="B34" i="3"/>
  <c r="A34" i="3"/>
  <c r="E33" i="3"/>
  <c r="D33" i="3"/>
  <c r="C33" i="3"/>
  <c r="B33" i="3"/>
  <c r="A33" i="3"/>
  <c r="E32" i="3"/>
  <c r="D32" i="3"/>
  <c r="C32" i="3"/>
  <c r="B32" i="3"/>
  <c r="A32" i="3"/>
  <c r="E31" i="3"/>
  <c r="D31" i="3"/>
  <c r="C31" i="3"/>
  <c r="B31" i="3"/>
  <c r="A31" i="3"/>
  <c r="E30" i="3"/>
  <c r="D30" i="3"/>
  <c r="C30" i="3"/>
  <c r="B30" i="3"/>
  <c r="A30" i="3"/>
  <c r="E29" i="3"/>
  <c r="D29" i="3"/>
  <c r="C29" i="3"/>
  <c r="B29" i="3"/>
  <c r="A29" i="3"/>
  <c r="E28" i="3"/>
  <c r="D28" i="3"/>
  <c r="C28" i="3"/>
  <c r="B28" i="3"/>
  <c r="A28" i="3"/>
  <c r="E27" i="3"/>
  <c r="D27" i="3"/>
  <c r="C27" i="3"/>
  <c r="B27" i="3"/>
  <c r="A27" i="3"/>
  <c r="E26" i="3"/>
  <c r="D26" i="3"/>
  <c r="C26" i="3"/>
  <c r="B26" i="3"/>
  <c r="A26" i="3"/>
  <c r="Q25" i="3"/>
  <c r="E25" i="3"/>
  <c r="D25" i="3"/>
  <c r="C25" i="3"/>
  <c r="B25" i="3"/>
  <c r="A25" i="3"/>
  <c r="E24" i="3"/>
  <c r="D24" i="3"/>
  <c r="C24" i="3"/>
  <c r="B24" i="3"/>
  <c r="A24" i="3"/>
  <c r="E23" i="3"/>
  <c r="D23" i="3"/>
  <c r="C23" i="3"/>
  <c r="B23" i="3"/>
  <c r="A23" i="3"/>
  <c r="E22" i="3"/>
  <c r="D22" i="3"/>
  <c r="C22" i="3"/>
  <c r="B22" i="3"/>
  <c r="A22" i="3"/>
  <c r="E21" i="3"/>
  <c r="D21" i="3"/>
  <c r="C21" i="3"/>
  <c r="B21" i="3"/>
  <c r="A21" i="3"/>
  <c r="E17" i="3"/>
  <c r="D17" i="3"/>
  <c r="C17" i="3"/>
  <c r="B17" i="3"/>
  <c r="A17" i="3"/>
  <c r="E16" i="3"/>
  <c r="D16" i="3"/>
  <c r="C16" i="3"/>
  <c r="B16" i="3"/>
  <c r="A16" i="3"/>
  <c r="E15" i="3"/>
  <c r="D15" i="3"/>
  <c r="C15" i="3"/>
  <c r="B15" i="3"/>
  <c r="A15" i="3"/>
  <c r="E14" i="3"/>
  <c r="D14" i="3"/>
  <c r="C14" i="3"/>
  <c r="B14" i="3"/>
  <c r="A14" i="3"/>
  <c r="E13" i="3"/>
  <c r="D13" i="3"/>
  <c r="C13" i="3"/>
  <c r="B13" i="3"/>
  <c r="A13" i="3"/>
  <c r="D12" i="3"/>
  <c r="C12" i="3"/>
  <c r="B12" i="3"/>
  <c r="A12" i="3"/>
  <c r="D11" i="3"/>
  <c r="C11" i="3"/>
  <c r="B11" i="3"/>
  <c r="A11" i="3"/>
  <c r="D10" i="3"/>
  <c r="C10" i="3"/>
  <c r="B10" i="3"/>
  <c r="A10" i="3"/>
  <c r="D9" i="3"/>
  <c r="C9" i="3"/>
  <c r="B9" i="3"/>
  <c r="A9" i="3"/>
  <c r="D8" i="3"/>
  <c r="C8" i="3"/>
  <c r="B8" i="3"/>
  <c r="A8" i="3"/>
  <c r="D7" i="3"/>
  <c r="C7" i="3"/>
  <c r="B7" i="3"/>
  <c r="A7" i="3"/>
  <c r="K5" i="3"/>
  <c r="J5" i="3"/>
  <c r="I5" i="3"/>
  <c r="H5" i="3"/>
  <c r="G5" i="3"/>
  <c r="F5" i="3"/>
  <c r="B36" i="2"/>
  <c r="B35" i="2"/>
  <c r="B34" i="2"/>
  <c r="B33" i="2"/>
  <c r="B32" i="2"/>
  <c r="B31" i="2"/>
  <c r="G21" i="2"/>
  <c r="F21" i="2"/>
  <c r="E21" i="2"/>
  <c r="D21" i="2"/>
  <c r="C21" i="2"/>
  <c r="B21" i="2"/>
  <c r="G6" i="2"/>
  <c r="F6" i="2"/>
  <c r="E6" i="2"/>
  <c r="D6" i="2"/>
  <c r="C6" i="2"/>
  <c r="B6" i="2"/>
  <c r="I36" i="1"/>
  <c r="H36" i="1"/>
  <c r="G36" i="1"/>
  <c r="F36" i="1"/>
  <c r="E36" i="1"/>
  <c r="D36" i="1"/>
  <c r="D11" i="1"/>
  <c r="K10" i="1"/>
  <c r="R97" i="6" l="1"/>
  <c r="Q97" i="6"/>
  <c r="P97" i="6"/>
  <c r="O97" i="6"/>
  <c r="R96" i="6"/>
  <c r="Q96" i="6"/>
  <c r="P96" i="6"/>
  <c r="O96" i="6"/>
  <c r="Q95" i="6"/>
  <c r="R95" i="6"/>
  <c r="P95" i="6"/>
  <c r="O95" i="6"/>
  <c r="R94" i="6"/>
  <c r="Q94" i="6"/>
  <c r="P94" i="6"/>
  <c r="O94" i="6"/>
  <c r="E101" i="4"/>
  <c r="O93" i="6"/>
  <c r="R93" i="6"/>
  <c r="Q93" i="6"/>
  <c r="P93" i="6"/>
  <c r="E100" i="4"/>
  <c r="Q92" i="6"/>
  <c r="P92" i="6"/>
  <c r="O92" i="6"/>
  <c r="R92" i="6"/>
  <c r="E99" i="4"/>
  <c r="P91" i="6"/>
  <c r="O91" i="6"/>
  <c r="E98" i="4"/>
  <c r="R91" i="6"/>
  <c r="Q91" i="6"/>
  <c r="R90" i="6"/>
  <c r="Q90" i="6"/>
  <c r="P90" i="6"/>
  <c r="O90" i="6"/>
  <c r="E97" i="4"/>
  <c r="R89" i="6"/>
  <c r="Q89" i="6"/>
  <c r="P89" i="6"/>
  <c r="O89" i="6"/>
  <c r="E96" i="4"/>
  <c r="R88" i="6"/>
  <c r="Q88" i="6"/>
  <c r="P88" i="6"/>
  <c r="O88" i="6"/>
  <c r="E95" i="4"/>
  <c r="Q87" i="6"/>
  <c r="P87" i="6"/>
  <c r="O87" i="6"/>
  <c r="E94" i="4"/>
  <c r="R87" i="6"/>
  <c r="R86" i="6"/>
  <c r="Q86" i="6"/>
  <c r="P86" i="6"/>
  <c r="O86" i="6"/>
  <c r="O85" i="6"/>
  <c r="R85" i="6"/>
  <c r="Q85" i="6"/>
  <c r="P85" i="6"/>
  <c r="R84" i="6"/>
  <c r="Q84" i="6"/>
  <c r="P84" i="6"/>
  <c r="O84" i="6"/>
  <c r="R83" i="6"/>
  <c r="Q83" i="6"/>
  <c r="P83" i="6"/>
  <c r="O83" i="6"/>
  <c r="R82" i="6"/>
  <c r="Q82" i="6"/>
  <c r="P82" i="6"/>
  <c r="O82" i="6"/>
  <c r="R81" i="6"/>
  <c r="Q81" i="6"/>
  <c r="P81" i="6"/>
  <c r="O81" i="6"/>
  <c r="R80" i="6"/>
  <c r="Q80" i="6"/>
  <c r="P80" i="6"/>
  <c r="O80" i="6"/>
  <c r="Q79" i="6"/>
  <c r="P79" i="6"/>
  <c r="O79" i="6"/>
  <c r="R79" i="6"/>
  <c r="O78" i="6"/>
  <c r="R78" i="6"/>
  <c r="Q78" i="6"/>
  <c r="P78" i="6"/>
  <c r="O77" i="6"/>
  <c r="P77" i="6"/>
  <c r="Q77" i="6"/>
  <c r="R77" i="6"/>
  <c r="O76" i="6"/>
  <c r="P76" i="6"/>
  <c r="R76" i="6"/>
  <c r="Q76" i="6"/>
  <c r="R75" i="6"/>
  <c r="Q75" i="6"/>
  <c r="P75" i="6"/>
  <c r="O75" i="6"/>
  <c r="R74" i="6"/>
  <c r="Q74" i="6"/>
  <c r="P74" i="6"/>
  <c r="O74" i="6"/>
  <c r="R73" i="6"/>
  <c r="Q73" i="6"/>
  <c r="P73" i="6"/>
  <c r="O73" i="6"/>
  <c r="E84" i="3"/>
  <c r="R72" i="6"/>
  <c r="Q72" i="6"/>
  <c r="P72" i="6"/>
  <c r="O72" i="6"/>
  <c r="E83" i="3"/>
  <c r="O71" i="6"/>
  <c r="P71" i="6"/>
  <c r="Q71" i="6"/>
  <c r="R71" i="6"/>
  <c r="E82" i="3"/>
  <c r="O70" i="6"/>
  <c r="Q70" i="6"/>
  <c r="R70" i="6"/>
  <c r="P70" i="6"/>
  <c r="E81" i="3"/>
  <c r="R69" i="6"/>
  <c r="Q69" i="6"/>
  <c r="P69" i="6"/>
  <c r="O69" i="6"/>
  <c r="E80" i="3"/>
  <c r="R68" i="6"/>
  <c r="Q68" i="6"/>
  <c r="P68" i="6"/>
  <c r="O68" i="6"/>
  <c r="E79" i="3"/>
  <c r="R67" i="6"/>
  <c r="Q67" i="6"/>
  <c r="P67" i="6"/>
  <c r="E78" i="3"/>
  <c r="O67" i="6"/>
  <c r="E77" i="3"/>
  <c r="R66" i="6"/>
  <c r="Q66" i="6"/>
  <c r="P66" i="6"/>
  <c r="O66" i="6"/>
  <c r="R65" i="6"/>
  <c r="Q65" i="6"/>
  <c r="P65" i="6"/>
  <c r="O65" i="6"/>
  <c r="R64" i="6"/>
  <c r="Q64" i="6"/>
  <c r="P64" i="6"/>
  <c r="O64" i="6"/>
  <c r="O63" i="6"/>
  <c r="P63" i="6"/>
  <c r="R63" i="6"/>
  <c r="Q63" i="6"/>
  <c r="Q62" i="6"/>
  <c r="P62" i="6"/>
  <c r="O62" i="6"/>
  <c r="R62" i="6"/>
  <c r="O61" i="6"/>
  <c r="R61" i="6"/>
  <c r="Q61" i="6"/>
  <c r="P61" i="6"/>
  <c r="O60" i="6"/>
  <c r="P60" i="6"/>
  <c r="Q60" i="6"/>
  <c r="R60" i="6"/>
  <c r="O59" i="6"/>
  <c r="P59" i="6"/>
  <c r="Q59" i="6"/>
  <c r="R59" i="6"/>
  <c r="R58" i="6"/>
  <c r="Q58" i="6"/>
  <c r="O58" i="6"/>
  <c r="P58" i="6"/>
  <c r="O57" i="6"/>
  <c r="P57" i="6"/>
  <c r="Q57" i="6"/>
  <c r="R57" i="6"/>
  <c r="R56" i="6"/>
  <c r="Q56" i="6"/>
  <c r="P56" i="6"/>
  <c r="O56" i="6"/>
  <c r="R55" i="6"/>
  <c r="Q55" i="6"/>
  <c r="P55" i="6"/>
  <c r="O55" i="6"/>
  <c r="R54" i="6"/>
  <c r="Q54" i="6"/>
  <c r="P54" i="6"/>
  <c r="O54" i="6"/>
  <c r="R53" i="6"/>
  <c r="Q53" i="6"/>
  <c r="P53" i="6"/>
  <c r="O53" i="6"/>
  <c r="R52" i="6"/>
  <c r="Q52" i="6"/>
  <c r="P52" i="6"/>
  <c r="O52" i="6"/>
  <c r="R51" i="6"/>
  <c r="Q51" i="6"/>
  <c r="P51" i="6"/>
  <c r="O51" i="6"/>
  <c r="R50" i="6"/>
  <c r="Q50" i="6"/>
  <c r="P50" i="6"/>
  <c r="O50" i="6"/>
  <c r="R49" i="6"/>
  <c r="Q49" i="6"/>
  <c r="P49" i="6"/>
  <c r="O49" i="6"/>
  <c r="R48" i="6"/>
  <c r="Q48" i="6"/>
  <c r="P48" i="6"/>
  <c r="O48" i="6"/>
  <c r="R47" i="6"/>
  <c r="Q47" i="6"/>
  <c r="P47" i="6"/>
  <c r="O47" i="6"/>
  <c r="E51" i="4"/>
  <c r="Q46" i="6"/>
  <c r="P46" i="6"/>
  <c r="O46" i="6"/>
  <c r="E50" i="4"/>
  <c r="R46" i="6"/>
  <c r="P45" i="6"/>
  <c r="O45" i="6"/>
  <c r="E49" i="4"/>
  <c r="R45" i="6"/>
  <c r="Q45" i="6"/>
  <c r="E53" i="3"/>
  <c r="R44" i="6"/>
  <c r="P44" i="6"/>
  <c r="E48" i="4"/>
  <c r="O44" i="6"/>
  <c r="Q44" i="6"/>
  <c r="E52" i="3"/>
  <c r="Q43" i="6"/>
  <c r="O43" i="6"/>
  <c r="P43" i="6"/>
  <c r="E47" i="4"/>
  <c r="R43" i="6"/>
  <c r="E51" i="3"/>
  <c r="E46" i="4"/>
  <c r="R42" i="6"/>
  <c r="Q42" i="6"/>
  <c r="P42" i="6"/>
  <c r="O42" i="6"/>
  <c r="E50" i="3"/>
  <c r="P41" i="6"/>
  <c r="Q41" i="6"/>
  <c r="O41" i="6"/>
  <c r="R41" i="6"/>
  <c r="E45" i="4"/>
  <c r="E49" i="3"/>
  <c r="Q40" i="6"/>
  <c r="R40" i="6"/>
  <c r="O40" i="6"/>
  <c r="P40" i="6"/>
  <c r="E44" i="4"/>
  <c r="E48" i="3"/>
  <c r="O39" i="6"/>
  <c r="P39" i="6"/>
  <c r="Q39" i="6"/>
  <c r="R39" i="6"/>
  <c r="E43" i="4"/>
  <c r="E47" i="3"/>
  <c r="O38" i="6"/>
  <c r="P38" i="6"/>
  <c r="Q38" i="6"/>
  <c r="R38" i="6"/>
  <c r="E42" i="4"/>
  <c r="E46" i="3"/>
  <c r="O37" i="6"/>
  <c r="P37" i="6"/>
  <c r="Q37" i="6"/>
  <c r="R37" i="6"/>
  <c r="E40" i="4"/>
  <c r="E42" i="3"/>
  <c r="R36" i="6"/>
  <c r="Q36" i="6"/>
  <c r="P36" i="6"/>
  <c r="O36" i="6"/>
  <c r="E39" i="4"/>
  <c r="E41" i="3"/>
  <c r="Q35" i="6"/>
  <c r="P35" i="6"/>
  <c r="O35" i="6"/>
  <c r="E38" i="4"/>
  <c r="R35" i="6"/>
  <c r="E40" i="3"/>
  <c r="R34" i="6"/>
  <c r="E37" i="4"/>
  <c r="Q34" i="6"/>
  <c r="P34" i="6"/>
  <c r="O34" i="6"/>
  <c r="E39" i="3"/>
  <c r="E38" i="3"/>
  <c r="E36" i="4"/>
  <c r="O33" i="6"/>
  <c r="P33" i="6"/>
  <c r="Q33" i="6"/>
  <c r="R33" i="6"/>
  <c r="E37" i="3"/>
  <c r="P32" i="6"/>
  <c r="Q32" i="6"/>
  <c r="E35" i="4"/>
  <c r="O32" i="6"/>
  <c r="R32" i="6"/>
  <c r="E36" i="3"/>
  <c r="P31" i="6"/>
  <c r="Q31" i="6"/>
  <c r="R31" i="6"/>
  <c r="E34" i="4"/>
  <c r="O31" i="6"/>
  <c r="O30" i="6"/>
  <c r="Q30" i="6"/>
  <c r="E35" i="3"/>
  <c r="E33" i="4"/>
  <c r="P30" i="6"/>
  <c r="R30" i="6"/>
  <c r="P29" i="6"/>
  <c r="Q29" i="6"/>
  <c r="E32" i="4"/>
  <c r="R29" i="6"/>
  <c r="O29" i="6"/>
  <c r="E31" i="4"/>
  <c r="Q28" i="6"/>
  <c r="O28" i="6"/>
  <c r="P28" i="6"/>
  <c r="R28" i="6"/>
  <c r="O27" i="6"/>
  <c r="E30" i="4"/>
  <c r="P27" i="6"/>
  <c r="Q27" i="6"/>
  <c r="R27" i="6"/>
  <c r="P26" i="6"/>
  <c r="Q26" i="6"/>
  <c r="R26" i="6"/>
  <c r="E29" i="4"/>
  <c r="O26" i="6"/>
  <c r="O25" i="6"/>
  <c r="P25" i="6"/>
  <c r="Q25" i="6"/>
  <c r="R25" i="6"/>
  <c r="E28" i="4"/>
  <c r="Q24" i="6"/>
  <c r="R24" i="6"/>
  <c r="E27" i="4"/>
  <c r="O24" i="6"/>
  <c r="P24" i="6"/>
  <c r="Q23" i="6"/>
  <c r="P23" i="6"/>
  <c r="O23" i="6"/>
  <c r="R23" i="6"/>
  <c r="E26" i="4"/>
  <c r="E25" i="4"/>
  <c r="O22" i="6"/>
  <c r="P22" i="6"/>
  <c r="Q22" i="6"/>
  <c r="R22" i="6"/>
  <c r="E24" i="4"/>
  <c r="O21" i="6"/>
  <c r="P21" i="6"/>
  <c r="Q21" i="6"/>
  <c r="R21" i="6"/>
  <c r="O20" i="6"/>
  <c r="P20" i="6"/>
  <c r="Q20" i="6"/>
  <c r="P19" i="6"/>
  <c r="Q19" i="6"/>
  <c r="R19" i="6"/>
  <c r="O19" i="6"/>
  <c r="O18" i="6"/>
  <c r="P18" i="6"/>
  <c r="Q18" i="6"/>
  <c r="R18" i="6"/>
  <c r="O17" i="6"/>
  <c r="P17" i="6"/>
  <c r="Q17" i="6"/>
  <c r="R17" i="6"/>
  <c r="Q16" i="6"/>
  <c r="P16" i="6"/>
  <c r="O16" i="6"/>
  <c r="R16" i="6"/>
  <c r="R15" i="6"/>
  <c r="Q15" i="6"/>
  <c r="P15" i="6"/>
  <c r="O15" i="6"/>
  <c r="R14" i="6"/>
  <c r="Q14" i="6"/>
  <c r="P14" i="6"/>
  <c r="O14" i="6"/>
  <c r="R13" i="6"/>
  <c r="Q13" i="6"/>
  <c r="P13" i="6"/>
  <c r="O13" i="6"/>
  <c r="R12" i="6"/>
  <c r="Q12" i="6"/>
  <c r="P12" i="6"/>
  <c r="O12" i="6"/>
  <c r="R11" i="6"/>
  <c r="Q11" i="6"/>
  <c r="P11" i="6"/>
  <c r="O11" i="6"/>
  <c r="E12" i="3"/>
  <c r="R10" i="6"/>
  <c r="Q10" i="6"/>
  <c r="O10" i="6"/>
  <c r="E12" i="4"/>
  <c r="P10" i="6"/>
  <c r="E11" i="3"/>
  <c r="R9" i="6"/>
  <c r="Q9" i="6"/>
  <c r="E11" i="4"/>
  <c r="P9" i="6"/>
  <c r="O9" i="6"/>
  <c r="O8" i="6"/>
  <c r="E10" i="4"/>
  <c r="E10" i="3"/>
  <c r="Q8" i="6"/>
  <c r="P8" i="6"/>
  <c r="R8" i="6"/>
  <c r="P7" i="6"/>
  <c r="Q7" i="6"/>
  <c r="E9" i="3"/>
  <c r="E9" i="4"/>
  <c r="R7" i="6"/>
  <c r="O7" i="6"/>
  <c r="E8" i="3"/>
  <c r="E8" i="4"/>
  <c r="O6" i="6"/>
  <c r="P6" i="6"/>
  <c r="Q6" i="6"/>
  <c r="R6" i="6"/>
  <c r="O5" i="6"/>
  <c r="P5" i="6"/>
  <c r="Q5" i="6"/>
  <c r="R5" i="6"/>
  <c r="E7" i="4"/>
  <c r="E7" i="3"/>
  <c r="H98" i="6"/>
  <c r="E118" i="3"/>
  <c r="E114" i="3"/>
  <c r="E96" i="3"/>
  <c r="E43" i="3"/>
  <c r="Q117" i="3" l="1"/>
  <c r="Q118" i="3" s="1"/>
  <c r="AM105" i="4"/>
  <c r="P117" i="3"/>
  <c r="P118" i="3" s="1"/>
  <c r="AL105" i="4"/>
  <c r="O117" i="3"/>
  <c r="O118" i="3" s="1"/>
  <c r="AK105" i="4"/>
  <c r="AJ105" i="4"/>
  <c r="F117" i="3"/>
  <c r="G117" i="3"/>
  <c r="H117" i="3"/>
  <c r="I117" i="3"/>
  <c r="J117" i="3"/>
  <c r="AM103" i="4"/>
  <c r="Q113" i="3"/>
  <c r="AL103" i="4"/>
  <c r="P113" i="3"/>
  <c r="AK103" i="4"/>
  <c r="O113" i="3"/>
  <c r="G113" i="3"/>
  <c r="J113" i="3"/>
  <c r="AJ103" i="4"/>
  <c r="F113" i="3"/>
  <c r="H113" i="3"/>
  <c r="I113" i="3"/>
  <c r="K113" i="3"/>
  <c r="N113" i="3"/>
  <c r="AL102" i="4"/>
  <c r="P112" i="3"/>
  <c r="AM102" i="4"/>
  <c r="Q112" i="3"/>
  <c r="AK102" i="4"/>
  <c r="O112" i="3"/>
  <c r="AJ102" i="4"/>
  <c r="F112" i="3"/>
  <c r="H112" i="3"/>
  <c r="J112" i="3"/>
  <c r="N112" i="3"/>
  <c r="G112" i="3"/>
  <c r="I112" i="3"/>
  <c r="K112" i="3"/>
  <c r="AM101" i="4"/>
  <c r="Q111" i="3"/>
  <c r="P111" i="3"/>
  <c r="AL101" i="4"/>
  <c r="O111" i="3"/>
  <c r="AK101" i="4"/>
  <c r="G111" i="3"/>
  <c r="I111" i="3"/>
  <c r="N111" i="3"/>
  <c r="F111" i="3"/>
  <c r="H111" i="3"/>
  <c r="J111" i="3"/>
  <c r="K111" i="3"/>
  <c r="AJ101" i="4"/>
  <c r="G110" i="3"/>
  <c r="F110" i="3"/>
  <c r="I110" i="3"/>
  <c r="K110" i="3"/>
  <c r="H110" i="3"/>
  <c r="J110" i="3"/>
  <c r="N110" i="3"/>
  <c r="AJ100" i="4"/>
  <c r="Q110" i="3"/>
  <c r="AM100" i="4"/>
  <c r="P110" i="3"/>
  <c r="AL100" i="4"/>
  <c r="O110" i="3"/>
  <c r="AK100" i="4"/>
  <c r="P109" i="3"/>
  <c r="AL99" i="4"/>
  <c r="O109" i="3"/>
  <c r="AK99" i="4"/>
  <c r="H109" i="3"/>
  <c r="F109" i="3"/>
  <c r="I109" i="3"/>
  <c r="K109" i="3"/>
  <c r="G109" i="3"/>
  <c r="J109" i="3"/>
  <c r="N109" i="3"/>
  <c r="AJ99" i="4"/>
  <c r="Q109" i="3"/>
  <c r="AM99" i="4"/>
  <c r="O108" i="3"/>
  <c r="AK98" i="4"/>
  <c r="G108" i="3"/>
  <c r="F108" i="3"/>
  <c r="I108" i="3"/>
  <c r="H108" i="3"/>
  <c r="J108" i="3"/>
  <c r="K108" i="3"/>
  <c r="N108" i="3"/>
  <c r="AJ98" i="4"/>
  <c r="Q108" i="3"/>
  <c r="AM98" i="4"/>
  <c r="P108" i="3"/>
  <c r="AL98" i="4"/>
  <c r="Q107" i="3"/>
  <c r="AM97" i="4"/>
  <c r="P107" i="3"/>
  <c r="AL97" i="4"/>
  <c r="O107" i="3"/>
  <c r="AK97" i="4"/>
  <c r="J107" i="3"/>
  <c r="G107" i="3"/>
  <c r="H107" i="3"/>
  <c r="F107" i="3"/>
  <c r="I107" i="3"/>
  <c r="K107" i="3"/>
  <c r="N107" i="3"/>
  <c r="AJ97" i="4"/>
  <c r="Q106" i="3"/>
  <c r="AM96" i="4"/>
  <c r="P106" i="3"/>
  <c r="AL96" i="4"/>
  <c r="O106" i="3"/>
  <c r="AK96" i="4"/>
  <c r="G106" i="3"/>
  <c r="I106" i="3"/>
  <c r="K106" i="3"/>
  <c r="N106" i="3"/>
  <c r="F106" i="3"/>
  <c r="H106" i="3"/>
  <c r="J106" i="3"/>
  <c r="AJ96" i="4"/>
  <c r="Q105" i="3"/>
  <c r="AM95" i="4"/>
  <c r="P105" i="3"/>
  <c r="AL95" i="4"/>
  <c r="O105" i="3"/>
  <c r="AK95" i="4"/>
  <c r="G105" i="3"/>
  <c r="F105" i="3"/>
  <c r="I105" i="3"/>
  <c r="J105" i="3"/>
  <c r="H105" i="3"/>
  <c r="K105" i="3"/>
  <c r="N105" i="3"/>
  <c r="AJ95" i="4"/>
  <c r="P104" i="3"/>
  <c r="AL94" i="4"/>
  <c r="O104" i="3"/>
  <c r="AK94" i="4"/>
  <c r="H104" i="3"/>
  <c r="J104" i="3"/>
  <c r="N104" i="3"/>
  <c r="G104" i="3"/>
  <c r="I104" i="3"/>
  <c r="K104" i="3"/>
  <c r="F104" i="3"/>
  <c r="L104" i="3" s="1"/>
  <c r="M104" i="3" s="1"/>
  <c r="AJ94" i="4"/>
  <c r="Q104" i="3"/>
  <c r="AM94" i="4"/>
  <c r="Q103" i="3"/>
  <c r="AM93" i="4"/>
  <c r="P103" i="3"/>
  <c r="AL93" i="4"/>
  <c r="O103" i="3"/>
  <c r="AK93" i="4"/>
  <c r="I103" i="3"/>
  <c r="K103" i="3"/>
  <c r="F103" i="3"/>
  <c r="H103" i="3"/>
  <c r="N103" i="3"/>
  <c r="G103" i="3"/>
  <c r="J103" i="3"/>
  <c r="AJ93" i="4"/>
  <c r="G102" i="3"/>
  <c r="J102" i="3"/>
  <c r="N102" i="3"/>
  <c r="F102" i="3"/>
  <c r="I102" i="3"/>
  <c r="K102" i="3"/>
  <c r="H102" i="3"/>
  <c r="AJ92" i="4"/>
  <c r="Q102" i="3"/>
  <c r="AM92" i="4"/>
  <c r="P102" i="3"/>
  <c r="AL92" i="4"/>
  <c r="O102" i="3"/>
  <c r="AK92" i="4"/>
  <c r="Q101" i="3"/>
  <c r="AM91" i="4"/>
  <c r="P101" i="3"/>
  <c r="AL91" i="4"/>
  <c r="O101" i="3"/>
  <c r="AK91" i="4"/>
  <c r="G101" i="3"/>
  <c r="J101" i="3"/>
  <c r="F101" i="3"/>
  <c r="I101" i="3"/>
  <c r="K101" i="3"/>
  <c r="N101" i="3"/>
  <c r="H101" i="3"/>
  <c r="AJ91" i="4"/>
  <c r="Q100" i="3"/>
  <c r="AM90" i="4"/>
  <c r="P100" i="3"/>
  <c r="AL90" i="4"/>
  <c r="O100" i="3"/>
  <c r="AK90" i="4"/>
  <c r="G100" i="3"/>
  <c r="F100" i="3"/>
  <c r="H100" i="3"/>
  <c r="J100" i="3"/>
  <c r="I100" i="3"/>
  <c r="K100" i="3"/>
  <c r="N100" i="3"/>
  <c r="AJ90" i="4"/>
  <c r="Q99" i="3"/>
  <c r="Q114" i="3" s="1"/>
  <c r="AM89" i="4"/>
  <c r="P99" i="3"/>
  <c r="P114" i="3" s="1"/>
  <c r="AL89" i="4"/>
  <c r="O99" i="3"/>
  <c r="O114" i="3" s="1"/>
  <c r="AK89" i="4"/>
  <c r="H99" i="3"/>
  <c r="G99" i="3"/>
  <c r="J99" i="3"/>
  <c r="F99" i="3"/>
  <c r="I99" i="3"/>
  <c r="K99" i="3"/>
  <c r="N99" i="3"/>
  <c r="N114" i="3" s="1"/>
  <c r="AJ89" i="4"/>
  <c r="Q95" i="3"/>
  <c r="Q96" i="3" s="1"/>
  <c r="AM87" i="4"/>
  <c r="P95" i="3"/>
  <c r="P96" i="3" s="1"/>
  <c r="AL87" i="4"/>
  <c r="O95" i="3"/>
  <c r="O96" i="3" s="1"/>
  <c r="AK87" i="4"/>
  <c r="F95" i="3"/>
  <c r="I95" i="3"/>
  <c r="G95" i="3"/>
  <c r="J95" i="3"/>
  <c r="H95" i="3"/>
  <c r="K95" i="3"/>
  <c r="N95" i="3"/>
  <c r="N96" i="3" s="1"/>
  <c r="AJ87" i="4"/>
  <c r="Q91" i="3"/>
  <c r="AM85" i="4"/>
  <c r="P91" i="3"/>
  <c r="AL85" i="4"/>
  <c r="O91" i="3"/>
  <c r="AK85" i="4"/>
  <c r="H91" i="3"/>
  <c r="K91" i="3"/>
  <c r="N91" i="3"/>
  <c r="F91" i="3"/>
  <c r="I91" i="3"/>
  <c r="G91" i="3"/>
  <c r="J91" i="3"/>
  <c r="AJ85" i="4"/>
  <c r="P90" i="3"/>
  <c r="AL84" i="4"/>
  <c r="O90" i="3"/>
  <c r="AK84" i="4"/>
  <c r="F90" i="3"/>
  <c r="I90" i="3"/>
  <c r="K90" i="3"/>
  <c r="H90" i="3"/>
  <c r="J90" i="3"/>
  <c r="G90" i="3"/>
  <c r="N90" i="3"/>
  <c r="AJ84" i="4"/>
  <c r="Q90" i="3"/>
  <c r="AM84" i="4"/>
  <c r="H89" i="3"/>
  <c r="J89" i="3"/>
  <c r="F89" i="3"/>
  <c r="I89" i="3"/>
  <c r="K89" i="3"/>
  <c r="N89" i="3"/>
  <c r="G89" i="3"/>
  <c r="AJ83" i="4"/>
  <c r="Q89" i="3"/>
  <c r="AM83" i="4"/>
  <c r="P89" i="3"/>
  <c r="AL83" i="4"/>
  <c r="O89" i="3"/>
  <c r="AK83" i="4"/>
  <c r="F88" i="3"/>
  <c r="I88" i="3"/>
  <c r="K88" i="3"/>
  <c r="N88" i="3"/>
  <c r="H88" i="3"/>
  <c r="J88" i="3"/>
  <c r="G88" i="3"/>
  <c r="AJ82" i="4"/>
  <c r="O88" i="3"/>
  <c r="AK82" i="4"/>
  <c r="P88" i="3"/>
  <c r="AL82" i="4"/>
  <c r="Q88" i="3"/>
  <c r="AM82" i="4"/>
  <c r="N87" i="3"/>
  <c r="F87" i="3"/>
  <c r="G87" i="3"/>
  <c r="I87" i="3"/>
  <c r="J87" i="3"/>
  <c r="K87" i="3"/>
  <c r="H87" i="3"/>
  <c r="AJ81" i="4"/>
  <c r="O87" i="3"/>
  <c r="AK81" i="4"/>
  <c r="Q87" i="3"/>
  <c r="AM81" i="4"/>
  <c r="P87" i="3"/>
  <c r="AL81" i="4"/>
  <c r="Q86" i="3"/>
  <c r="AM80" i="4"/>
  <c r="P86" i="3"/>
  <c r="AL80" i="4"/>
  <c r="O86" i="3"/>
  <c r="AK80" i="4"/>
  <c r="G86" i="3"/>
  <c r="I86" i="3"/>
  <c r="N86" i="3"/>
  <c r="F86" i="3"/>
  <c r="H86" i="3"/>
  <c r="J86" i="3"/>
  <c r="K86" i="3"/>
  <c r="AJ80" i="4"/>
  <c r="Q85" i="3"/>
  <c r="AM79" i="4"/>
  <c r="P85" i="3"/>
  <c r="AL79" i="4"/>
  <c r="O85" i="3"/>
  <c r="AK79" i="4"/>
  <c r="F85" i="3"/>
  <c r="H85" i="3"/>
  <c r="J85" i="3"/>
  <c r="N85" i="3"/>
  <c r="G85" i="3"/>
  <c r="I85" i="3"/>
  <c r="K85" i="3"/>
  <c r="AJ79" i="4"/>
  <c r="Q84" i="3"/>
  <c r="AM78" i="4"/>
  <c r="P84" i="3"/>
  <c r="AL78" i="4"/>
  <c r="O84" i="3"/>
  <c r="AK78" i="4"/>
  <c r="F84" i="3"/>
  <c r="G84" i="3"/>
  <c r="I84" i="3"/>
  <c r="K84" i="3"/>
  <c r="N84" i="3"/>
  <c r="H84" i="3"/>
  <c r="J84" i="3"/>
  <c r="AJ78" i="4"/>
  <c r="Q83" i="3"/>
  <c r="AM77" i="4"/>
  <c r="P83" i="3"/>
  <c r="AL77" i="4"/>
  <c r="O83" i="3"/>
  <c r="AK77" i="4"/>
  <c r="F83" i="3"/>
  <c r="G83" i="3"/>
  <c r="H83" i="3"/>
  <c r="I83" i="3"/>
  <c r="J83" i="3"/>
  <c r="K83" i="3"/>
  <c r="N83" i="3"/>
  <c r="AJ77" i="4"/>
  <c r="F82" i="3"/>
  <c r="G82" i="3"/>
  <c r="H82" i="3"/>
  <c r="I82" i="3"/>
  <c r="J82" i="3"/>
  <c r="K82" i="3"/>
  <c r="N82" i="3"/>
  <c r="AJ76" i="4"/>
  <c r="O82" i="3"/>
  <c r="AK76" i="4"/>
  <c r="P82" i="3"/>
  <c r="AL76" i="4"/>
  <c r="Q82" i="3"/>
  <c r="AM76" i="4"/>
  <c r="F81" i="3"/>
  <c r="G81" i="3"/>
  <c r="H81" i="3"/>
  <c r="I81" i="3"/>
  <c r="J81" i="3"/>
  <c r="K81" i="3"/>
  <c r="N81" i="3"/>
  <c r="AJ75" i="4"/>
  <c r="P81" i="3"/>
  <c r="AL75" i="4"/>
  <c r="Q81" i="3"/>
  <c r="AM75" i="4"/>
  <c r="O81" i="3"/>
  <c r="AK75" i="4"/>
  <c r="Q80" i="3"/>
  <c r="AM74" i="4"/>
  <c r="P80" i="3"/>
  <c r="AL74" i="4"/>
  <c r="O80" i="3"/>
  <c r="AK74" i="4"/>
  <c r="F80" i="3"/>
  <c r="G80" i="3"/>
  <c r="H80" i="3"/>
  <c r="I80" i="3"/>
  <c r="J80" i="3"/>
  <c r="K80" i="3"/>
  <c r="N80" i="3"/>
  <c r="AJ74" i="4"/>
  <c r="Q79" i="3"/>
  <c r="AM73" i="4"/>
  <c r="P79" i="3"/>
  <c r="AL73" i="4"/>
  <c r="O79" i="3"/>
  <c r="AK73" i="4"/>
  <c r="F79" i="3"/>
  <c r="G79" i="3"/>
  <c r="H79" i="3"/>
  <c r="I79" i="3"/>
  <c r="J79" i="3"/>
  <c r="K79" i="3"/>
  <c r="N79" i="3"/>
  <c r="AJ73" i="4"/>
  <c r="Q78" i="3"/>
  <c r="AM72" i="4"/>
  <c r="P78" i="3"/>
  <c r="AL72" i="4"/>
  <c r="O78" i="3"/>
  <c r="AK72" i="4"/>
  <c r="F78" i="3"/>
  <c r="G78" i="3"/>
  <c r="H78" i="3"/>
  <c r="I78" i="3"/>
  <c r="J78" i="3"/>
  <c r="K78" i="3"/>
  <c r="N78" i="3"/>
  <c r="AJ72" i="4"/>
  <c r="E92" i="3"/>
  <c r="Q77" i="3"/>
  <c r="AM71" i="4"/>
  <c r="P77" i="3"/>
  <c r="AL71" i="4"/>
  <c r="O77" i="3"/>
  <c r="AK71" i="4"/>
  <c r="F77" i="3"/>
  <c r="G77" i="3"/>
  <c r="H77" i="3"/>
  <c r="I77" i="3"/>
  <c r="J77" i="3"/>
  <c r="K77" i="3"/>
  <c r="N77" i="3"/>
  <c r="AJ71" i="4"/>
  <c r="Q76" i="3"/>
  <c r="AM70" i="4"/>
  <c r="P76" i="3"/>
  <c r="AL70" i="4"/>
  <c r="O76" i="3"/>
  <c r="AK70" i="4"/>
  <c r="F76" i="3"/>
  <c r="G76" i="3"/>
  <c r="H76" i="3"/>
  <c r="I76" i="3"/>
  <c r="J76" i="3"/>
  <c r="K76" i="3"/>
  <c r="N76" i="3"/>
  <c r="AJ70" i="4"/>
  <c r="Q75" i="3"/>
  <c r="AM69" i="4"/>
  <c r="P75" i="3"/>
  <c r="AL69" i="4"/>
  <c r="O75" i="3"/>
  <c r="AK69" i="4"/>
  <c r="F75" i="3"/>
  <c r="G75" i="3"/>
  <c r="H75" i="3"/>
  <c r="I75" i="3"/>
  <c r="J75" i="3"/>
  <c r="K75" i="3"/>
  <c r="N75" i="3"/>
  <c r="AJ69" i="4"/>
  <c r="F74" i="3"/>
  <c r="G74" i="3"/>
  <c r="H74" i="3"/>
  <c r="I74" i="3"/>
  <c r="J74" i="3"/>
  <c r="K74" i="3"/>
  <c r="N74" i="3"/>
  <c r="AJ68" i="4"/>
  <c r="O74" i="3"/>
  <c r="AK68" i="4"/>
  <c r="Q74" i="3"/>
  <c r="AM68" i="4"/>
  <c r="P74" i="3"/>
  <c r="AL68" i="4"/>
  <c r="P73" i="3"/>
  <c r="AL67" i="4"/>
  <c r="O73" i="3"/>
  <c r="AK67" i="4"/>
  <c r="F73" i="3"/>
  <c r="G73" i="3"/>
  <c r="H73" i="3"/>
  <c r="I73" i="3"/>
  <c r="J73" i="3"/>
  <c r="K73" i="3"/>
  <c r="N73" i="3"/>
  <c r="AJ67" i="4"/>
  <c r="Q73" i="3"/>
  <c r="AM67" i="4"/>
  <c r="F72" i="3"/>
  <c r="G72" i="3"/>
  <c r="H72" i="3"/>
  <c r="I72" i="3"/>
  <c r="J72" i="3"/>
  <c r="K72" i="3"/>
  <c r="N72" i="3"/>
  <c r="AJ66" i="4"/>
  <c r="Q72" i="3"/>
  <c r="AM66" i="4"/>
  <c r="P72" i="3"/>
  <c r="AL66" i="4"/>
  <c r="O72" i="3"/>
  <c r="AK66" i="4"/>
  <c r="F68" i="3"/>
  <c r="G68" i="3"/>
  <c r="H68" i="3"/>
  <c r="I68" i="3"/>
  <c r="J68" i="3"/>
  <c r="K68" i="3"/>
  <c r="N68" i="3"/>
  <c r="AJ64" i="4"/>
  <c r="O68" i="3"/>
  <c r="AK64" i="4"/>
  <c r="P68" i="3"/>
  <c r="AL64" i="4"/>
  <c r="Q68" i="3"/>
  <c r="AM64" i="4"/>
  <c r="F67" i="3"/>
  <c r="G67" i="3"/>
  <c r="H67" i="3"/>
  <c r="I67" i="3"/>
  <c r="J67" i="3"/>
  <c r="K67" i="3"/>
  <c r="N67" i="3"/>
  <c r="AJ63" i="4"/>
  <c r="O67" i="3"/>
  <c r="AK63" i="4"/>
  <c r="P67" i="3"/>
  <c r="AL63" i="4"/>
  <c r="Q67" i="3"/>
  <c r="AM63" i="4"/>
  <c r="Q66" i="3"/>
  <c r="AM62" i="4"/>
  <c r="P66" i="3"/>
  <c r="AL62" i="4"/>
  <c r="F66" i="3"/>
  <c r="G66" i="3"/>
  <c r="H66" i="3"/>
  <c r="I66" i="3"/>
  <c r="J66" i="3"/>
  <c r="K66" i="3"/>
  <c r="N66" i="3"/>
  <c r="AJ62" i="4"/>
  <c r="O66" i="3"/>
  <c r="AK62" i="4"/>
  <c r="F65" i="3"/>
  <c r="G65" i="3"/>
  <c r="H65" i="3"/>
  <c r="I65" i="3"/>
  <c r="J65" i="3"/>
  <c r="K65" i="3"/>
  <c r="N65" i="3"/>
  <c r="AJ61" i="4"/>
  <c r="O65" i="3"/>
  <c r="AK61" i="4"/>
  <c r="P65" i="3"/>
  <c r="AL61" i="4"/>
  <c r="Q65" i="3"/>
  <c r="AM61" i="4"/>
  <c r="Q64" i="3"/>
  <c r="AM60" i="4"/>
  <c r="P64" i="3"/>
  <c r="AL60" i="4"/>
  <c r="O64" i="3"/>
  <c r="AK60" i="4"/>
  <c r="F64" i="3"/>
  <c r="G64" i="3"/>
  <c r="H64" i="3"/>
  <c r="I64" i="3"/>
  <c r="J64" i="3"/>
  <c r="K64" i="3"/>
  <c r="N64" i="3"/>
  <c r="AJ60" i="4"/>
  <c r="Q63" i="3"/>
  <c r="AM59" i="4"/>
  <c r="P63" i="3"/>
  <c r="AL59" i="4"/>
  <c r="O63" i="3"/>
  <c r="AK59" i="4"/>
  <c r="F63" i="3"/>
  <c r="G63" i="3"/>
  <c r="H63" i="3"/>
  <c r="I63" i="3"/>
  <c r="J63" i="3"/>
  <c r="K63" i="3"/>
  <c r="N63" i="3"/>
  <c r="AJ59" i="4"/>
  <c r="Q62" i="3"/>
  <c r="AM58" i="4"/>
  <c r="P62" i="3"/>
  <c r="AL58" i="4"/>
  <c r="O62" i="3"/>
  <c r="AK58" i="4"/>
  <c r="F62" i="3"/>
  <c r="G62" i="3"/>
  <c r="H62" i="3"/>
  <c r="I62" i="3"/>
  <c r="J62" i="3"/>
  <c r="K62" i="3"/>
  <c r="N62" i="3"/>
  <c r="AJ58" i="4"/>
  <c r="Q61" i="3"/>
  <c r="AM57" i="4"/>
  <c r="P61" i="3"/>
  <c r="AL57" i="4"/>
  <c r="O61" i="3"/>
  <c r="AK57" i="4"/>
  <c r="F61" i="3"/>
  <c r="G61" i="3"/>
  <c r="H61" i="3"/>
  <c r="I61" i="3"/>
  <c r="J61" i="3"/>
  <c r="K61" i="3"/>
  <c r="N61" i="3"/>
  <c r="AJ57" i="4"/>
  <c r="Q60" i="3"/>
  <c r="AM56" i="4"/>
  <c r="P60" i="3"/>
  <c r="AL56" i="4"/>
  <c r="O60" i="3"/>
  <c r="AK56" i="4"/>
  <c r="F60" i="3"/>
  <c r="G60" i="3"/>
  <c r="H60" i="3"/>
  <c r="I60" i="3"/>
  <c r="J60" i="3"/>
  <c r="K60" i="3"/>
  <c r="N60" i="3"/>
  <c r="AJ56" i="4"/>
  <c r="Q59" i="3"/>
  <c r="AM55" i="4"/>
  <c r="P59" i="3"/>
  <c r="AL55" i="4"/>
  <c r="O59" i="3"/>
  <c r="AK55" i="4"/>
  <c r="F59" i="3"/>
  <c r="G59" i="3"/>
  <c r="H59" i="3"/>
  <c r="I59" i="3"/>
  <c r="J59" i="3"/>
  <c r="K59" i="3"/>
  <c r="N59" i="3"/>
  <c r="AJ55" i="4"/>
  <c r="Q58" i="3"/>
  <c r="AM54" i="4"/>
  <c r="P58" i="3"/>
  <c r="AL54" i="4"/>
  <c r="O58" i="3"/>
  <c r="AK54" i="4"/>
  <c r="F58" i="3"/>
  <c r="G58" i="3"/>
  <c r="H58" i="3"/>
  <c r="I58" i="3"/>
  <c r="J58" i="3"/>
  <c r="K58" i="3"/>
  <c r="N58" i="3"/>
  <c r="AJ54" i="4"/>
  <c r="Q57" i="3"/>
  <c r="AM53" i="4"/>
  <c r="P57" i="3"/>
  <c r="AL53" i="4"/>
  <c r="O57" i="3"/>
  <c r="AK53" i="4"/>
  <c r="F57" i="3"/>
  <c r="G57" i="3"/>
  <c r="H57" i="3"/>
  <c r="I57" i="3"/>
  <c r="J57" i="3"/>
  <c r="K57" i="3"/>
  <c r="N57" i="3"/>
  <c r="AJ53" i="4"/>
  <c r="Q56" i="3"/>
  <c r="AM52" i="4"/>
  <c r="P56" i="3"/>
  <c r="AL52" i="4"/>
  <c r="O56" i="3"/>
  <c r="AK52" i="4"/>
  <c r="F56" i="3"/>
  <c r="G56" i="3"/>
  <c r="H56" i="3"/>
  <c r="I56" i="3"/>
  <c r="J56" i="3"/>
  <c r="K56" i="3"/>
  <c r="N56" i="3"/>
  <c r="AJ52" i="4"/>
  <c r="Q55" i="3"/>
  <c r="AM51" i="4"/>
  <c r="P55" i="3"/>
  <c r="AL51" i="4"/>
  <c r="O55" i="3"/>
  <c r="AK51" i="4"/>
  <c r="F55" i="3"/>
  <c r="G55" i="3"/>
  <c r="H55" i="3"/>
  <c r="I55" i="3"/>
  <c r="J55" i="3"/>
  <c r="K55" i="3"/>
  <c r="N55" i="3"/>
  <c r="AJ51" i="4"/>
  <c r="P54" i="3"/>
  <c r="AL50" i="4"/>
  <c r="O54" i="3"/>
  <c r="AK50" i="4"/>
  <c r="F54" i="3"/>
  <c r="G54" i="3"/>
  <c r="H54" i="3"/>
  <c r="I54" i="3"/>
  <c r="J54" i="3"/>
  <c r="K54" i="3"/>
  <c r="N54" i="3"/>
  <c r="AJ50" i="4"/>
  <c r="Q54" i="3"/>
  <c r="AM50" i="4"/>
  <c r="O53" i="3"/>
  <c r="AK49" i="4"/>
  <c r="F53" i="3"/>
  <c r="G53" i="3"/>
  <c r="H53" i="3"/>
  <c r="I53" i="3"/>
  <c r="J53" i="3"/>
  <c r="K53" i="3"/>
  <c r="N53" i="3"/>
  <c r="AJ49" i="4"/>
  <c r="Q53" i="3"/>
  <c r="AM49" i="4"/>
  <c r="P53" i="3"/>
  <c r="AL49" i="4"/>
  <c r="Q52" i="3"/>
  <c r="AM48" i="4"/>
  <c r="O52" i="3"/>
  <c r="AK48" i="4"/>
  <c r="F52" i="3"/>
  <c r="G52" i="3"/>
  <c r="H52" i="3"/>
  <c r="I52" i="3"/>
  <c r="J52" i="3"/>
  <c r="K52" i="3"/>
  <c r="N52" i="3"/>
  <c r="AJ48" i="4"/>
  <c r="P52" i="3"/>
  <c r="AL48" i="4"/>
  <c r="P51" i="3"/>
  <c r="AL47" i="4"/>
  <c r="F51" i="3"/>
  <c r="G51" i="3"/>
  <c r="H51" i="3"/>
  <c r="I51" i="3"/>
  <c r="J51" i="3"/>
  <c r="K51" i="3"/>
  <c r="N51" i="3"/>
  <c r="AJ47" i="4"/>
  <c r="O51" i="3"/>
  <c r="AK47" i="4"/>
  <c r="Q51" i="3"/>
  <c r="AM47" i="4"/>
  <c r="Q50" i="3"/>
  <c r="AM46" i="4"/>
  <c r="P50" i="3"/>
  <c r="AL46" i="4"/>
  <c r="O50" i="3"/>
  <c r="AK46" i="4"/>
  <c r="F50" i="3"/>
  <c r="G50" i="3"/>
  <c r="H50" i="3"/>
  <c r="I50" i="3"/>
  <c r="J50" i="3"/>
  <c r="K50" i="3"/>
  <c r="N50" i="3"/>
  <c r="AJ46" i="4"/>
  <c r="O49" i="3"/>
  <c r="AK45" i="4"/>
  <c r="P49" i="3"/>
  <c r="AL45" i="4"/>
  <c r="F49" i="3"/>
  <c r="G49" i="3"/>
  <c r="H49" i="3"/>
  <c r="I49" i="3"/>
  <c r="J49" i="3"/>
  <c r="K49" i="3"/>
  <c r="N49" i="3"/>
  <c r="AJ45" i="4"/>
  <c r="Q49" i="3"/>
  <c r="AM45" i="4"/>
  <c r="P48" i="3"/>
  <c r="AL44" i="4"/>
  <c r="Q48" i="3"/>
  <c r="AM44" i="4"/>
  <c r="F48" i="3"/>
  <c r="G48" i="3"/>
  <c r="H48" i="3"/>
  <c r="I48" i="3"/>
  <c r="J48" i="3"/>
  <c r="K48" i="3"/>
  <c r="N48" i="3"/>
  <c r="AJ44" i="4"/>
  <c r="O48" i="3"/>
  <c r="AK44" i="4"/>
  <c r="F47" i="3"/>
  <c r="G47" i="3"/>
  <c r="H47" i="3"/>
  <c r="I47" i="3"/>
  <c r="J47" i="3"/>
  <c r="K47" i="3"/>
  <c r="N47" i="3"/>
  <c r="AJ43" i="4"/>
  <c r="O47" i="3"/>
  <c r="AK43" i="4"/>
  <c r="P47" i="3"/>
  <c r="AL43" i="4"/>
  <c r="Q47" i="3"/>
  <c r="AM43" i="4"/>
  <c r="F46" i="3"/>
  <c r="G46" i="3"/>
  <c r="H46" i="3"/>
  <c r="I46" i="3"/>
  <c r="J46" i="3"/>
  <c r="K46" i="3"/>
  <c r="N46" i="3"/>
  <c r="N69" i="3" s="1"/>
  <c r="AJ42" i="4"/>
  <c r="O46" i="3"/>
  <c r="O69" i="3" s="1"/>
  <c r="AK42" i="4"/>
  <c r="P46" i="3"/>
  <c r="P69" i="3" s="1"/>
  <c r="AL42" i="4"/>
  <c r="Q46" i="3"/>
  <c r="Q69" i="3" s="1"/>
  <c r="AM42" i="4"/>
  <c r="E69" i="3"/>
  <c r="F42" i="3"/>
  <c r="G42" i="3"/>
  <c r="H42" i="3"/>
  <c r="I42" i="3"/>
  <c r="J42" i="3"/>
  <c r="K42" i="3"/>
  <c r="N42" i="3"/>
  <c r="AJ40" i="4"/>
  <c r="O42" i="3"/>
  <c r="AK40" i="4"/>
  <c r="P42" i="3"/>
  <c r="AL40" i="4"/>
  <c r="Q42" i="3"/>
  <c r="AM40" i="4"/>
  <c r="Q41" i="3"/>
  <c r="AM39" i="4"/>
  <c r="P41" i="3"/>
  <c r="AL39" i="4"/>
  <c r="O41" i="3"/>
  <c r="AK39" i="4"/>
  <c r="F41" i="3"/>
  <c r="G41" i="3"/>
  <c r="H41" i="3"/>
  <c r="I41" i="3"/>
  <c r="J41" i="3"/>
  <c r="K41" i="3"/>
  <c r="N41" i="3"/>
  <c r="AJ39" i="4"/>
  <c r="P40" i="3"/>
  <c r="AL38" i="4"/>
  <c r="O40" i="3"/>
  <c r="AK38" i="4"/>
  <c r="F40" i="3"/>
  <c r="G40" i="3"/>
  <c r="H40" i="3"/>
  <c r="I40" i="3"/>
  <c r="J40" i="3"/>
  <c r="K40" i="3"/>
  <c r="N40" i="3"/>
  <c r="AJ38" i="4"/>
  <c r="Q40" i="3"/>
  <c r="AM38" i="4"/>
  <c r="Q39" i="3"/>
  <c r="AM37" i="4"/>
  <c r="P39" i="3"/>
  <c r="AL37" i="4"/>
  <c r="O39" i="3"/>
  <c r="AK37" i="4"/>
  <c r="F39" i="3"/>
  <c r="G39" i="3"/>
  <c r="H39" i="3"/>
  <c r="I39" i="3"/>
  <c r="J39" i="3"/>
  <c r="K39" i="3"/>
  <c r="N39" i="3"/>
  <c r="AJ37" i="4"/>
  <c r="F38" i="3"/>
  <c r="G38" i="3"/>
  <c r="H38" i="3"/>
  <c r="I38" i="3"/>
  <c r="J38" i="3"/>
  <c r="K38" i="3"/>
  <c r="N38" i="3"/>
  <c r="AJ36" i="4"/>
  <c r="O38" i="3"/>
  <c r="AK36" i="4"/>
  <c r="P38" i="3"/>
  <c r="AL36" i="4"/>
  <c r="Q38" i="3"/>
  <c r="AM36" i="4"/>
  <c r="O37" i="3"/>
  <c r="AK35" i="4"/>
  <c r="P37" i="3"/>
  <c r="AL35" i="4"/>
  <c r="F37" i="3"/>
  <c r="G37" i="3"/>
  <c r="H37" i="3"/>
  <c r="I37" i="3"/>
  <c r="J37" i="3"/>
  <c r="K37" i="3"/>
  <c r="N37" i="3"/>
  <c r="AJ35" i="4"/>
  <c r="Q37" i="3"/>
  <c r="AM35" i="4"/>
  <c r="O36" i="3"/>
  <c r="AK34" i="4"/>
  <c r="P36" i="3"/>
  <c r="AL34" i="4"/>
  <c r="Q36" i="3"/>
  <c r="AM34" i="4"/>
  <c r="F36" i="3"/>
  <c r="G36" i="3"/>
  <c r="H36" i="3"/>
  <c r="I36" i="3"/>
  <c r="J36" i="3"/>
  <c r="K36" i="3"/>
  <c r="N36" i="3"/>
  <c r="AJ34" i="4"/>
  <c r="F35" i="3"/>
  <c r="G35" i="3"/>
  <c r="H35" i="3"/>
  <c r="I35" i="3"/>
  <c r="J35" i="3"/>
  <c r="K35" i="3"/>
  <c r="N35" i="3"/>
  <c r="AJ33" i="4"/>
  <c r="P35" i="3"/>
  <c r="AL33" i="4"/>
  <c r="O35" i="3"/>
  <c r="AK33" i="4"/>
  <c r="Q35" i="3"/>
  <c r="AM33" i="4"/>
  <c r="O34" i="3"/>
  <c r="AK32" i="4"/>
  <c r="P34" i="3"/>
  <c r="AL32" i="4"/>
  <c r="Q34" i="3"/>
  <c r="AM32" i="4"/>
  <c r="F34" i="3"/>
  <c r="G34" i="3"/>
  <c r="H34" i="3"/>
  <c r="I34" i="3"/>
  <c r="J34" i="3"/>
  <c r="K34" i="3"/>
  <c r="N34" i="3"/>
  <c r="AJ32" i="4"/>
  <c r="P33" i="3"/>
  <c r="AL31" i="4"/>
  <c r="F33" i="3"/>
  <c r="G33" i="3"/>
  <c r="H33" i="3"/>
  <c r="I33" i="3"/>
  <c r="J33" i="3"/>
  <c r="K33" i="3"/>
  <c r="N33" i="3"/>
  <c r="AJ31" i="4"/>
  <c r="O33" i="3"/>
  <c r="AK31" i="4"/>
  <c r="Q33" i="3"/>
  <c r="AM31" i="4"/>
  <c r="F32" i="3"/>
  <c r="G32" i="3"/>
  <c r="H32" i="3"/>
  <c r="I32" i="3"/>
  <c r="J32" i="3"/>
  <c r="K32" i="3"/>
  <c r="N32" i="3"/>
  <c r="AJ30" i="4"/>
  <c r="O32" i="3"/>
  <c r="AK30" i="4"/>
  <c r="P32" i="3"/>
  <c r="AL30" i="4"/>
  <c r="Q32" i="3"/>
  <c r="AM30" i="4"/>
  <c r="O31" i="3"/>
  <c r="AK29" i="4"/>
  <c r="P31" i="3"/>
  <c r="AL29" i="4"/>
  <c r="Q31" i="3"/>
  <c r="AM29" i="4"/>
  <c r="F31" i="3"/>
  <c r="G31" i="3"/>
  <c r="H31" i="3"/>
  <c r="I31" i="3"/>
  <c r="J31" i="3"/>
  <c r="K31" i="3"/>
  <c r="N31" i="3"/>
  <c r="AJ29" i="4"/>
  <c r="F30" i="3"/>
  <c r="G30" i="3"/>
  <c r="H30" i="3"/>
  <c r="I30" i="3"/>
  <c r="J30" i="3"/>
  <c r="K30" i="3"/>
  <c r="N30" i="3"/>
  <c r="AJ28" i="4"/>
  <c r="O30" i="3"/>
  <c r="AK28" i="4"/>
  <c r="P30" i="3"/>
  <c r="AL28" i="4"/>
  <c r="Q30" i="3"/>
  <c r="AM28" i="4"/>
  <c r="P29" i="3"/>
  <c r="AL27" i="4"/>
  <c r="Q29" i="3"/>
  <c r="AM27" i="4"/>
  <c r="F29" i="3"/>
  <c r="G29" i="3"/>
  <c r="H29" i="3"/>
  <c r="I29" i="3"/>
  <c r="J29" i="3"/>
  <c r="K29" i="3"/>
  <c r="N29" i="3"/>
  <c r="AJ27" i="4"/>
  <c r="O29" i="3"/>
  <c r="AK27" i="4"/>
  <c r="P28" i="3"/>
  <c r="AL26" i="4"/>
  <c r="O28" i="3"/>
  <c r="AK26" i="4"/>
  <c r="F28" i="3"/>
  <c r="G28" i="3"/>
  <c r="H28" i="3"/>
  <c r="I28" i="3"/>
  <c r="J28" i="3"/>
  <c r="K28" i="3"/>
  <c r="N28" i="3"/>
  <c r="AJ26" i="4"/>
  <c r="Q28" i="3"/>
  <c r="AM26" i="4"/>
  <c r="F27" i="3"/>
  <c r="G27" i="3"/>
  <c r="H27" i="3"/>
  <c r="I27" i="3"/>
  <c r="J27" i="3"/>
  <c r="K27" i="3"/>
  <c r="N27" i="3"/>
  <c r="AJ25" i="4"/>
  <c r="O27" i="3"/>
  <c r="AK25" i="4"/>
  <c r="P27" i="3"/>
  <c r="AL25" i="4"/>
  <c r="Q27" i="3"/>
  <c r="AM25" i="4"/>
  <c r="F26" i="3"/>
  <c r="G26" i="3"/>
  <c r="H26" i="3"/>
  <c r="I26" i="3"/>
  <c r="J26" i="3"/>
  <c r="K26" i="3"/>
  <c r="N26" i="3"/>
  <c r="AJ24" i="4"/>
  <c r="O26" i="3"/>
  <c r="AK24" i="4"/>
  <c r="P26" i="3"/>
  <c r="AL24" i="4"/>
  <c r="Q26" i="3"/>
  <c r="AM24" i="4"/>
  <c r="F25" i="3"/>
  <c r="G25" i="3"/>
  <c r="H25" i="3"/>
  <c r="I25" i="3"/>
  <c r="J25" i="3"/>
  <c r="K25" i="3"/>
  <c r="N25" i="3"/>
  <c r="AJ23" i="4"/>
  <c r="O25" i="3"/>
  <c r="AK23" i="4"/>
  <c r="P25" i="3"/>
  <c r="AL23" i="4"/>
  <c r="O24" i="3"/>
  <c r="AK22" i="4"/>
  <c r="P24" i="3"/>
  <c r="AL22" i="4"/>
  <c r="Q24" i="3"/>
  <c r="AM22" i="4"/>
  <c r="F24" i="3"/>
  <c r="G24" i="3"/>
  <c r="H24" i="3"/>
  <c r="I24" i="3"/>
  <c r="J24" i="3"/>
  <c r="K24" i="3"/>
  <c r="N24" i="3"/>
  <c r="AJ22" i="4"/>
  <c r="F23" i="3"/>
  <c r="G23" i="3"/>
  <c r="H23" i="3"/>
  <c r="I23" i="3"/>
  <c r="J23" i="3"/>
  <c r="K23" i="3"/>
  <c r="N23" i="3"/>
  <c r="AJ21" i="4"/>
  <c r="O23" i="3"/>
  <c r="AK21" i="4"/>
  <c r="P23" i="3"/>
  <c r="AL21" i="4"/>
  <c r="Q23" i="3"/>
  <c r="AM21" i="4"/>
  <c r="F22" i="3"/>
  <c r="G22" i="3"/>
  <c r="H22" i="3"/>
  <c r="I22" i="3"/>
  <c r="J22" i="3"/>
  <c r="K22" i="3"/>
  <c r="N22" i="3"/>
  <c r="AJ20" i="4"/>
  <c r="O22" i="3"/>
  <c r="AK20" i="4"/>
  <c r="P22" i="3"/>
  <c r="AL20" i="4"/>
  <c r="Q22" i="3"/>
  <c r="AM20" i="4"/>
  <c r="P21" i="3"/>
  <c r="AL19" i="4"/>
  <c r="O21" i="3"/>
  <c r="AK19" i="4"/>
  <c r="F21" i="3"/>
  <c r="G21" i="3"/>
  <c r="H21" i="3"/>
  <c r="I21" i="3"/>
  <c r="J21" i="3"/>
  <c r="K21" i="3"/>
  <c r="N21" i="3"/>
  <c r="AJ19" i="4"/>
  <c r="Q21" i="3"/>
  <c r="AM19" i="4"/>
  <c r="Q17" i="3"/>
  <c r="AM17" i="4"/>
  <c r="P17" i="3"/>
  <c r="AL17" i="4"/>
  <c r="O17" i="3"/>
  <c r="AK17" i="4"/>
  <c r="F17" i="3"/>
  <c r="G17" i="3"/>
  <c r="H17" i="3"/>
  <c r="I17" i="3"/>
  <c r="J17" i="3"/>
  <c r="K17" i="3"/>
  <c r="N17" i="3"/>
  <c r="AJ17" i="4"/>
  <c r="Q16" i="3"/>
  <c r="AM16" i="4"/>
  <c r="P16" i="3"/>
  <c r="AL16" i="4"/>
  <c r="O16" i="3"/>
  <c r="AK16" i="4"/>
  <c r="F16" i="3"/>
  <c r="G16" i="3"/>
  <c r="H16" i="3"/>
  <c r="I16" i="3"/>
  <c r="J16" i="3"/>
  <c r="K16" i="3"/>
  <c r="N16" i="3"/>
  <c r="AJ16" i="4"/>
  <c r="Q15" i="3"/>
  <c r="AM15" i="4"/>
  <c r="P15" i="3"/>
  <c r="AL15" i="4"/>
  <c r="O15" i="3"/>
  <c r="AK15" i="4"/>
  <c r="F15" i="3"/>
  <c r="G15" i="3"/>
  <c r="H15" i="3"/>
  <c r="I15" i="3"/>
  <c r="J15" i="3"/>
  <c r="K15" i="3"/>
  <c r="N15" i="3"/>
  <c r="AJ15" i="4"/>
  <c r="Q14" i="3"/>
  <c r="AM14" i="4"/>
  <c r="P14" i="3"/>
  <c r="AL14" i="4"/>
  <c r="O14" i="3"/>
  <c r="AK14" i="4"/>
  <c r="F14" i="3"/>
  <c r="G14" i="3"/>
  <c r="H14" i="3"/>
  <c r="I14" i="3"/>
  <c r="J14" i="3"/>
  <c r="K14" i="3"/>
  <c r="N14" i="3"/>
  <c r="AJ14" i="4"/>
  <c r="Q13" i="3"/>
  <c r="AM13" i="4"/>
  <c r="P13" i="3"/>
  <c r="AL13" i="4"/>
  <c r="O13" i="3"/>
  <c r="AK13" i="4"/>
  <c r="F13" i="3"/>
  <c r="G13" i="3"/>
  <c r="H13" i="3"/>
  <c r="I13" i="3"/>
  <c r="J13" i="3"/>
  <c r="K13" i="3"/>
  <c r="N13" i="3"/>
  <c r="AJ13" i="4"/>
  <c r="Q12" i="3"/>
  <c r="AM12" i="4"/>
  <c r="P12" i="3"/>
  <c r="AL12" i="4"/>
  <c r="F12" i="3"/>
  <c r="G12" i="3"/>
  <c r="H12" i="3"/>
  <c r="I12" i="3"/>
  <c r="J12" i="3"/>
  <c r="K12" i="3"/>
  <c r="N12" i="3"/>
  <c r="AJ12" i="4"/>
  <c r="O12" i="3"/>
  <c r="AK12" i="4"/>
  <c r="Q11" i="3"/>
  <c r="AM11" i="4"/>
  <c r="P11" i="3"/>
  <c r="AL11" i="4"/>
  <c r="O11" i="3"/>
  <c r="AK11" i="4"/>
  <c r="F11" i="3"/>
  <c r="G11" i="3"/>
  <c r="H11" i="3"/>
  <c r="I11" i="3"/>
  <c r="J11" i="3"/>
  <c r="K11" i="3"/>
  <c r="N11" i="3"/>
  <c r="AJ11" i="4"/>
  <c r="F10" i="3"/>
  <c r="G10" i="3"/>
  <c r="H10" i="3"/>
  <c r="I10" i="3"/>
  <c r="J10" i="3"/>
  <c r="K10" i="3"/>
  <c r="N10" i="3"/>
  <c r="AJ10" i="4"/>
  <c r="P10" i="3"/>
  <c r="AL10" i="4"/>
  <c r="O10" i="3"/>
  <c r="AK10" i="4"/>
  <c r="Q10" i="3"/>
  <c r="AM10" i="4"/>
  <c r="O9" i="3"/>
  <c r="AK9" i="4"/>
  <c r="P9" i="3"/>
  <c r="AL9" i="4"/>
  <c r="Q9" i="3"/>
  <c r="AM9" i="4"/>
  <c r="F9" i="3"/>
  <c r="G9" i="3"/>
  <c r="H9" i="3"/>
  <c r="I9" i="3"/>
  <c r="J9" i="3"/>
  <c r="K9" i="3"/>
  <c r="N9" i="3"/>
  <c r="AJ9" i="4"/>
  <c r="F8" i="3"/>
  <c r="G8" i="3"/>
  <c r="H8" i="3"/>
  <c r="I8" i="3"/>
  <c r="J8" i="3"/>
  <c r="K8" i="3"/>
  <c r="N8" i="3"/>
  <c r="AJ8" i="4"/>
  <c r="O8" i="3"/>
  <c r="AK8" i="4"/>
  <c r="P8" i="3"/>
  <c r="AL8" i="4"/>
  <c r="Q8" i="3"/>
  <c r="AM8" i="4"/>
  <c r="O98" i="6"/>
  <c r="F7" i="3"/>
  <c r="G7" i="3"/>
  <c r="H7" i="3"/>
  <c r="I7" i="3"/>
  <c r="J7" i="3"/>
  <c r="K7" i="3"/>
  <c r="N7" i="3"/>
  <c r="AJ7" i="4"/>
  <c r="P98" i="6"/>
  <c r="O7" i="3"/>
  <c r="AK7" i="4"/>
  <c r="Q98" i="6"/>
  <c r="P7" i="3"/>
  <c r="AL7" i="4"/>
  <c r="R98" i="6"/>
  <c r="Q7" i="3"/>
  <c r="AM7" i="4"/>
  <c r="E18" i="3"/>
  <c r="E120" i="3"/>
  <c r="H100" i="6"/>
  <c r="D9" i="1"/>
  <c r="D23" i="1"/>
  <c r="D22" i="1"/>
  <c r="D21" i="1"/>
  <c r="D18" i="1"/>
  <c r="B13" i="2" l="1"/>
  <c r="F118" i="3"/>
  <c r="C13" i="2"/>
  <c r="G118" i="3"/>
  <c r="D13" i="2"/>
  <c r="H118" i="3"/>
  <c r="E13" i="2"/>
  <c r="I118" i="3"/>
  <c r="F13" i="2"/>
  <c r="J118" i="3"/>
  <c r="H114" i="3"/>
  <c r="D12" i="2"/>
  <c r="G114" i="3"/>
  <c r="C12" i="2"/>
  <c r="J114" i="3"/>
  <c r="F12" i="2"/>
  <c r="B12" i="2"/>
  <c r="L99" i="3"/>
  <c r="F114" i="3"/>
  <c r="I114" i="3"/>
  <c r="E12" i="2"/>
  <c r="K114" i="3"/>
  <c r="G12" i="2"/>
  <c r="L95" i="3"/>
  <c r="F96" i="3"/>
  <c r="B11" i="2"/>
  <c r="I96" i="3"/>
  <c r="E11" i="2"/>
  <c r="C11" i="2"/>
  <c r="G96" i="3"/>
  <c r="J96" i="3"/>
  <c r="F11" i="2"/>
  <c r="D11" i="2"/>
  <c r="H96" i="3"/>
  <c r="G11" i="2"/>
  <c r="K96" i="3"/>
  <c r="D20" i="1"/>
  <c r="L72" i="3"/>
  <c r="B10" i="2"/>
  <c r="F92" i="3"/>
  <c r="C10" i="2"/>
  <c r="G92" i="3"/>
  <c r="H92" i="3"/>
  <c r="D10" i="2"/>
  <c r="I92" i="3"/>
  <c r="E10" i="2"/>
  <c r="F10" i="2"/>
  <c r="J92" i="3"/>
  <c r="G10" i="2"/>
  <c r="K92" i="3"/>
  <c r="L46" i="3"/>
  <c r="F69" i="3"/>
  <c r="B9" i="2"/>
  <c r="C9" i="2"/>
  <c r="G69" i="3"/>
  <c r="H69" i="3"/>
  <c r="D9" i="2"/>
  <c r="I69" i="3"/>
  <c r="E9" i="2"/>
  <c r="J69" i="3"/>
  <c r="F9" i="2"/>
  <c r="G9" i="2"/>
  <c r="K69" i="3"/>
  <c r="D19" i="1"/>
  <c r="L21" i="3"/>
  <c r="F43" i="3"/>
  <c r="B8" i="2"/>
  <c r="G43" i="3"/>
  <c r="C8" i="2"/>
  <c r="D8" i="2"/>
  <c r="H43" i="3"/>
  <c r="I43" i="3"/>
  <c r="E8" i="2"/>
  <c r="J43" i="3"/>
  <c r="F8" i="2"/>
  <c r="K43" i="3"/>
  <c r="G8" i="2"/>
  <c r="L7" i="3"/>
  <c r="F18" i="3"/>
  <c r="B7" i="2"/>
  <c r="K117" i="3"/>
  <c r="F120" i="3"/>
  <c r="F121" i="3" s="1"/>
  <c r="F122" i="3" s="1"/>
  <c r="G18" i="3"/>
  <c r="C7" i="2"/>
  <c r="G120" i="3"/>
  <c r="G121" i="3" s="1"/>
  <c r="H18" i="3"/>
  <c r="D7" i="2"/>
  <c r="H120" i="3"/>
  <c r="H121" i="3" s="1"/>
  <c r="I18" i="3"/>
  <c r="E7" i="2"/>
  <c r="I120" i="3"/>
  <c r="I121" i="3" s="1"/>
  <c r="J18" i="3"/>
  <c r="J120" i="3"/>
  <c r="J121" i="3" s="1"/>
  <c r="F7" i="2"/>
  <c r="K18" i="3"/>
  <c r="G7" i="2"/>
  <c r="N18" i="3"/>
  <c r="M107" i="4"/>
  <c r="M111" i="4" s="1"/>
  <c r="E22" i="2"/>
  <c r="E26" i="2" s="1"/>
  <c r="F107" i="4"/>
  <c r="L107" i="4"/>
  <c r="L111" i="4" s="1"/>
  <c r="P107" i="4"/>
  <c r="P111" i="4" s="1"/>
  <c r="H107" i="4"/>
  <c r="H111" i="4" s="1"/>
  <c r="G107" i="4"/>
  <c r="G111" i="4" s="1"/>
  <c r="O107" i="4"/>
  <c r="O111" i="4" s="1"/>
  <c r="D22" i="2"/>
  <c r="D26" i="2" s="1"/>
  <c r="B22" i="2"/>
  <c r="F22" i="2"/>
  <c r="F26" i="2" s="1"/>
  <c r="I107" i="4"/>
  <c r="I111" i="4" s="1"/>
  <c r="Q107" i="4"/>
  <c r="C22" i="2"/>
  <c r="J107" i="4"/>
  <c r="R107" i="4"/>
  <c r="O18" i="3"/>
  <c r="O120" i="3"/>
  <c r="K108" i="4"/>
  <c r="C23" i="2"/>
  <c r="F108" i="4"/>
  <c r="L108" i="4"/>
  <c r="M108" i="4"/>
  <c r="N108" i="4"/>
  <c r="O108" i="4"/>
  <c r="P108" i="4"/>
  <c r="Q108" i="4"/>
  <c r="R108" i="4"/>
  <c r="J108" i="4"/>
  <c r="I108" i="4"/>
  <c r="D23" i="2"/>
  <c r="G23" i="2"/>
  <c r="H108" i="4"/>
  <c r="B23" i="2"/>
  <c r="F23" i="2"/>
  <c r="G108" i="4"/>
  <c r="E23" i="2"/>
  <c r="P18" i="3"/>
  <c r="P120" i="3"/>
  <c r="B24" i="2"/>
  <c r="F109" i="4"/>
  <c r="G109" i="4"/>
  <c r="H109" i="4"/>
  <c r="I109" i="4"/>
  <c r="J109" i="4"/>
  <c r="K109" i="4"/>
  <c r="L109" i="4"/>
  <c r="M109" i="4"/>
  <c r="N109" i="4"/>
  <c r="O109" i="4"/>
  <c r="P109" i="4"/>
  <c r="Q109" i="4"/>
  <c r="R109" i="4"/>
  <c r="E24" i="2"/>
  <c r="D24" i="2"/>
  <c r="F24" i="2"/>
  <c r="C24" i="2"/>
  <c r="G24" i="2"/>
  <c r="Q18" i="3"/>
  <c r="Q120" i="3"/>
  <c r="C25" i="2"/>
  <c r="R110" i="4"/>
  <c r="F110" i="4"/>
  <c r="G110" i="4"/>
  <c r="H110" i="4"/>
  <c r="I110" i="4"/>
  <c r="J110" i="4"/>
  <c r="K110" i="4"/>
  <c r="L110" i="4"/>
  <c r="M110" i="4"/>
  <c r="N110" i="4"/>
  <c r="O110" i="4"/>
  <c r="P110" i="4"/>
  <c r="Q110" i="4"/>
  <c r="F25" i="2"/>
  <c r="G25" i="2"/>
  <c r="E25" i="2"/>
  <c r="B25" i="2"/>
  <c r="D25" i="2"/>
  <c r="D17" i="1"/>
  <c r="H101" i="6"/>
  <c r="H102" i="6"/>
  <c r="H103" i="6"/>
  <c r="H104" i="6"/>
  <c r="L113" i="3"/>
  <c r="M113" i="3" s="1"/>
  <c r="L112" i="3"/>
  <c r="M112" i="3" s="1"/>
  <c r="L111" i="3"/>
  <c r="M111" i="3" s="1"/>
  <c r="L110" i="3"/>
  <c r="M110" i="3" s="1"/>
  <c r="L109" i="3"/>
  <c r="M109" i="3" s="1"/>
  <c r="L108" i="3"/>
  <c r="M108" i="3" s="1"/>
  <c r="L107" i="3"/>
  <c r="M107" i="3" s="1"/>
  <c r="L106" i="3"/>
  <c r="M106" i="3" s="1"/>
  <c r="L105" i="3"/>
  <c r="M105" i="3" s="1"/>
  <c r="L103" i="3"/>
  <c r="M103" i="3" s="1"/>
  <c r="L102" i="3"/>
  <c r="M102" i="3" s="1"/>
  <c r="L101" i="3"/>
  <c r="M101" i="3" s="1"/>
  <c r="L85" i="3"/>
  <c r="M85" i="3" s="1"/>
  <c r="L84" i="3"/>
  <c r="M84" i="3" s="1"/>
  <c r="L83" i="3"/>
  <c r="M83" i="3" s="1"/>
  <c r="L82" i="3"/>
  <c r="M82" i="3" s="1"/>
  <c r="L81" i="3"/>
  <c r="M81" i="3" s="1"/>
  <c r="L80" i="3"/>
  <c r="M80" i="3" s="1"/>
  <c r="L79" i="3"/>
  <c r="M79" i="3" s="1"/>
  <c r="L78" i="3"/>
  <c r="M78" i="3" s="1"/>
  <c r="L77" i="3"/>
  <c r="M77" i="3" s="1"/>
  <c r="L76" i="3"/>
  <c r="M76" i="3" s="1"/>
  <c r="L75" i="3"/>
  <c r="M75" i="3" s="1"/>
  <c r="L74" i="3"/>
  <c r="M74" i="3" s="1"/>
  <c r="L41" i="3"/>
  <c r="M41" i="3" s="1"/>
  <c r="L35" i="3"/>
  <c r="M35" i="3" s="1"/>
  <c r="L34" i="3"/>
  <c r="M34" i="3" s="1"/>
  <c r="L86" i="3"/>
  <c r="M86" i="3" s="1"/>
  <c r="L73" i="3"/>
  <c r="M73" i="3" s="1"/>
  <c r="N92" i="3"/>
  <c r="Q92" i="3"/>
  <c r="P92" i="3"/>
  <c r="O92" i="3"/>
  <c r="L68" i="3"/>
  <c r="M68" i="3" s="1"/>
  <c r="L67" i="3"/>
  <c r="M67" i="3" s="1"/>
  <c r="L66" i="3"/>
  <c r="M66" i="3" s="1"/>
  <c r="L65" i="3"/>
  <c r="M65" i="3" s="1"/>
  <c r="L64" i="3"/>
  <c r="M64" i="3" s="1"/>
  <c r="L63" i="3"/>
  <c r="M63" i="3" s="1"/>
  <c r="L62" i="3"/>
  <c r="M62" i="3" s="1"/>
  <c r="L61" i="3"/>
  <c r="M61" i="3" s="1"/>
  <c r="L60" i="3"/>
  <c r="M60" i="3" s="1"/>
  <c r="L59" i="3"/>
  <c r="M59" i="3" s="1"/>
  <c r="L47" i="3"/>
  <c r="M47" i="3" s="1"/>
  <c r="L42" i="3"/>
  <c r="M42" i="3" s="1"/>
  <c r="L40" i="3"/>
  <c r="M40" i="3" s="1"/>
  <c r="L39" i="3"/>
  <c r="M39" i="3" s="1"/>
  <c r="L38" i="3"/>
  <c r="M38" i="3" s="1"/>
  <c r="L89" i="3"/>
  <c r="M89" i="3" s="1"/>
  <c r="L58" i="3"/>
  <c r="M58" i="3" s="1"/>
  <c r="L57" i="3"/>
  <c r="M57" i="3" s="1"/>
  <c r="L56" i="3"/>
  <c r="M56" i="3" s="1"/>
  <c r="L55" i="3"/>
  <c r="M55" i="3" s="1"/>
  <c r="L54" i="3"/>
  <c r="M54" i="3" s="1"/>
  <c r="L53" i="3"/>
  <c r="M53" i="3" s="1"/>
  <c r="L52" i="3"/>
  <c r="M52" i="3" s="1"/>
  <c r="L51" i="3"/>
  <c r="M51" i="3" s="1"/>
  <c r="L50" i="3"/>
  <c r="M50" i="3" s="1"/>
  <c r="L49" i="3"/>
  <c r="M49" i="3" s="1"/>
  <c r="L48" i="3"/>
  <c r="M48" i="3" s="1"/>
  <c r="L37" i="3"/>
  <c r="M37" i="3" s="1"/>
  <c r="L36" i="3"/>
  <c r="M36" i="3" s="1"/>
  <c r="L32" i="3"/>
  <c r="M32" i="3" s="1"/>
  <c r="L87" i="3"/>
  <c r="M87" i="3" s="1"/>
  <c r="L33" i="3"/>
  <c r="M33" i="3" s="1"/>
  <c r="L31" i="3"/>
  <c r="M31" i="3" s="1"/>
  <c r="L30" i="3"/>
  <c r="M30" i="3" s="1"/>
  <c r="L29" i="3"/>
  <c r="M29" i="3" s="1"/>
  <c r="L28" i="3"/>
  <c r="M28" i="3" s="1"/>
  <c r="L27" i="3"/>
  <c r="M27" i="3" s="1"/>
  <c r="L26" i="3"/>
  <c r="M26" i="3" s="1"/>
  <c r="L25" i="3"/>
  <c r="M25" i="3" s="1"/>
  <c r="L24" i="3"/>
  <c r="M24" i="3" s="1"/>
  <c r="L23" i="3"/>
  <c r="M23" i="3" s="1"/>
  <c r="L22" i="3"/>
  <c r="M22" i="3" s="1"/>
  <c r="P43" i="3"/>
  <c r="O43" i="3"/>
  <c r="N43" i="3"/>
  <c r="Q43" i="3"/>
  <c r="L100" i="3"/>
  <c r="M100" i="3" s="1"/>
  <c r="L91" i="3"/>
  <c r="M91" i="3" s="1"/>
  <c r="L90" i="3"/>
  <c r="M90" i="3" s="1"/>
  <c r="L88" i="3"/>
  <c r="M88" i="3" s="1"/>
  <c r="L17" i="3"/>
  <c r="M17" i="3" s="1"/>
  <c r="L16" i="3"/>
  <c r="M16" i="3" s="1"/>
  <c r="L15" i="3"/>
  <c r="M15" i="3" s="1"/>
  <c r="L14" i="3"/>
  <c r="M14" i="3" s="1"/>
  <c r="L13" i="3"/>
  <c r="M13" i="3" s="1"/>
  <c r="L12" i="3"/>
  <c r="M12" i="3" s="1"/>
  <c r="L11" i="3"/>
  <c r="M11" i="3" s="1"/>
  <c r="L10" i="3"/>
  <c r="M10" i="3" s="1"/>
  <c r="L9" i="3"/>
  <c r="M9" i="3" s="1"/>
  <c r="L8" i="3"/>
  <c r="M8" i="3" s="1"/>
  <c r="G122" i="3" l="1"/>
  <c r="H122" i="3" s="1"/>
  <c r="I122" i="3" s="1"/>
  <c r="J122" i="3" s="1"/>
  <c r="H10" i="2"/>
  <c r="I10" i="2" s="1"/>
  <c r="M99" i="3"/>
  <c r="L114" i="3"/>
  <c r="M95" i="3"/>
  <c r="L96" i="3"/>
  <c r="M72" i="3"/>
  <c r="L92" i="3"/>
  <c r="M46" i="3"/>
  <c r="L69" i="3"/>
  <c r="M21" i="3"/>
  <c r="L43" i="3"/>
  <c r="M7" i="3"/>
  <c r="L18" i="3"/>
  <c r="L120" i="3"/>
  <c r="H7" i="2"/>
  <c r="B14" i="2"/>
  <c r="Z105" i="4"/>
  <c r="K118" i="3"/>
  <c r="G13" i="2"/>
  <c r="F111" i="4"/>
  <c r="B26" i="2"/>
  <c r="D24" i="1"/>
  <c r="H106" i="6"/>
  <c r="D6" i="1"/>
  <c r="D8" i="1"/>
  <c r="H8" i="2"/>
  <c r="I8" i="2" s="1"/>
  <c r="H9" i="2"/>
  <c r="I9" i="2" s="1"/>
  <c r="C14" i="2"/>
  <c r="D14" i="2"/>
  <c r="E14" i="2"/>
  <c r="F14" i="2"/>
  <c r="Q111" i="4"/>
  <c r="C26" i="2"/>
  <c r="J111" i="4"/>
  <c r="R111" i="4"/>
  <c r="S108" i="4"/>
  <c r="H23" i="2"/>
  <c r="H24" i="2"/>
  <c r="S109" i="4"/>
  <c r="S110" i="4"/>
  <c r="H25" i="2"/>
  <c r="H12" i="2"/>
  <c r="I12" i="2" s="1"/>
  <c r="H11" i="2"/>
  <c r="I11" i="2" s="1"/>
  <c r="K120" i="3"/>
  <c r="K121" i="3" s="1"/>
  <c r="K122" i="3" s="1"/>
  <c r="L117" i="3"/>
  <c r="M114" i="3" l="1"/>
  <c r="E22" i="1"/>
  <c r="M96" i="3"/>
  <c r="E21" i="1"/>
  <c r="M92" i="3"/>
  <c r="E20" i="1"/>
  <c r="M69" i="3"/>
  <c r="E19" i="1"/>
  <c r="M43" i="3"/>
  <c r="E18" i="1"/>
  <c r="M18" i="3"/>
  <c r="E17" i="1"/>
  <c r="M120" i="3"/>
  <c r="K6" i="1"/>
  <c r="H6" i="1"/>
  <c r="H10" i="1"/>
  <c r="L121" i="3"/>
  <c r="L123" i="3"/>
  <c r="I7" i="2"/>
  <c r="B15" i="2"/>
  <c r="B16" i="2"/>
  <c r="D37" i="1"/>
  <c r="K107" i="4"/>
  <c r="G22" i="2"/>
  <c r="AC105" i="4"/>
  <c r="N117" i="3"/>
  <c r="F112" i="4"/>
  <c r="E37" i="1"/>
  <c r="C15" i="2"/>
  <c r="D15" i="2"/>
  <c r="F37" i="1"/>
  <c r="E15" i="2"/>
  <c r="G37" i="1"/>
  <c r="H37" i="1"/>
  <c r="F15" i="2"/>
  <c r="I23" i="2"/>
  <c r="D29" i="1"/>
  <c r="E29" i="1" s="1"/>
  <c r="I24" i="2"/>
  <c r="D30" i="1"/>
  <c r="E30" i="1" s="1"/>
  <c r="D31" i="1"/>
  <c r="E31" i="1" s="1"/>
  <c r="I25" i="2"/>
  <c r="L118" i="3"/>
  <c r="M117" i="3"/>
  <c r="H13" i="2"/>
  <c r="G14" i="2"/>
  <c r="F22" i="1" l="1"/>
  <c r="G22" i="1"/>
  <c r="F21" i="1"/>
  <c r="G21" i="1"/>
  <c r="F20" i="1"/>
  <c r="G20" i="1"/>
  <c r="F19" i="1"/>
  <c r="G19" i="1"/>
  <c r="F18" i="1"/>
  <c r="G18" i="1"/>
  <c r="F17" i="1"/>
  <c r="G17" i="1"/>
  <c r="D38" i="1"/>
  <c r="B17" i="2"/>
  <c r="D39" i="1" s="1"/>
  <c r="C16" i="2"/>
  <c r="K111" i="4"/>
  <c r="H22" i="2"/>
  <c r="G26" i="2"/>
  <c r="N120" i="3"/>
  <c r="N123" i="3" s="1"/>
  <c r="N118" i="3"/>
  <c r="F113" i="4"/>
  <c r="G112" i="4"/>
  <c r="M118" i="3"/>
  <c r="E23" i="1"/>
  <c r="E24" i="1" s="1"/>
  <c r="F24" i="1" s="1"/>
  <c r="G15" i="2"/>
  <c r="I37" i="1"/>
  <c r="J37" i="1"/>
  <c r="N107" i="4"/>
  <c r="AH105" i="4"/>
  <c r="I13" i="2"/>
  <c r="H14" i="2"/>
  <c r="N111" i="4" l="1"/>
  <c r="S111" i="4" s="1"/>
  <c r="S107" i="4"/>
  <c r="C17" i="2"/>
  <c r="E39" i="1" s="1"/>
  <c r="E38" i="1"/>
  <c r="D16" i="2"/>
  <c r="H26" i="2"/>
  <c r="D28" i="1"/>
  <c r="I22" i="2"/>
  <c r="G113" i="4"/>
  <c r="H112" i="4"/>
  <c r="F23" i="1"/>
  <c r="G23" i="1"/>
  <c r="H15" i="2"/>
  <c r="I14" i="2"/>
  <c r="G24" i="1"/>
  <c r="D17" i="2" l="1"/>
  <c r="F39" i="1" s="1"/>
  <c r="F38" i="1"/>
  <c r="E16" i="2"/>
  <c r="I26" i="2"/>
  <c r="H27" i="2"/>
  <c r="E28" i="1"/>
  <c r="E32" i="1" s="1"/>
  <c r="D32" i="1"/>
  <c r="H113" i="4"/>
  <c r="I112" i="4"/>
  <c r="G38" i="1" l="1"/>
  <c r="E17" i="2"/>
  <c r="G39" i="1" s="1"/>
  <c r="F16" i="2"/>
  <c r="I113" i="4"/>
  <c r="J112" i="4"/>
  <c r="F17" i="2" l="1"/>
  <c r="H39" i="1" s="1"/>
  <c r="H38" i="1"/>
  <c r="G16" i="2"/>
  <c r="J113" i="4"/>
  <c r="K112" i="4"/>
  <c r="G17" i="2" l="1"/>
  <c r="I39" i="1" s="1"/>
  <c r="I38" i="1"/>
  <c r="K113" i="4"/>
  <c r="L112" i="4"/>
  <c r="L113" i="4" l="1"/>
  <c r="M112" i="4"/>
  <c r="M113" i="4" l="1"/>
  <c r="N112" i="4"/>
  <c r="N113" i="4" l="1"/>
  <c r="O112" i="4"/>
  <c r="O113" i="4" l="1"/>
  <c r="P112" i="4"/>
  <c r="Q112" i="4" l="1"/>
  <c r="P113" i="4"/>
  <c r="Q113" i="4" l="1"/>
  <c r="R112" i="4"/>
  <c r="R113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D7" authorId="0" shapeId="0" xr:uid="{00000000-0006-0000-0000-000001000000}">
      <text>
        <r>
          <rPr>
            <sz val="10"/>
            <rFont val="Arial"/>
            <family val="2"/>
          </rPr>
          <t>Dato del contrato (cláusula SEXTA). Celda editable: si el supervisor fija el anticipo en el 50% exacto ($119.998.766), cámbielo aquí.</t>
        </r>
      </text>
    </comment>
    <comment ref="D10" authorId="0" shapeId="0" xr:uid="{00000000-0006-0000-0000-000002000000}">
      <text>
        <r>
          <rPr>
            <sz val="10"/>
            <rFont val="Arial"/>
            <family val="2"/>
          </rPr>
          <t>Fecha de arranque indicada por el contratista (30-sep-2026). Todas las fechas semanales se calculan desde aquí.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K117" authorId="0" shapeId="0" xr:uid="{00000000-0006-0000-0200-000001000000}">
      <text>
        <r>
          <rPr>
            <sz val="10"/>
            <rFont val="Arial"/>
            <family val="2"/>
          </rPr>
          <t>Pago contra entrega al proveedor del sistema de tratamiento compacto (semana 6). Es el valor que cierra exactamente la inversión del anticipo; el saldo del suministro se paga al recibo a satisfacción con recursos del primer acta parcial.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Z105" authorId="0" shapeId="0" xr:uid="{00000000-0006-0000-0300-000001000000}">
      <text>
        <r>
          <rPr>
            <sz val="10"/>
            <rFont val="Arial"/>
            <family val="2"/>
          </rPr>
          <t>Calculado: pago contra entrega que cierra el anticipo (ver hoja DETALLE).</t>
        </r>
      </text>
    </comment>
    <comment ref="AC105" authorId="0" shapeId="0" xr:uid="{00000000-0006-0000-0300-000002000000}">
      <text>
        <r>
          <rPr>
            <sz val="10"/>
            <rFont val="Arial"/>
            <family val="2"/>
          </rPr>
          <t>Saldo al recibo a satisfacción del sistema (calculado).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J81" authorId="0" shapeId="0" xr:uid="{00000000-0006-0000-0500-000001000000}">
      <text>
        <r>
          <rPr>
            <sz val="10"/>
            <rFont val="Arial"/>
            <family val="2"/>
          </rPr>
          <t>Ítem sin APU detallado en la oferta: se asume 85% materiales, 14% mano de obra y 1% equipo (suministro e instalación de dosificador).</t>
        </r>
      </text>
    </comment>
  </commentList>
</comments>
</file>

<file path=xl/sharedStrings.xml><?xml version="1.0" encoding="utf-8"?>
<sst xmlns="http://schemas.openxmlformats.org/spreadsheetml/2006/main" count="1433" uniqueCount="414">
  <si>
    <t>PLAN DE INVERSIÓN DEL ANTICIPO</t>
  </si>
  <si>
    <t>OPTIMIZACIÓN, MEJORAMIENTO Y FORTALECIMIENTO DE LOS SIETE (7) SISTEMAS DE ABASTECIMIENTO DE AGUA (ACUEDUCTOS) RURALES DEL MUNICIPIO DE CAICEDONIA</t>
  </si>
  <si>
    <t>Contrato de Obra No. 233 del 25 de septiembre de 2026  ·  Proceso SAMC 247-2026  ·  Contratante: Municipio de Caicedonia (Valle)  ·  Contratista: Diego Fernando Parra Hurtado</t>
  </si>
  <si>
    <t>DATOS DEL CONTRATO</t>
  </si>
  <si>
    <t>ANTICIPO INVERTIDO</t>
  </si>
  <si>
    <t>% DEL ANTICIPO EJECUTADO</t>
  </si>
  <si>
    <t>Valor del contrato (incluido IVA)</t>
  </si>
  <si>
    <t>Anticipo pactado (cláusula SEXTA)</t>
  </si>
  <si>
    <t>% del anticipo sobre el valor</t>
  </si>
  <si>
    <t>Costo directo de obra</t>
  </si>
  <si>
    <t>COSTO DIRECTO FINANCIADO</t>
  </si>
  <si>
    <t>FRENTES · ÍTEMS · SEMANAS</t>
  </si>
  <si>
    <t>Fecha de inicio de la inversión</t>
  </si>
  <si>
    <t>Fin de la ventana de inversión (6 semanas)</t>
  </si>
  <si>
    <t>Plazo de ejecución del contrato</t>
  </si>
  <si>
    <t>Celdas en azul con fondo amarillo = datos editables.</t>
  </si>
  <si>
    <t>INVERSIÓN DEL ANTICIPO POR FRENTE</t>
  </si>
  <si>
    <t>Frente / sistema</t>
  </si>
  <si>
    <t>Costo directo del frente</t>
  </si>
  <si>
    <t>Inversión con anticipo</t>
  </si>
  <si>
    <t>% del frente financiado</t>
  </si>
  <si>
    <t>% del anticipo</t>
  </si>
  <si>
    <t>ACUEDUCTO AURES</t>
  </si>
  <si>
    <t>ACUEDUCTO LA PAVA</t>
  </si>
  <si>
    <t>ACUEDUCTO SAN GERARDO ALTO</t>
  </si>
  <si>
    <t>ACUEDUCTO LIMONES</t>
  </si>
  <si>
    <t>ACUEDUCTO SAMARIA</t>
  </si>
  <si>
    <t>ACUEDUCTO LAS DELICIAS</t>
  </si>
  <si>
    <t>ACUEDUCTO MONTEGRANDE – SECTOR CARARE</t>
  </si>
  <si>
    <t>TOTAL</t>
  </si>
  <si>
    <t>INVERSIÓN DEL ANTICIPO POR COMPONENTE</t>
  </si>
  <si>
    <t>Componente</t>
  </si>
  <si>
    <t>Valor</t>
  </si>
  <si>
    <t>MATERIALES (compra y suministro)</t>
  </si>
  <si>
    <t>MANO DE OBRA (cuadrillas)</t>
  </si>
  <si>
    <t>EQUIPO Y HERRAMIENTA</t>
  </si>
  <si>
    <t>TRANSPORTE, ACARREOS Y BODEGAJE</t>
  </si>
  <si>
    <t>FLUJO SEMANAL DE INVERSIÓN DEL ANTICIPO</t>
  </si>
  <si>
    <t>Concepto</t>
  </si>
  <si>
    <t>SEMANA 1</t>
  </si>
  <si>
    <t>SEMANA 2</t>
  </si>
  <si>
    <t>SEMANA 3</t>
  </si>
  <si>
    <t>SEMANA 4</t>
  </si>
  <si>
    <t>SEMANA 5</t>
  </si>
  <si>
    <t>SEMANA 6</t>
  </si>
  <si>
    <t>Fecha de inicio de semana</t>
  </si>
  <si>
    <t>Inversión de la semana</t>
  </si>
  <si>
    <t>Inversión acumulada</t>
  </si>
  <si>
    <t>% acumulado</t>
  </si>
  <si>
    <t>COMPOSICIÓN Y DISTRIBUCIÓN DEL ANTICIPO</t>
  </si>
  <si>
    <t>CONTRATISTA</t>
  </si>
  <si>
    <t>Vo. Bo. SUPERVISOR DEL CONTRATO</t>
  </si>
  <si>
    <t>DIEGO FERNANDO PARRA HURTADO</t>
  </si>
  <si>
    <t>Secretaría de Obras Públicas</t>
  </si>
  <si>
    <t>C.C. 73.147.123 – NIT 73147123-5</t>
  </si>
  <si>
    <t>Municipio de Caicedonia</t>
  </si>
  <si>
    <t>PLAN DE INVERSIÓN DEL ANTICIPO – PROGRAMACIÓN SEMANAL</t>
  </si>
  <si>
    <t>Contrato de Obra No. 233 de 2026  |  Anticipo del 50%  |  Ventana de inversión: 6 semanas desde la fecha de inicio</t>
  </si>
  <si>
    <t>1.  INVERSIÓN POR FRENTE DE OBRA (ACUEDUCTO) Y SEMANA</t>
  </si>
  <si>
    <t>FRENTE / SISTEMA</t>
  </si>
  <si>
    <t>% ANTICIPO</t>
  </si>
  <si>
    <t>TOTAL INVERSIÓN SEMANAL</t>
  </si>
  <si>
    <t>% del anticipo en la semana</t>
  </si>
  <si>
    <t>% acumulado del anticipo</t>
  </si>
  <si>
    <t>2.  INVERSIÓN POR COMPONENTE DE COSTO Y SEMANA</t>
  </si>
  <si>
    <t>COMPONENTE</t>
  </si>
  <si>
    <t>TOTAL POR SEMANA</t>
  </si>
  <si>
    <t>Control: diferencia entre tabla 1 y tabla 2 (debe ser $0)</t>
  </si>
  <si>
    <t>3.  QUÉ SE HACE CADA SEMANA (LÓGICA CONSTRUCTIVA DE LA INVERSIÓN)</t>
  </si>
  <si>
    <t>SEMANA</t>
  </si>
  <si>
    <t>FECHAS</t>
  </si>
  <si>
    <t>ACTIVIDADES DE OBRA POR FRENTE</t>
  </si>
  <si>
    <t>COMPRAS / PAGOS CON EL ANTICIPO</t>
  </si>
  <si>
    <t>• Acta de inicio, acta de vecindad y registro fotográfico del estado inicial de los 7 sistemas (obligación 21).
• Movilización de cuadrillas; instalación de bodegas en Aures y Limones.
• AURES y LIMONES: localización y replanteo; inicio de excavación manual en conglomerado.</t>
  </si>
  <si>
    <t>• Tubería PVC 2" RDE 21 (Aures), arena gruesa, madera y formaleta.
• Acarreos en campero y desde/hacia la obra.
• Cronograma de obra al supervisor (obligación 7).</t>
  </si>
  <si>
    <t>• AURES: colchón de arena e instalación de tubería 2".
• LIMONES: excavación y desviación de cauce.
• LA PAVA: bodega, localización y replanteo, excavación.</t>
  </si>
  <si>
    <t>• Orden de compra del sistema de tratamiento compacto de CARARE (50% al proveedor, fabricación).
• Cemento, agregados y acero de refuerzo para desarenadores y cerramientos.
• Válvulas ventosa y de cierre (Aures).</t>
  </si>
  <si>
    <t>• AURES: válvulas y cajas de inspección.
• LIMONES: rejilla, losa de piso del desarenador y figurado de acero.
• LA PAVA: desviación de cauce, rejilla y adecuación del desarenador.
• SAN GERARDO ALTO: localización y excavación.</t>
  </si>
  <si>
    <t>• Materiales de concreto y ladrillo para La Pava y San Gerardo Alto.
• Transporte con tracción animal a sitios de difícil acceso.</t>
  </si>
  <si>
    <t>• AURES: terminación de cajas de inspección → frente terminado.
• LIMONES: muros en concreto del desarenador.
• LA PAVA y SAN GERARDO ALTO: solados, vigas de cimentación y acero.
• LAS DELICIAS: bodega, localización y excavación.</t>
  </si>
  <si>
    <t>• Materiales de mampostería (ladrillo, columnas, cintas).
• Materiales para bocatoma de Las Delicias.</t>
  </si>
  <si>
    <t>• LIMONES: terminación de muros del desarenador.
• LA PAVA y SAN GERARDO ALTO: columnas de amarre y muros en ladrillo.
• LAS DELICIAS: adecuación de la bocatoma existente y excavación.</t>
  </si>
  <si>
    <t>• Tanques plásticos de 5.000 L y flotadores (San Gerardo Alto).
• Tubo galvanizado 1½" para cerramientos.
• Dosificador de cloro (Samaria).</t>
  </si>
  <si>
    <t>• LIMONES: losa de cubierta del desarenador.
• LA PAVA: cinta de confinamiento, postes y diagonales.
• SAN GERARDO ALTO: instalación de tanques y conexiones.
• LAS DELICIAS: inicio de bocatoma tipo represa.
• SAMARIA: instalación del dosificador de cloro.</t>
  </si>
  <si>
    <t>• Tubería PVC 1½" (500 ml) y válvulas para Limones.
• Malla eslabonada y accesorios de cerramiento.
• Pago contra entrega del sistema de tratamiento de CARARE.</t>
  </si>
  <si>
    <t>PLAN DE INVERSIÓN DEL ANTICIPO – DETALLE POR FRENTE E ÍTEM</t>
  </si>
  <si>
    <t>Inversión semanal = materiales comprados en la semana + mano de obra, equipo y transporte de lo ejecutado en la semana (según "PROGRAMA DE OBRA").  Valores a costo directo.  La columna "% del ítem" indica qué parte del valor del ítem queda financiada con el anticipo.</t>
  </si>
  <si>
    <t>Ítem</t>
  </si>
  <si>
    <t>Descripción</t>
  </si>
  <si>
    <t>Und</t>
  </si>
  <si>
    <t>Cantidad</t>
  </si>
  <si>
    <t>Valor ítem (CD)</t>
  </si>
  <si>
    <t>TOTAL ANTICIPO</t>
  </si>
  <si>
    <t>% del ítem</t>
  </si>
  <si>
    <t>Materiales</t>
  </si>
  <si>
    <t>Mano de obra</t>
  </si>
  <si>
    <t>Equipo</t>
  </si>
  <si>
    <t>Transporte</t>
  </si>
  <si>
    <t xml:space="preserve">   ACUEDUCTO AURES</t>
  </si>
  <si>
    <t>ITEM</t>
  </si>
  <si>
    <t>SUBTOTAL ACUEDUCTO AURES</t>
  </si>
  <si>
    <t>SUB</t>
  </si>
  <si>
    <t xml:space="preserve">   ACUEDUCTO LA PAVA</t>
  </si>
  <si>
    <t>SUBTOTAL ACUEDUCTO LA PAVA</t>
  </si>
  <si>
    <t xml:space="preserve">   ACUEDUCTO SAN GERARDO ALTO</t>
  </si>
  <si>
    <t>SUBTOTAL ACUEDUCTO SAN GERARDO ALTO</t>
  </si>
  <si>
    <t xml:space="preserve">   ACUEDUCTO LIMONES</t>
  </si>
  <si>
    <t>SUBTOTAL ACUEDUCTO LIMONES</t>
  </si>
  <si>
    <t xml:space="preserve">   ACUEDUCTO SAMARIA</t>
  </si>
  <si>
    <t>SUBTOTAL ACUEDUCTO SAMARIA</t>
  </si>
  <si>
    <t xml:space="preserve">   ACUEDUCTO LAS DELICIAS</t>
  </si>
  <si>
    <t>SUBTOTAL ACUEDUCTO LAS DELICIAS</t>
  </si>
  <si>
    <t xml:space="preserve">   ACUEDUCTO MONTEGRANDE – SECTOR CARARE</t>
  </si>
  <si>
    <t>SUBTOTAL ACUEDUCTO MONTEGRANDE – SECTOR CARARE</t>
  </si>
  <si>
    <t>TOTAL PLAN DE INVERSIÓN DEL ANTICIPO</t>
  </si>
  <si>
    <t>% del anticipo invertido por semana</t>
  </si>
  <si>
    <t>Control: anticipo pactado – total invertido (debe ser $0)</t>
  </si>
  <si>
    <t>← control componentes</t>
  </si>
  <si>
    <t>PROGRAMA DE OBRA POR FRENTES – LÓGICA CONSTRUCTIVA Y PROGRAMA DE COMPRAS</t>
  </si>
  <si>
    <t>Izquierda: % de ejecución física semanal de cada ítem (mano de obra, equipo y transporte se causan a medida que se ejecutan).  Derecha: % de compra de materiales por semana (se compran una semana antes de iniciar la actividad).  Celdas azules = programación editable; cada fila debe sumar 100%.  Columnas en ámbar = ventana de inversión del anticipo (6 semanas).</t>
  </si>
  <si>
    <t>AVANCE FÍSICO PROGRAMADO (% de ejecución por semana)</t>
  </si>
  <si>
    <t>PROGRAMA DE COMPRA DE MATERIALES (% por semana)</t>
  </si>
  <si>
    <t>Nº</t>
  </si>
  <si>
    <t>Frente</t>
  </si>
  <si>
    <t>Valor CD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</si>
  <si>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</si>
  <si>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</si>
  <si>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</si>
  <si>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</si>
  <si>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</si>
  <si>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</si>
  <si>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</si>
  <si>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</si>
  <si>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</si>
  <si>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</si>
  <si>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</si>
  <si>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</si>
  <si>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</si>
  <si>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Σ</t>
  </si>
  <si>
    <t>Mat $</t>
  </si>
  <si>
    <t>MO $</t>
  </si>
  <si>
    <t>Eq $</t>
  </si>
  <si>
    <t>Tr $</t>
  </si>
  <si>
    <t>AURES</t>
  </si>
  <si>
    <t>LA PAVA</t>
  </si>
  <si>
    <t>SAN GERARDO ALTO</t>
  </si>
  <si>
    <t>LIMONES</t>
  </si>
  <si>
    <t>SAMARIA</t>
  </si>
  <si>
    <t>LAS DELICIAS</t>
  </si>
  <si>
    <t>CARARE</t>
  </si>
  <si>
    <t>Materiales (según compras)</t>
  </si>
  <si>
    <t>Equipo y herramienta</t>
  </si>
  <si>
    <t>Transporte, acarreos y bodegaje</t>
  </si>
  <si>
    <t>COSTO DIRECTO PROGRAMADO POR SEMANA</t>
  </si>
  <si>
    <t>Costo directo acumulado</t>
  </si>
  <si>
    <t>% acumulado del costo directo</t>
  </si>
  <si>
    <t>CUADRO DE NECESIDADES Y PROGRAMA DE COMPRA DE MATERIALES</t>
  </si>
  <si>
    <t>Cantidades de referencia obtenidas de los APU de la oferta × cantidades del presupuesto (incluye desperdicios de los APU; mezclas y morteros desagregados en cemento, arena, grava y agua).  La semana de compra es la primera semana en que el material se necesita según el PROGRAMA DE OBRA.  Valores a precios de los APU (referenciales).</t>
  </si>
  <si>
    <t>Semana de compra</t>
  </si>
  <si>
    <t>Fecha</t>
  </si>
  <si>
    <t>Material / insumo</t>
  </si>
  <si>
    <t>Cantidad total</t>
  </si>
  <si>
    <t>Precio unitario APU</t>
  </si>
  <si>
    <t>Valor de referencia</t>
  </si>
  <si>
    <t>Frentes que lo usan</t>
  </si>
  <si>
    <t>¿Con anticipo?</t>
  </si>
  <si>
    <t>Tubo prs 2 rde-21</t>
  </si>
  <si>
    <t>ML</t>
  </si>
  <si>
    <t>Aures, Las Delicias, San Gerardo Alto</t>
  </si>
  <si>
    <t>Arena gruesa</t>
  </si>
  <si>
    <t>M3</t>
  </si>
  <si>
    <t>Aures, La Pava, Las Delicias, Limones, San Gerardo Alto</t>
  </si>
  <si>
    <t>Liston 2 x2x300 otobo</t>
  </si>
  <si>
    <t>UND</t>
  </si>
  <si>
    <t>Soldadura cpvc ,1/ 4 gln</t>
  </si>
  <si>
    <t>Aures, Las Delicias, Limones, San Gerardo Alto</t>
  </si>
  <si>
    <t>Limpiador pvc 760-g 1/4 gl</t>
  </si>
  <si>
    <t>Puntilla 2 cc</t>
  </si>
  <si>
    <t>LBS</t>
  </si>
  <si>
    <t>Piola gruesa 50 metros</t>
  </si>
  <si>
    <t>ROL</t>
  </si>
  <si>
    <t>Filtros plasticos</t>
  </si>
  <si>
    <t>Carare</t>
  </si>
  <si>
    <t>Cemento gris</t>
  </si>
  <si>
    <t>KLS</t>
  </si>
  <si>
    <t>Hierro de 60000 psi 420 mpa</t>
  </si>
  <si>
    <t>La Pava, Limones, San Gerardo Alto</t>
  </si>
  <si>
    <t>Bomba sumergible 4hp a 110</t>
  </si>
  <si>
    <t>Tanque plastico 1,000 lts</t>
  </si>
  <si>
    <t>Grava triturada .3/4</t>
  </si>
  <si>
    <t>Valvula c.rapido 2"</t>
  </si>
  <si>
    <t>Tabla 1x10x300 otobo</t>
  </si>
  <si>
    <t>Valvula ventosa 2" doble</t>
  </si>
  <si>
    <t>Aures</t>
  </si>
  <si>
    <t>Bomba centrifuga para filtros</t>
  </si>
  <si>
    <t>Modulo sedimentacion</t>
  </si>
  <si>
    <t>Accesorios pvc</t>
  </si>
  <si>
    <t>GLB</t>
  </si>
  <si>
    <t>Cuarton</t>
  </si>
  <si>
    <t>Las Delicias, Limones</t>
  </si>
  <si>
    <t>Reg.hie.d=1/2e=1/2 .6x.4mt</t>
  </si>
  <si>
    <t>La Pava, Limones</t>
  </si>
  <si>
    <t>Resina y fibra de vidrio</t>
  </si>
  <si>
    <t>Segueta sin marco</t>
  </si>
  <si>
    <t>Alambre negro # 18</t>
  </si>
  <si>
    <t>Concreto 3.000 psi</t>
  </si>
  <si>
    <t>La Pava</t>
  </si>
  <si>
    <t>Agua</t>
  </si>
  <si>
    <t>LTS</t>
  </si>
  <si>
    <t>Union rep 2 uz</t>
  </si>
  <si>
    <t>Aures, Las Delicias</t>
  </si>
  <si>
    <t>Hierro .3/8" 37.000 [ch]</t>
  </si>
  <si>
    <t>Arena mediana</t>
  </si>
  <si>
    <t>Aures, Limones</t>
  </si>
  <si>
    <t>Cuarton 2"x4"x3m  unidad</t>
  </si>
  <si>
    <t>Gasolina corriente</t>
  </si>
  <si>
    <t>GLN</t>
  </si>
  <si>
    <t>Cinta teflon 10 mts</t>
  </si>
  <si>
    <t>Aceite motor 4 tiempos</t>
  </si>
  <si>
    <t>Roca muerta</t>
  </si>
  <si>
    <t>Tuberia 2" pvc x 6 mts</t>
  </si>
  <si>
    <t>Grava</t>
  </si>
  <si>
    <t>Limones, San Gerardo Alto</t>
  </si>
  <si>
    <t>Tabla 1x10x300 otobo [2c]</t>
  </si>
  <si>
    <t>La Pava, San Gerardo Alto</t>
  </si>
  <si>
    <t>Vareta 2"x2"x3m</t>
  </si>
  <si>
    <t>Lad.prens.limpio 6.5x12x24</t>
  </si>
  <si>
    <t>Rejilla hierro d-1/2" e=1/2" 0.6x0.40 mts</t>
  </si>
  <si>
    <t>Las Delicias</t>
  </si>
  <si>
    <t>Arena fina</t>
  </si>
  <si>
    <t>Tanque plastico 5,000 lts</t>
  </si>
  <si>
    <t>Dosificador de cloro (suministro)</t>
  </si>
  <si>
    <t>Samaria</t>
  </si>
  <si>
    <t>Tubo galv. 1,1/2" 3.0</t>
  </si>
  <si>
    <t>Esmalte pintura de alumini</t>
  </si>
  <si>
    <t>Flotador valvula 1" bronce</t>
  </si>
  <si>
    <t>Anticorrosivo wash-primer</t>
  </si>
  <si>
    <t>Disolvente</t>
  </si>
  <si>
    <t>Valvula de cierre 2"</t>
  </si>
  <si>
    <t>Gorro aluminio 1,1/2"</t>
  </si>
  <si>
    <t>Tee pvc 2"</t>
  </si>
  <si>
    <t>Las Delicias, San Gerardo Alto</t>
  </si>
  <si>
    <t>Tuberia pvc 2" conexiones</t>
  </si>
  <si>
    <t>Union roscada 2" macho</t>
  </si>
  <si>
    <t>Soldadura 7018 x 1/8"</t>
  </si>
  <si>
    <t>Reduccion 2" a 1"</t>
  </si>
  <si>
    <t>Union 2" pvc</t>
  </si>
  <si>
    <t>San Gerardo Alto</t>
  </si>
  <si>
    <t>Codos pvc 2"</t>
  </si>
  <si>
    <t>Tuberia lavado y tapon</t>
  </si>
  <si>
    <t>Niple 2" union lisa</t>
  </si>
  <si>
    <t>Teflon</t>
  </si>
  <si>
    <t>Tubo prs 1.1/2 rde-21</t>
  </si>
  <si>
    <t>Limones</t>
  </si>
  <si>
    <t>Malla eslabonada 2" #1</t>
  </si>
  <si>
    <t>M2</t>
  </si>
  <si>
    <t>Tapa plastica sobre poner</t>
  </si>
  <si>
    <t>Valvula c.rapido 11/2"</t>
  </si>
  <si>
    <t>Wash-primer a pintura</t>
  </si>
  <si>
    <t>Candado de seguridad</t>
  </si>
  <si>
    <t>Wash-primer b-catalizador</t>
  </si>
  <si>
    <t>Pasador de seguridad 1"</t>
  </si>
  <si>
    <t>Tee pvc 11/2"</t>
  </si>
  <si>
    <t>Soldadura 6011 x 1/8"</t>
  </si>
  <si>
    <t>Lija 400 agua</t>
  </si>
  <si>
    <t>PLI</t>
  </si>
  <si>
    <t>Codos pvc 11/2"</t>
  </si>
  <si>
    <t>Union 11/2" pvc</t>
  </si>
  <si>
    <t>Bisagra</t>
  </si>
  <si>
    <t>Tubo prs 11/2" rde-21</t>
  </si>
  <si>
    <t>Esmalte sintetico mate</t>
  </si>
  <si>
    <t>GLS</t>
  </si>
  <si>
    <t>Union de reparacion 2" pvc</t>
  </si>
  <si>
    <t>Alambre de puas #12.5</t>
  </si>
  <si>
    <t>Anticorrosivo rojo</t>
  </si>
  <si>
    <t>Cepillo acero-madera</t>
  </si>
  <si>
    <t>Escoba cerda plastica</t>
  </si>
  <si>
    <t>Concreto 3,000 psi</t>
  </si>
  <si>
    <t>Tuberia pvc 2" huecos pantalla deflectora</t>
  </si>
  <si>
    <t>Valor de referencia total de materiales (APU)</t>
  </si>
  <si>
    <t>Nota: "Posterior" = el material entra en obra después de la semana 6 y se compra con recursos de las actas parciales. Los tanques de 5.000 L se compran primero para San Gerardo Alto (S5) y luego para Limones. El sistema de tratamiento de Carare (filtros, bombas, módulo de sedimentación, tanques de 1.000 L) se contrata en S2.</t>
  </si>
  <si>
    <t>BASE DEL PRESUPUESTO CONTRACTUAL Y DESCOMPOSICIÓN POR COMPONENTE (APU)</t>
  </si>
  <si>
    <t>Fuente: Anexo 4 – Oferta económica corregida (PRESUPUESTO PROPUESTA ACUEDUCTOS 2026 ALCALDIA - CORREGIDO.xlsx, hoja "PRESUPUESTO ENTREGA LIC") y hoja "APU" del mismo archivo.  Valores en pesos colombianos, costo directo (sin AIU).</t>
  </si>
  <si>
    <t>Frente / Sistema</t>
  </si>
  <si>
    <t>Vr. unitario</t>
  </si>
  <si>
    <t>Vr. parcial (CD)</t>
  </si>
  <si>
    <t>Tipo</t>
  </si>
  <si>
    <t>% Materiales</t>
  </si>
  <si>
    <t>% Mano de obra</t>
  </si>
  <si>
    <t>% Equipo</t>
  </si>
  <si>
    <t>% Transp./bodegaje</t>
  </si>
  <si>
    <t>Control 100%</t>
  </si>
  <si>
    <t>Materiales $</t>
  </si>
  <si>
    <t>Mano de obra $</t>
  </si>
  <si>
    <t>Equipo $</t>
  </si>
  <si>
    <t>Transp./bodegaje $</t>
  </si>
  <si>
    <t>APU de referencia</t>
  </si>
  <si>
    <t>1.1</t>
  </si>
  <si>
    <t>LOCALIZACION-REPLANTEO ACUEDUCTO-ALCANTARILLADO</t>
  </si>
  <si>
    <t>Obra</t>
  </si>
  <si>
    <t>LOCALIZACION-REPLANTEO ACUEDUCTO-ALCANTA</t>
  </si>
  <si>
    <t>1.2</t>
  </si>
  <si>
    <t>BODEGAJE</t>
  </si>
  <si>
    <t>MES</t>
  </si>
  <si>
    <t>Transporte / bodegaje</t>
  </si>
  <si>
    <t>1.3</t>
  </si>
  <si>
    <t>EXCAVACION EN CONGLOMERADO (MANUAL)</t>
  </si>
  <si>
    <t>EXCAVACION TIERRA CONGLOMERADO</t>
  </si>
  <si>
    <t>2.1</t>
  </si>
  <si>
    <t>VALVULA VENTOSA 2" DOBLE EFECTO"</t>
  </si>
  <si>
    <t>2.2</t>
  </si>
  <si>
    <t>VALVULA CIERRE RAPIDO 2"</t>
  </si>
  <si>
    <t>2.3</t>
  </si>
  <si>
    <t>COLCHON ARENA GRUESA E=5-7CM</t>
  </si>
  <si>
    <t>2.4</t>
  </si>
  <si>
    <t>TUBERIA PVC RED 21 DIAMETRO 2"</t>
  </si>
  <si>
    <t>TUBERIA PVC 2" RDE 21</t>
  </si>
  <si>
    <t>2.5</t>
  </si>
  <si>
    <t>CAJA INSPECCION 80x 80 CM [CONCRETO]</t>
  </si>
  <si>
    <t>2.6</t>
  </si>
  <si>
    <t>ACARREO MATERIALES TRACCION ANIMAL</t>
  </si>
  <si>
    <t>C-KM</t>
  </si>
  <si>
    <t>2.7</t>
  </si>
  <si>
    <t>ACARREO MATERIALES DESDE O HACIA LA OBRA&lt;- 10 KM.</t>
  </si>
  <si>
    <t>2.8</t>
  </si>
  <si>
    <t>ACARREO MATERIALES CAMPERO-CAMIONETA</t>
  </si>
  <si>
    <t>M3-KM</t>
  </si>
  <si>
    <t>LOCALIZACION-REPLANTEO CERRAMIENTO-VARIO</t>
  </si>
  <si>
    <t>M</t>
  </si>
  <si>
    <t>SOLADO ESPESOR E=0.05M 3000 PSI 210 MPA</t>
  </si>
  <si>
    <t>VIGA CIMIENTO ENLACE H-20-40CM 3100 PSI</t>
  </si>
  <si>
    <t>VIGA CIMIENTO ENLACE H=20-40CM 3100PSI</t>
  </si>
  <si>
    <t>COLUMNA AMARRE MURO</t>
  </si>
  <si>
    <t>MURO LADRILLO SOGA LIMPIO 2C</t>
  </si>
  <si>
    <t>MURO LAD.SOGA LIMPIO 2C</t>
  </si>
  <si>
    <t>CINTA CONFINAMIENTO MURO</t>
  </si>
  <si>
    <t>ACERO REFUERZO FLEJADO 60000 PSI 420 Mpa</t>
  </si>
  <si>
    <t>ACERO REFUERZO FLEJADO 60000 PSI 420Mpa</t>
  </si>
  <si>
    <t>POSTE TUBO GALV. 1 1/2"X3.0MM C.11</t>
  </si>
  <si>
    <t>POSTE TUBO GALV. 1,1/2"x3.0MM C.11 ACU"</t>
  </si>
  <si>
    <t>ESMALTE SOBRE TUBERIA METALICA-PVC</t>
  </si>
  <si>
    <t>2.9</t>
  </si>
  <si>
    <t>MALLA ESLABONADA GALV# 10 ROMBO 2"</t>
  </si>
  <si>
    <t>MALLA ESLABONADA GALV # 10 ROMBO 2"</t>
  </si>
  <si>
    <t>2.10</t>
  </si>
  <si>
    <t>ESMALTE MALLA ESLABONADA 2,1/2"-2"</t>
  </si>
  <si>
    <t>2.11</t>
  </si>
  <si>
    <t>DIAGONAL-HORIZ.TUBO GALV ACUEDUCTO 1 1/2"</t>
  </si>
  <si>
    <t>DIAGONAL-HORIZ.TUBO GALV ACUEDUCTO 1 1/2</t>
  </si>
  <si>
    <t>2.12</t>
  </si>
  <si>
    <t>WASH - PRIMER</t>
  </si>
  <si>
    <t>2.13</t>
  </si>
  <si>
    <t>ALAMBRE DE PUAS # 12.5 - 3 HILOS</t>
  </si>
  <si>
    <t>2.14</t>
  </si>
  <si>
    <t>PUERTA EN TUBERIA GALVANIZADA 11/2" Y MALLA ESLABONADA (0,8x2,0)</t>
  </si>
  <si>
    <t>PUERTA EN TUBERIA GALVANIZADA 11/2" Y MALLA ESLABONADA</t>
  </si>
  <si>
    <t>2.15</t>
  </si>
  <si>
    <t>ACARREO MATERIALES-ESCOMBROS 10 PERS</t>
  </si>
  <si>
    <t>HC</t>
  </si>
  <si>
    <t>2.16</t>
  </si>
  <si>
    <t>2.17</t>
  </si>
  <si>
    <t>DESVIACION CAUCE ANCHOS ENTRE 0 Y 1 ML</t>
  </si>
  <si>
    <t>2.18</t>
  </si>
  <si>
    <t>REJILLA HIERRO D=1/2" E=1/2" 0.8x0.40MTS</t>
  </si>
  <si>
    <t>2.19</t>
  </si>
  <si>
    <t>ADECUACION DESARENADOR, CONSTRUCCION PANTALLA DEFLECTORA, CANAL RECOLECTOR SALIDA</t>
  </si>
  <si>
    <t>NIVELACION PISO Y GRAVA E=0,10 MTS</t>
  </si>
  <si>
    <t>NIVELACION PISO E INSTALACION GRAVA E=0,10 MTS</t>
  </si>
  <si>
    <t>TANQUE PLASTICO 5.000 LTS</t>
  </si>
  <si>
    <t>TANQUE PLASTICO DE 5,000 LTS</t>
  </si>
  <si>
    <t>FLOTADOR DE 1" PARA TANQUE 5,000 LTS, INCLUYE ACCESORIOS INSTALACION</t>
  </si>
  <si>
    <t>FLOTADORES METALICOS 11/2"</t>
  </si>
  <si>
    <t>CONEXIÓNES EN 2" TANQUE PLASTICOS CON LA RED DE DISTRIBUCION, BY - PASS, LAVADO Y REBOSE</t>
  </si>
  <si>
    <t>CONEXIÓN EN 2" TANQUE PLASTICO DE ALMACENAMIENTO CON LA RED DE DISTRIBUCION, BY - PASS Y REBOSE TANQUE EXISTENTE</t>
  </si>
  <si>
    <t>NAVE PUERTA TUBO ACUE MALLA(2x0.60-1.0)</t>
  </si>
  <si>
    <t>2.20</t>
  </si>
  <si>
    <t>2.21</t>
  </si>
  <si>
    <t>REJILLA HIERRO D-1/2" E=1/2" 0.8x0.40 MTS</t>
  </si>
  <si>
    <t>LOSA DE PISO EN CONCRETO REFORZADO 3,000 PSI - DESARENADOR</t>
  </si>
  <si>
    <t>LOSA DE PISO EN CONCRETO REFORZADO 3,000 PSI</t>
  </si>
  <si>
    <t>MUROS EN CONCRETO REFORZADO DE 3,000 PSI - DESARENADOR</t>
  </si>
  <si>
    <t>MUROS EN CONCRETO REFORZADO 3,000 PSI</t>
  </si>
  <si>
    <t>LOSA DE CUBIERTA EN CONCRETO REFORZADO DE 3,000 PSI - DESARENADOR</t>
  </si>
  <si>
    <t>LOSA DE CUBIERTA EN CONCRETO REFORZADO 3,000 PSI</t>
  </si>
  <si>
    <t>TAPAS PLASTICA</t>
  </si>
  <si>
    <t>TAPA PLASTICAS 0,8 X0,8</t>
  </si>
  <si>
    <t>KG</t>
  </si>
  <si>
    <t>VALVULAS DE CIERRE, LAVADO Y BY-PASS EN 1/2"</t>
  </si>
  <si>
    <t>CONEXIÓN EN 11/2" TANQUE PLASTICO CON LA RED DE DISTRIBUCION, BY - PASS Y REBOSE TANQUE EXISTENTE</t>
  </si>
  <si>
    <t>TUBERIA PVC 1,1/2"</t>
  </si>
  <si>
    <t>CONEXIÓN TANQUE PLASTICOS CON LA RED DE DISTRIBUCION, BY - PASS, LAVADO Y REBOSE</t>
  </si>
  <si>
    <t>SUMINISTRO E INSTALACION DOSIFICADOR DE CLORO</t>
  </si>
  <si>
    <t>(Sin APU: se asume 85/14/1)</t>
  </si>
  <si>
    <t>ADECUACION  BOCATOMA EXISTENTE, INSTALACION DE REJILLA 40 X70</t>
  </si>
  <si>
    <t>ADECUACION BOCATOMA EXISTENTE, CONSTRUCCION CANAL RECOLECTOR E INSTALACION REJILLA</t>
  </si>
  <si>
    <t>CONSTRUCCION BOCATOMA TIPO REPRESA CON REJILLA DE 40 X 80</t>
  </si>
  <si>
    <t>CONCRETO BOCATOMA REPRESA CON REJILLA SEGÚN DISEÑO</t>
  </si>
  <si>
    <t>CONEXIÓN CON TUBERIA PVC RDE 21 DE 2" ENTRE BOCATOMA Y DESARENADOR</t>
  </si>
  <si>
    <t>ACCESORIOS Y VALVULAS DE 2" PARA CONEXIÓN BOCATOMA - DESARENADOR</t>
  </si>
  <si>
    <t>CAMBIO DE VALVULAS DE 2" SISTEMA CLORACION</t>
  </si>
  <si>
    <t>ACCESORIOS A CAMBIAR EN PLANTA DE TRATAMIENTO, UNIONES, TEE, CODOS</t>
  </si>
  <si>
    <t>REVISION FUNCIONAMIENTO Y ADECUACION PANTALLA DEFLECTORA Y CANAL REBOSE DE ENTREGA A LA RED</t>
  </si>
  <si>
    <t>GBL</t>
  </si>
  <si>
    <t>SISTEMA DE TRATAMIENTO DE AGUA POTABLE CON FLOCULACION, SEDIMENTACION, FILTROS, BOMBA CENTRIFUGA, TANQUE TRANSFERENCIA Y BOMBA SUMERGIBLE 4HP - 110</t>
  </si>
  <si>
    <t>SISTEMA TRATAMIENTO AGUA</t>
  </si>
  <si>
    <t>TOTAL COSTO DIRECTO</t>
  </si>
  <si>
    <t>COSTO DIRECTO</t>
  </si>
  <si>
    <t>ADMINISTRACIÓN (A)</t>
  </si>
  <si>
    <t>UTILIDAD (U)</t>
  </si>
  <si>
    <t>IMPREVISTOS (I)</t>
  </si>
  <si>
    <t>VALOR TOTAL DEL CONTRATO</t>
  </si>
  <si>
    <t>Valor según Contrato No. 233</t>
  </si>
  <si>
    <t>Dato de la cláusula SEXTA del contrato</t>
  </si>
  <si>
    <t>Diferencia (debe ser cero)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</si>
</sst>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&quot;$ &quot;#,##0;[Red]&quot;-$ &quot;#,##0;\-"/>
    <numFmt numFmtId="165" formatCode="0.0%"/>
    <numFmt numFmtId="166" formatCode="0.000%"/>
    <numFmt numFmtId="167" formatCode="dd&quot; de &quot;mmmm&quot; de &quot;yyyy"/>
    <numFmt numFmtId="168" formatCode="dd\-mmm\-yy"/>
    <numFmt numFmtId="170" formatCode="dd\-mmm"/>
    <numFmt numFmtId="171" formatCode="&quot;del &quot;dd\-mmm"/>
    <numFmt numFmtId="172" formatCode="0%;\-0%;&quot;&quot;"/>
    <numFmt numFmtId="173" formatCode="#,##0.0,,\M;\-#,##0.0,,\M;\-"/>
    <numFmt numFmtId="174" formatCode="0.0%;\-0.0%;\-"/>
  </numFmts>
  <fonts count="45" x14ac:knownFonts="1">
    <font>
      <sz val="11"/>
      <color theme="1"/>
      <name val="Calibri"/>
      <family val="2"/>
      <charset val="1"/>
    </font>
    <font>
      <b/>
      <sz val="22"/>
      <color rgb="FFFFFFFF"/>
      <name val="Segoe UI"/>
      <charset val="1"/>
    </font>
    <font>
      <b/>
      <sz val="10.5"/>
      <color rgb="FFFFFFFF"/>
      <name val="Segoe UI"/>
      <charset val="1"/>
    </font>
    <font>
      <sz val="9"/>
      <color rgb="FF1F2A36"/>
      <name val="Segoe UI"/>
      <charset val="1"/>
    </font>
    <font>
      <b/>
      <sz val="11"/>
      <color rgb="FF0B3C5D"/>
      <name val="Segoe UI"/>
      <charset val="1"/>
    </font>
    <font>
      <b/>
      <sz val="8.5"/>
      <color rgb="FFFFFFFF"/>
      <name val="Segoe UI"/>
      <charset val="1"/>
    </font>
    <font>
      <sz val="9.5"/>
      <color rgb="FF1F2A36"/>
      <name val="Segoe UI"/>
      <charset val="1"/>
    </font>
    <font>
      <b/>
      <sz val="10"/>
      <color rgb="FF1F2A36"/>
      <name val="Segoe UI"/>
      <charset val="1"/>
    </font>
    <font>
      <b/>
      <sz val="18"/>
      <color rgb="FF0B3C5D"/>
      <name val="Segoe UI"/>
      <charset val="1"/>
    </font>
    <font>
      <b/>
      <sz val="18"/>
      <color rgb="FF1D7874"/>
      <name val="Segoe UI"/>
      <charset val="1"/>
    </font>
    <font>
      <b/>
      <sz val="10"/>
      <color rgb="FF0000FF"/>
      <name val="Segoe UI"/>
      <charset val="1"/>
    </font>
    <font>
      <b/>
      <sz val="18"/>
      <color rgb="FF2E86AB"/>
      <name val="Segoe UI"/>
      <charset val="1"/>
    </font>
    <font>
      <b/>
      <sz val="18"/>
      <color rgb="FFB9770E"/>
      <name val="Segoe UI"/>
      <charset val="1"/>
    </font>
    <font>
      <i/>
      <sz val="8"/>
      <color rgb="FF6B7B8C"/>
      <name val="Segoe UI"/>
      <charset val="1"/>
    </font>
    <font>
      <b/>
      <sz val="9.5"/>
      <color rgb="FFFFFFFF"/>
      <name val="Segoe UI"/>
      <charset val="1"/>
    </font>
    <font>
      <sz val="9.5"/>
      <color rgb="FF007A33"/>
      <name val="Segoe UI"/>
      <charset val="1"/>
    </font>
    <font>
      <b/>
      <sz val="9.5"/>
      <color rgb="FF007A33"/>
      <name val="Segoe UI"/>
      <charset val="1"/>
    </font>
    <font>
      <b/>
      <sz val="10"/>
      <color rgb="FFFFFFFF"/>
      <name val="Segoe UI"/>
      <charset val="1"/>
    </font>
    <font>
      <b/>
      <sz val="9.5"/>
      <color rgb="FF1F2A36"/>
      <name val="Segoe UI"/>
      <charset val="1"/>
    </font>
    <font>
      <b/>
      <sz val="8.5"/>
      <color rgb="FF6B7B8C"/>
      <name val="Segoe UI"/>
      <charset val="1"/>
    </font>
    <font>
      <sz val="8.5"/>
      <color rgb="FF6B7B8C"/>
      <name val="Segoe UI"/>
      <charset val="1"/>
    </font>
    <font>
      <sz val="10"/>
      <name val="Arial"/>
      <family val="2"/>
    </font>
    <font>
      <b/>
      <sz val="16"/>
      <color rgb="FFFFFFFF"/>
      <name val="Segoe UI"/>
      <charset val="1"/>
    </font>
    <font>
      <sz val="10"/>
      <color rgb="FFFFFFFF"/>
      <name val="Segoe UI"/>
      <charset val="1"/>
    </font>
    <font>
      <b/>
      <sz val="11.5"/>
      <color rgb="FF0B3C5D"/>
      <name val="Segoe UI"/>
      <charset val="1"/>
    </font>
    <font>
      <sz val="8"/>
      <color rgb="FF1F2A36"/>
      <name val="Segoe UI"/>
      <charset val="1"/>
    </font>
    <font>
      <i/>
      <sz val="8.5"/>
      <color rgb="FF6B7B8C"/>
      <name val="Segoe UI"/>
      <charset val="1"/>
    </font>
    <font>
      <b/>
      <sz val="9"/>
      <color rgb="FF1F2A36"/>
      <name val="Segoe UI"/>
      <charset val="1"/>
    </font>
    <font>
      <b/>
      <sz val="15"/>
      <color rgb="FFFFFFFF"/>
      <name val="Segoe UI"/>
      <charset val="1"/>
    </font>
    <font>
      <b/>
      <sz val="8"/>
      <color rgb="FF1F2A36"/>
      <name val="Segoe UI"/>
      <charset val="1"/>
    </font>
    <font>
      <sz val="9"/>
      <color rgb="FF007A33"/>
      <name val="Segoe UI"/>
      <charset val="1"/>
    </font>
    <font>
      <sz val="9"/>
      <color rgb="FF6B7B8C"/>
      <name val="Segoe UI"/>
      <charset val="1"/>
    </font>
    <font>
      <b/>
      <sz val="9"/>
      <color rgb="FF8E44AD"/>
      <name val="Segoe UI"/>
      <charset val="1"/>
    </font>
    <font>
      <b/>
      <sz val="11"/>
      <color rgb="FFFFFFFF"/>
      <name val="Segoe UI"/>
      <charset val="1"/>
    </font>
    <font>
      <b/>
      <sz val="8"/>
      <color rgb="FFFFFFFF"/>
      <name val="Segoe UI"/>
      <charset val="1"/>
    </font>
    <font>
      <sz val="8"/>
      <color rgb="FFFFFFFF"/>
      <name val="Segoe UI"/>
      <charset val="1"/>
    </font>
    <font>
      <sz val="8.5"/>
      <color rgb="FF007A33"/>
      <name val="Segoe UI"/>
      <charset val="1"/>
    </font>
    <font>
      <sz val="8"/>
      <color rgb="FF6B7B8C"/>
      <name val="Segoe UI"/>
      <charset val="1"/>
    </font>
    <font>
      <sz val="8"/>
      <color rgb="FF0000FF"/>
      <name val="Segoe UI"/>
      <charset val="1"/>
    </font>
    <font>
      <sz val="8"/>
      <color rgb="FF007A33"/>
      <name val="Segoe UI"/>
      <charset val="1"/>
    </font>
    <font>
      <sz val="8.5"/>
      <color rgb="FF1F2A36"/>
      <name val="Segoe UI"/>
      <charset val="1"/>
    </font>
    <font>
      <b/>
      <sz val="8.5"/>
      <color rgb="FF1F2A36"/>
      <name val="Segoe UI"/>
      <charset val="1"/>
    </font>
    <font>
      <sz val="9"/>
      <color rgb="FF0000FF"/>
      <name val="Segoe UI"/>
      <charset val="1"/>
    </font>
    <font>
      <sz val="10"/>
      <color rgb="FF1F2A36"/>
      <name val="Segoe UI"/>
      <charset val="1"/>
    </font>
    <font>
      <sz val="10"/>
      <color rgb="FF0000FF"/>
      <name val="Segoe UI"/>
      <charset val="1"/>
    </font>
  </fonts>
  <fills count="32">
    <fill>
      <patternFill patternType="none"/>
    </fill>
    <fill>
      <patternFill patternType="gray125"/>
    </fill>
    <fill>
      <patternFill patternType="solid">
        <fgColor rgb="FF0B3C5D"/>
        <bgColor rgb="FF1F2A36"/>
      </patternFill>
    </fill>
    <fill>
      <patternFill patternType="solid">
        <fgColor rgb="FF1D7874"/>
        <bgColor rgb="FF1E8449"/>
      </patternFill>
    </fill>
    <fill>
      <patternFill patternType="solid">
        <fgColor rgb="FFEAF4F8"/>
        <bgColor rgb="FFEEF2F5"/>
      </patternFill>
    </fill>
    <fill>
      <patternFill patternType="solid">
        <fgColor rgb="FFFFFFFF"/>
        <bgColor rgb="FFFFFBF3"/>
      </patternFill>
    </fill>
    <fill>
      <patternFill patternType="solid">
        <fgColor rgb="FFFFF6D5"/>
        <bgColor rgb="FFFDF1DC"/>
      </patternFill>
    </fill>
    <fill>
      <patternFill patternType="solid">
        <fgColor rgb="FF2E86AB"/>
        <bgColor rgb="FF4F81BD"/>
      </patternFill>
    </fill>
    <fill>
      <patternFill patternType="solid">
        <fgColor rgb="FFB9770E"/>
        <bgColor rgb="FFE67E22"/>
      </patternFill>
    </fill>
    <fill>
      <patternFill patternType="solid">
        <fgColor rgb="FFFFFBF3"/>
        <bgColor rgb="FFF9F9F9"/>
      </patternFill>
    </fill>
    <fill>
      <patternFill patternType="solid">
        <fgColor rgb="FF7B5EA7"/>
        <bgColor rgb="FF8E44AD"/>
      </patternFill>
    </fill>
    <fill>
      <patternFill patternType="solid">
        <fgColor rgb="FFC0392B"/>
        <bgColor rgb="FFB9770E"/>
      </patternFill>
    </fill>
    <fill>
      <patternFill patternType="solid">
        <fgColor rgb="FFE67E22"/>
        <bgColor rgb="FFB9770E"/>
      </patternFill>
    </fill>
    <fill>
      <patternFill patternType="solid">
        <fgColor rgb="FF27AE60"/>
        <bgColor rgb="FF1E8449"/>
      </patternFill>
    </fill>
    <fill>
      <patternFill patternType="solid">
        <fgColor rgb="FF34495E"/>
        <bgColor rgb="FF355C7D"/>
      </patternFill>
    </fill>
    <fill>
      <patternFill patternType="solid">
        <fgColor rgb="FFF2A541"/>
        <bgColor rgb="FFE67E22"/>
      </patternFill>
    </fill>
    <fill>
      <patternFill patternType="solid">
        <fgColor rgb="FFFBE3BD"/>
        <bgColor rgb="FFFDEBD0"/>
      </patternFill>
    </fill>
    <fill>
      <patternFill patternType="solid">
        <fgColor rgb="FFF7FAFC"/>
        <bgColor rgb="FFF6FAFC"/>
      </patternFill>
    </fill>
    <fill>
      <patternFill patternType="solid">
        <fgColor rgb="FFFDF1DC"/>
        <bgColor rgb="FFFFF6D5"/>
      </patternFill>
    </fill>
    <fill>
      <patternFill patternType="solid">
        <fgColor rgb="FFDCEEF7"/>
        <bgColor rgb="FFD6EDEA"/>
      </patternFill>
    </fill>
    <fill>
      <patternFill patternType="solid">
        <fgColor rgb="FFD6EDEA"/>
        <bgColor rgb="FFD5F0E0"/>
      </patternFill>
    </fill>
    <fill>
      <patternFill patternType="solid">
        <fgColor rgb="FFE9E2F3"/>
        <bgColor rgb="FFDFE4E8"/>
      </patternFill>
    </fill>
    <fill>
      <patternFill patternType="solid">
        <fgColor rgb="FFF6DEDB"/>
        <bgColor rgb="FFFCEBD9"/>
      </patternFill>
    </fill>
    <fill>
      <patternFill patternType="solid">
        <fgColor rgb="FFFCEBD9"/>
        <bgColor rgb="FFFDEBD0"/>
      </patternFill>
    </fill>
    <fill>
      <patternFill patternType="solid">
        <fgColor rgb="FFDAF2E3"/>
        <bgColor rgb="FFD5F0E0"/>
      </patternFill>
    </fill>
    <fill>
      <patternFill patternType="solid">
        <fgColor rgb="FFF3E8FA"/>
        <bgColor rgb="FFE9E2F3"/>
      </patternFill>
    </fill>
    <fill>
      <patternFill patternType="solid">
        <fgColor rgb="FFDFE4E8"/>
        <bgColor rgb="FFDDE3E8"/>
      </patternFill>
    </fill>
    <fill>
      <patternFill patternType="solid">
        <fgColor rgb="FF6B7B8C"/>
        <bgColor rgb="FF878787"/>
      </patternFill>
    </fill>
    <fill>
      <patternFill patternType="solid">
        <fgColor rgb="FF355C7D"/>
        <bgColor rgb="FF1F618D"/>
      </patternFill>
    </fill>
    <fill>
      <patternFill patternType="solid">
        <fgColor rgb="FFEEF2F5"/>
        <bgColor rgb="FFEAF4F8"/>
      </patternFill>
    </fill>
    <fill>
      <patternFill patternType="solid">
        <fgColor rgb="FFF6FAFC"/>
        <bgColor rgb="FFF7FAFC"/>
      </patternFill>
    </fill>
    <fill>
      <patternFill patternType="solid">
        <fgColor rgb="FFDDE3E8"/>
        <bgColor rgb="FFDFE4E8"/>
      </patternFill>
    </fill>
  </fills>
  <borders count="14">
    <border>
      <left/>
      <right/>
      <top/>
      <bottom/>
      <diagonal/>
    </border>
    <border>
      <left style="medium">
        <color rgb="FF0B3C5D"/>
      </left>
      <right style="medium">
        <color rgb="FF0B3C5D"/>
      </right>
      <top style="medium">
        <color rgb="FF0B3C5D"/>
      </top>
      <bottom/>
      <diagonal/>
    </border>
    <border>
      <left style="medium">
        <color rgb="FF1D7874"/>
      </left>
      <right style="medium">
        <color rgb="FF1D7874"/>
      </right>
      <top style="medium">
        <color rgb="FF1D7874"/>
      </top>
      <bottom/>
      <diagonal/>
    </border>
    <border>
      <left style="thin">
        <color rgb="FFC9D6DF"/>
      </left>
      <right style="thin">
        <color rgb="FFC9D6DF"/>
      </right>
      <top style="thin">
        <color rgb="FFC9D6DF"/>
      </top>
      <bottom style="thin">
        <color rgb="FFC9D6DF"/>
      </bottom>
      <diagonal/>
    </border>
    <border>
      <left style="medium">
        <color rgb="FF0B3C5D"/>
      </left>
      <right style="medium">
        <color rgb="FF0B3C5D"/>
      </right>
      <top/>
      <bottom style="medium">
        <color rgb="FF0B3C5D"/>
      </bottom>
      <diagonal/>
    </border>
    <border>
      <left style="medium">
        <color rgb="FF1D7874"/>
      </left>
      <right style="medium">
        <color rgb="FF1D7874"/>
      </right>
      <top/>
      <bottom style="medium">
        <color rgb="FF1D7874"/>
      </bottom>
      <diagonal/>
    </border>
    <border>
      <left style="medium">
        <color rgb="FF2E86AB"/>
      </left>
      <right style="medium">
        <color rgb="FF2E86AB"/>
      </right>
      <top style="medium">
        <color rgb="FF2E86AB"/>
      </top>
      <bottom/>
      <diagonal/>
    </border>
    <border>
      <left style="medium">
        <color rgb="FFB9770E"/>
      </left>
      <right style="medium">
        <color rgb="FFB9770E"/>
      </right>
      <top style="medium">
        <color rgb="FFB9770E"/>
      </top>
      <bottom/>
      <diagonal/>
    </border>
    <border>
      <left style="medium">
        <color rgb="FF2E86AB"/>
      </left>
      <right style="medium">
        <color rgb="FF2E86AB"/>
      </right>
      <top/>
      <bottom style="medium">
        <color rgb="FF2E86AB"/>
      </bottom>
      <diagonal/>
    </border>
    <border>
      <left style="medium">
        <color rgb="FFB9770E"/>
      </left>
      <right style="medium">
        <color rgb="FFB9770E"/>
      </right>
      <top/>
      <bottom style="medium">
        <color rgb="FFB9770E"/>
      </bottom>
      <diagonal/>
    </border>
    <border>
      <left style="thin">
        <color rgb="FFC9D6DF"/>
      </left>
      <right/>
      <top style="thin">
        <color rgb="FFC9D6DF"/>
      </top>
      <bottom style="thin">
        <color rgb="FFC9D6DF"/>
      </bottom>
      <diagonal/>
    </border>
    <border>
      <left/>
      <right/>
      <top style="medium">
        <color rgb="FF0B3C5D"/>
      </top>
      <bottom/>
      <diagonal/>
    </border>
    <border>
      <left style="thin">
        <color rgb="FFC9D6DF"/>
      </left>
      <right/>
      <top style="medium">
        <color rgb="FF0B3C5D"/>
      </top>
      <bottom style="medium">
        <color rgb="FF0B3C5D"/>
      </bottom>
      <diagonal/>
    </border>
    <border>
      <left style="thin">
        <color rgb="FFC9D6DF"/>
      </left>
      <right style="thin">
        <color rgb="FFC9D6DF"/>
      </right>
      <top style="medium">
        <color rgb="FF0B3C5D"/>
      </top>
      <bottom style="medium">
        <color rgb="FF0B3C5D"/>
      </bottom>
      <diagonal/>
    </border>
  </borders>
  <cellStyleXfs count="1">
    <xf numFmtId="0" fontId="0" fillId="0" borderId="0"/>
  </cellStyleXfs>
  <cellXfs count="201">
    <xf numFmtId="0" fontId="0" fillId="0" borderId="0" xfId="0"/>
    <xf numFmtId="167" fontId="10" fillId="6" borderId="3" xfId="0" applyNumberFormat="1" applyFont="1" applyFill="1" applyBorder="1" applyAlignment="1">
      <alignment horizontal="right" vertical="center"/>
    </xf>
    <xf numFmtId="0" fontId="5" fillId="8" borderId="7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166" fontId="7" fillId="0" borderId="3" xfId="0" applyNumberFormat="1" applyFont="1" applyBorder="1" applyAlignment="1">
      <alignment horizontal="right" vertical="center"/>
    </xf>
    <xf numFmtId="164" fontId="10" fillId="6" borderId="3" xfId="0" applyNumberFormat="1" applyFont="1" applyFill="1" applyBorder="1" applyAlignment="1">
      <alignment horizontal="right" vertical="center"/>
    </xf>
    <xf numFmtId="165" fontId="9" fillId="5" borderId="5" xfId="0" applyNumberFormat="1" applyFont="1" applyFill="1" applyBorder="1" applyAlignment="1">
      <alignment horizontal="center" vertical="center" wrapText="1"/>
    </xf>
    <xf numFmtId="164" fontId="8" fillId="5" borderId="4" xfId="0" applyNumberFormat="1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right" vertical="center"/>
    </xf>
    <xf numFmtId="0" fontId="6" fillId="4" borderId="3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left" vertical="center" indent="1"/>
    </xf>
    <xf numFmtId="0" fontId="2" fillId="3" borderId="0" xfId="0" applyFont="1" applyFill="1" applyAlignment="1">
      <alignment horizontal="left" vertical="center" indent="1"/>
    </xf>
    <xf numFmtId="0" fontId="1" fillId="2" borderId="0" xfId="0" applyFont="1" applyFill="1" applyAlignment="1">
      <alignment horizontal="left" vertical="center" indent="1"/>
    </xf>
    <xf numFmtId="0" fontId="4" fillId="0" borderId="0" xfId="0" applyFont="1"/>
    <xf numFmtId="0" fontId="13" fillId="0" borderId="0" xfId="0" applyFont="1"/>
    <xf numFmtId="0" fontId="14" fillId="2" borderId="3" xfId="0" applyFont="1" applyFill="1" applyBorder="1" applyAlignment="1">
      <alignment horizontal="center" vertical="center" wrapText="1"/>
    </xf>
    <xf numFmtId="164" fontId="15" fillId="0" borderId="3" xfId="0" applyNumberFormat="1" applyFont="1" applyBorder="1" applyAlignment="1">
      <alignment horizontal="right" vertical="center"/>
    </xf>
    <xf numFmtId="164" fontId="16" fillId="9" borderId="3" xfId="0" applyNumberFormat="1" applyFont="1" applyFill="1" applyBorder="1" applyAlignment="1">
      <alignment horizontal="right" vertical="center"/>
    </xf>
    <xf numFmtId="9" fontId="6" fillId="0" borderId="3" xfId="0" applyNumberFormat="1" applyFont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 wrapText="1"/>
    </xf>
    <xf numFmtId="164" fontId="17" fillId="2" borderId="3" xfId="0" applyNumberFormat="1" applyFont="1" applyFill="1" applyBorder="1" applyAlignment="1">
      <alignment horizontal="right" vertical="center"/>
    </xf>
    <xf numFmtId="9" fontId="17" fillId="2" borderId="3" xfId="0" applyNumberFormat="1" applyFont="1" applyFill="1" applyBorder="1" applyAlignment="1">
      <alignment horizontal="center" vertical="center" wrapText="1"/>
    </xf>
    <xf numFmtId="165" fontId="17" fillId="2" borderId="3" xfId="0" applyNumberFormat="1" applyFont="1" applyFill="1" applyBorder="1" applyAlignment="1">
      <alignment horizontal="center" vertical="center" wrapText="1"/>
    </xf>
    <xf numFmtId="0" fontId="18" fillId="15" borderId="3" xfId="0" applyFont="1" applyFill="1" applyBorder="1" applyAlignment="1">
      <alignment horizontal="center" vertical="center" wrapText="1"/>
    </xf>
    <xf numFmtId="168" fontId="6" fillId="0" borderId="3" xfId="0" applyNumberFormat="1" applyFont="1" applyBorder="1" applyAlignment="1">
      <alignment horizontal="center" vertical="center" wrapText="1"/>
    </xf>
    <xf numFmtId="0" fontId="0" fillId="0" borderId="3" xfId="0" applyBorder="1"/>
    <xf numFmtId="164" fontId="16" fillId="0" borderId="3" xfId="0" applyNumberFormat="1" applyFont="1" applyBorder="1" applyAlignment="1">
      <alignment horizontal="center" vertical="center" wrapText="1"/>
    </xf>
    <xf numFmtId="164" fontId="18" fillId="4" borderId="3" xfId="0" applyNumberFormat="1" applyFont="1" applyFill="1" applyBorder="1" applyAlignment="1">
      <alignment horizontal="center" vertical="center" wrapText="1"/>
    </xf>
    <xf numFmtId="164" fontId="15" fillId="0" borderId="3" xfId="0" applyNumberFormat="1" applyFont="1" applyBorder="1" applyAlignment="1">
      <alignment horizontal="center" vertical="center" wrapText="1"/>
    </xf>
    <xf numFmtId="165" fontId="15" fillId="0" borderId="3" xfId="0" applyNumberFormat="1" applyFont="1" applyBorder="1" applyAlignment="1">
      <alignment horizontal="center" vertical="center" wrapText="1"/>
    </xf>
    <xf numFmtId="0" fontId="24" fillId="0" borderId="0" xfId="0" applyFont="1"/>
    <xf numFmtId="170" fontId="25" fillId="16" borderId="3" xfId="0" applyNumberFormat="1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left" vertical="center"/>
    </xf>
    <xf numFmtId="164" fontId="6" fillId="0" borderId="3" xfId="0" applyNumberFormat="1" applyFont="1" applyBorder="1" applyAlignment="1">
      <alignment horizontal="right" vertical="center"/>
    </xf>
    <xf numFmtId="164" fontId="18" fillId="4" borderId="3" xfId="0" applyNumberFormat="1" applyFont="1" applyFill="1" applyBorder="1" applyAlignment="1">
      <alignment horizontal="right" vertical="center"/>
    </xf>
    <xf numFmtId="165" fontId="18" fillId="4" borderId="3" xfId="0" applyNumberFormat="1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left" vertical="center"/>
    </xf>
    <xf numFmtId="164" fontId="6" fillId="17" borderId="3" xfId="0" applyNumberFormat="1" applyFont="1" applyFill="1" applyBorder="1" applyAlignment="1">
      <alignment horizontal="right" vertical="center"/>
    </xf>
    <xf numFmtId="0" fontId="14" fillId="10" borderId="3" xfId="0" applyFont="1" applyFill="1" applyBorder="1" applyAlignment="1">
      <alignment horizontal="left" vertical="center"/>
    </xf>
    <xf numFmtId="0" fontId="14" fillId="11" borderId="3" xfId="0" applyFont="1" applyFill="1" applyBorder="1" applyAlignment="1">
      <alignment horizontal="left" vertical="center"/>
    </xf>
    <xf numFmtId="0" fontId="14" fillId="12" borderId="3" xfId="0" applyFont="1" applyFill="1" applyBorder="1" applyAlignment="1">
      <alignment horizontal="left" vertical="center"/>
    </xf>
    <xf numFmtId="0" fontId="14" fillId="13" borderId="3" xfId="0" applyFont="1" applyFill="1" applyBorder="1" applyAlignment="1">
      <alignment horizontal="left" vertical="center"/>
    </xf>
    <xf numFmtId="0" fontId="14" fillId="14" borderId="3" xfId="0" applyFont="1" applyFill="1" applyBorder="1" applyAlignment="1">
      <alignment horizontal="left" vertical="center"/>
    </xf>
    <xf numFmtId="0" fontId="17" fillId="2" borderId="3" xfId="0" applyFont="1" applyFill="1" applyBorder="1" applyAlignment="1">
      <alignment horizontal="left" vertical="center"/>
    </xf>
    <xf numFmtId="0" fontId="18" fillId="4" borderId="3" xfId="0" applyFont="1" applyFill="1" applyBorder="1" applyAlignment="1">
      <alignment horizontal="left" vertical="center"/>
    </xf>
    <xf numFmtId="0" fontId="26" fillId="0" borderId="0" xfId="0" applyFont="1"/>
    <xf numFmtId="164" fontId="19" fillId="0" borderId="0" xfId="0" applyNumberFormat="1" applyFont="1" applyAlignment="1">
      <alignment horizontal="right" vertical="center"/>
    </xf>
    <xf numFmtId="0" fontId="7" fillId="15" borderId="3" xfId="0" applyFont="1" applyFill="1" applyBorder="1" applyAlignment="1">
      <alignment horizontal="center" vertical="center" wrapText="1"/>
    </xf>
    <xf numFmtId="0" fontId="27" fillId="16" borderId="3" xfId="0" applyFont="1" applyFill="1" applyBorder="1" applyAlignment="1">
      <alignment horizontal="center" vertical="center" wrapText="1"/>
    </xf>
    <xf numFmtId="171" fontId="29" fillId="16" borderId="3" xfId="0" applyNumberFormat="1" applyFont="1" applyFill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left" vertical="center"/>
    </xf>
    <xf numFmtId="4" fontId="30" fillId="0" borderId="3" xfId="0" applyNumberFormat="1" applyFont="1" applyBorder="1" applyAlignment="1">
      <alignment horizontal="right" vertical="center"/>
    </xf>
    <xf numFmtId="164" fontId="30" fillId="0" borderId="3" xfId="0" applyNumberFormat="1" applyFont="1" applyBorder="1" applyAlignment="1">
      <alignment horizontal="right" vertical="center"/>
    </xf>
    <xf numFmtId="164" fontId="3" fillId="9" borderId="3" xfId="0" applyNumberFormat="1" applyFont="1" applyFill="1" applyBorder="1" applyAlignment="1">
      <alignment horizontal="right" vertical="center"/>
    </xf>
    <xf numFmtId="164" fontId="27" fillId="18" borderId="3" xfId="0" applyNumberFormat="1" applyFont="1" applyFill="1" applyBorder="1" applyAlignment="1">
      <alignment horizontal="right" vertical="center"/>
    </xf>
    <xf numFmtId="9" fontId="3" fillId="0" borderId="3" xfId="0" applyNumberFormat="1" applyFont="1" applyBorder="1" applyAlignment="1">
      <alignment horizontal="center" vertical="center" wrapText="1"/>
    </xf>
    <xf numFmtId="164" fontId="31" fillId="0" borderId="3" xfId="0" applyNumberFormat="1" applyFont="1" applyBorder="1" applyAlignment="1">
      <alignment horizontal="right" vertical="center"/>
    </xf>
    <xf numFmtId="164" fontId="18" fillId="19" borderId="13" xfId="0" applyNumberFormat="1" applyFont="1" applyFill="1" applyBorder="1" applyAlignment="1">
      <alignment horizontal="right" vertical="center"/>
    </xf>
    <xf numFmtId="9" fontId="18" fillId="19" borderId="13" xfId="0" applyNumberFormat="1" applyFont="1" applyFill="1" applyBorder="1" applyAlignment="1">
      <alignment horizontal="center" vertical="center" wrapText="1"/>
    </xf>
    <xf numFmtId="164" fontId="18" fillId="20" borderId="13" xfId="0" applyNumberFormat="1" applyFont="1" applyFill="1" applyBorder="1" applyAlignment="1">
      <alignment horizontal="right" vertical="center"/>
    </xf>
    <xf numFmtId="9" fontId="18" fillId="20" borderId="13" xfId="0" applyNumberFormat="1" applyFont="1" applyFill="1" applyBorder="1" applyAlignment="1">
      <alignment horizontal="center" vertical="center" wrapText="1"/>
    </xf>
    <xf numFmtId="164" fontId="18" fillId="21" borderId="13" xfId="0" applyNumberFormat="1" applyFont="1" applyFill="1" applyBorder="1" applyAlignment="1">
      <alignment horizontal="right" vertical="center"/>
    </xf>
    <xf numFmtId="9" fontId="18" fillId="21" borderId="13" xfId="0" applyNumberFormat="1" applyFont="1" applyFill="1" applyBorder="1" applyAlignment="1">
      <alignment horizontal="center" vertical="center" wrapText="1"/>
    </xf>
    <xf numFmtId="164" fontId="18" fillId="22" borderId="13" xfId="0" applyNumberFormat="1" applyFont="1" applyFill="1" applyBorder="1" applyAlignment="1">
      <alignment horizontal="right" vertical="center"/>
    </xf>
    <xf numFmtId="9" fontId="18" fillId="22" borderId="13" xfId="0" applyNumberFormat="1" applyFont="1" applyFill="1" applyBorder="1" applyAlignment="1">
      <alignment horizontal="center" vertical="center" wrapText="1"/>
    </xf>
    <xf numFmtId="164" fontId="18" fillId="23" borderId="13" xfId="0" applyNumberFormat="1" applyFont="1" applyFill="1" applyBorder="1" applyAlignment="1">
      <alignment horizontal="right" vertical="center"/>
    </xf>
    <xf numFmtId="9" fontId="18" fillId="23" borderId="13" xfId="0" applyNumberFormat="1" applyFont="1" applyFill="1" applyBorder="1" applyAlignment="1">
      <alignment horizontal="center" vertical="center" wrapText="1"/>
    </xf>
    <xf numFmtId="164" fontId="18" fillId="24" borderId="13" xfId="0" applyNumberFormat="1" applyFont="1" applyFill="1" applyBorder="1" applyAlignment="1">
      <alignment horizontal="right" vertical="center"/>
    </xf>
    <xf numFmtId="9" fontId="18" fillId="24" borderId="13" xfId="0" applyNumberFormat="1" applyFont="1" applyFill="1" applyBorder="1" applyAlignment="1">
      <alignment horizontal="center" vertical="center" wrapText="1"/>
    </xf>
    <xf numFmtId="164" fontId="32" fillId="25" borderId="3" xfId="0" applyNumberFormat="1" applyFont="1" applyFill="1" applyBorder="1" applyAlignment="1">
      <alignment horizontal="right" vertical="center"/>
    </xf>
    <xf numFmtId="164" fontId="18" fillId="26" borderId="13" xfId="0" applyNumberFormat="1" applyFont="1" applyFill="1" applyBorder="1" applyAlignment="1">
      <alignment horizontal="right" vertical="center"/>
    </xf>
    <xf numFmtId="9" fontId="18" fillId="26" borderId="13" xfId="0" applyNumberFormat="1" applyFont="1" applyFill="1" applyBorder="1" applyAlignment="1">
      <alignment horizontal="center" vertical="center" wrapText="1"/>
    </xf>
    <xf numFmtId="164" fontId="2" fillId="2" borderId="13" xfId="0" applyNumberFormat="1" applyFont="1" applyFill="1" applyBorder="1" applyAlignment="1">
      <alignment horizontal="right" vertical="center"/>
    </xf>
    <xf numFmtId="165" fontId="2" fillId="2" borderId="13" xfId="0" applyNumberFormat="1" applyFont="1" applyFill="1" applyBorder="1" applyAlignment="1">
      <alignment horizontal="center" vertical="center" wrapText="1"/>
    </xf>
    <xf numFmtId="164" fontId="18" fillId="18" borderId="3" xfId="0" applyNumberFormat="1" applyFont="1" applyFill="1" applyBorder="1" applyAlignment="1">
      <alignment horizontal="right" vertical="center"/>
    </xf>
    <xf numFmtId="164" fontId="26" fillId="0" borderId="0" xfId="0" applyNumberFormat="1" applyFont="1" applyAlignment="1">
      <alignment horizontal="right" vertical="center"/>
    </xf>
    <xf numFmtId="0" fontId="34" fillId="27" borderId="0" xfId="0" applyFont="1" applyFill="1" applyAlignment="1">
      <alignment horizontal="center" vertical="center" wrapText="1"/>
    </xf>
    <xf numFmtId="170" fontId="35" fillId="28" borderId="3" xfId="0" applyNumberFormat="1" applyFont="1" applyFill="1" applyBorder="1" applyAlignment="1">
      <alignment horizontal="center" vertical="center" wrapText="1"/>
    </xf>
    <xf numFmtId="0" fontId="0" fillId="7" borderId="0" xfId="0" applyFill="1"/>
    <xf numFmtId="0" fontId="36" fillId="0" borderId="3" xfId="0" applyFont="1" applyBorder="1" applyAlignment="1">
      <alignment horizontal="center" vertical="center" wrapText="1"/>
    </xf>
    <xf numFmtId="0" fontId="37" fillId="19" borderId="3" xfId="0" applyFont="1" applyFill="1" applyBorder="1" applyAlignment="1">
      <alignment horizontal="left" vertical="center"/>
    </xf>
    <xf numFmtId="0" fontId="36" fillId="0" borderId="3" xfId="0" applyFont="1" applyBorder="1" applyAlignment="1">
      <alignment horizontal="left" vertical="center"/>
    </xf>
    <xf numFmtId="164" fontId="36" fillId="0" borderId="3" xfId="0" applyNumberFormat="1" applyFont="1" applyBorder="1" applyAlignment="1">
      <alignment horizontal="right" vertical="center"/>
    </xf>
    <xf numFmtId="172" fontId="38" fillId="0" borderId="3" xfId="0" applyNumberFormat="1" applyFont="1" applyBorder="1" applyAlignment="1">
      <alignment horizontal="center" vertical="center" wrapText="1"/>
    </xf>
    <xf numFmtId="9" fontId="29" fillId="29" borderId="3" xfId="0" applyNumberFormat="1" applyFont="1" applyFill="1" applyBorder="1" applyAlignment="1">
      <alignment horizontal="center" vertical="center" wrapText="1"/>
    </xf>
    <xf numFmtId="164" fontId="39" fillId="0" borderId="0" xfId="0" applyNumberFormat="1" applyFont="1" applyAlignment="1">
      <alignment horizontal="right" vertical="center"/>
    </xf>
    <xf numFmtId="0" fontId="0" fillId="3" borderId="0" xfId="0" applyFill="1"/>
    <xf numFmtId="0" fontId="37" fillId="20" borderId="3" xfId="0" applyFont="1" applyFill="1" applyBorder="1" applyAlignment="1">
      <alignment horizontal="left" vertical="center"/>
    </xf>
    <xf numFmtId="0" fontId="0" fillId="10" borderId="0" xfId="0" applyFill="1"/>
    <xf numFmtId="0" fontId="37" fillId="21" borderId="3" xfId="0" applyFont="1" applyFill="1" applyBorder="1" applyAlignment="1">
      <alignment horizontal="left" vertical="center"/>
    </xf>
    <xf numFmtId="0" fontId="0" fillId="11" borderId="0" xfId="0" applyFill="1"/>
    <xf numFmtId="0" fontId="37" fillId="22" borderId="3" xfId="0" applyFont="1" applyFill="1" applyBorder="1" applyAlignment="1">
      <alignment horizontal="left" vertical="center"/>
    </xf>
    <xf numFmtId="0" fontId="0" fillId="12" borderId="0" xfId="0" applyFill="1"/>
    <xf numFmtId="0" fontId="37" fillId="23" borderId="3" xfId="0" applyFont="1" applyFill="1" applyBorder="1" applyAlignment="1">
      <alignment horizontal="left" vertical="center"/>
    </xf>
    <xf numFmtId="0" fontId="0" fillId="13" borderId="0" xfId="0" applyFill="1"/>
    <xf numFmtId="0" fontId="37" fillId="24" borderId="3" xfId="0" applyFont="1" applyFill="1" applyBorder="1" applyAlignment="1">
      <alignment horizontal="left" vertical="center"/>
    </xf>
    <xf numFmtId="0" fontId="0" fillId="14" borderId="0" xfId="0" applyFill="1"/>
    <xf numFmtId="0" fontId="37" fillId="26" borderId="3" xfId="0" applyFont="1" applyFill="1" applyBorder="1" applyAlignment="1">
      <alignment horizontal="left" vertical="center"/>
    </xf>
    <xf numFmtId="172" fontId="25" fillId="0" borderId="3" xfId="0" applyNumberFormat="1" applyFont="1" applyBorder="1" applyAlignment="1">
      <alignment horizontal="center" vertical="center" wrapText="1"/>
    </xf>
    <xf numFmtId="173" fontId="40" fillId="16" borderId="3" xfId="0" applyNumberFormat="1" applyFont="1" applyFill="1" applyBorder="1" applyAlignment="1">
      <alignment horizontal="center" vertical="center" wrapText="1"/>
    </xf>
    <xf numFmtId="173" fontId="40" fillId="0" borderId="3" xfId="0" applyNumberFormat="1" applyFont="1" applyBorder="1" applyAlignment="1">
      <alignment horizontal="center" vertical="center" wrapText="1"/>
    </xf>
    <xf numFmtId="173" fontId="41" fillId="4" borderId="3" xfId="0" applyNumberFormat="1" applyFont="1" applyFill="1" applyBorder="1" applyAlignment="1">
      <alignment horizontal="center" vertical="center" wrapText="1"/>
    </xf>
    <xf numFmtId="173" fontId="5" fillId="2" borderId="3" xfId="0" applyNumberFormat="1" applyFont="1" applyFill="1" applyBorder="1" applyAlignment="1">
      <alignment horizontal="center" vertical="center" wrapText="1"/>
    </xf>
    <xf numFmtId="173" fontId="0" fillId="0" borderId="0" xfId="0" applyNumberFormat="1"/>
    <xf numFmtId="174" fontId="40" fillId="16" borderId="3" xfId="0" applyNumberFormat="1" applyFont="1" applyFill="1" applyBorder="1" applyAlignment="1">
      <alignment horizontal="center" vertical="center" wrapText="1"/>
    </xf>
    <xf numFmtId="174" fontId="40" fillId="0" borderId="3" xfId="0" applyNumberFormat="1" applyFont="1" applyBorder="1" applyAlignment="1">
      <alignment horizontal="center" vertical="center" wrapText="1"/>
    </xf>
    <xf numFmtId="0" fontId="27" fillId="15" borderId="3" xfId="0" applyFont="1" applyFill="1" applyBorder="1" applyAlignment="1">
      <alignment horizontal="center" vertical="center" wrapText="1"/>
    </xf>
    <xf numFmtId="170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4" fontId="42" fillId="0" borderId="3" xfId="0" applyNumberFormat="1" applyFont="1" applyBorder="1" applyAlignment="1">
      <alignment horizontal="right" vertical="center"/>
    </xf>
    <xf numFmtId="164" fontId="42" fillId="0" borderId="3" xfId="0" applyNumberFormat="1" applyFont="1" applyBorder="1" applyAlignment="1">
      <alignment horizontal="right" vertical="center"/>
    </xf>
    <xf numFmtId="164" fontId="3" fillId="0" borderId="3" xfId="0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center" vertical="center" wrapText="1"/>
    </xf>
    <xf numFmtId="0" fontId="3" fillId="30" borderId="3" xfId="0" applyFont="1" applyFill="1" applyBorder="1" applyAlignment="1">
      <alignment horizontal="left" vertical="center"/>
    </xf>
    <xf numFmtId="0" fontId="3" fillId="30" borderId="3" xfId="0" applyFont="1" applyFill="1" applyBorder="1" applyAlignment="1">
      <alignment horizontal="center" vertical="center" wrapText="1"/>
    </xf>
    <xf numFmtId="4" fontId="42" fillId="30" borderId="3" xfId="0" applyNumberFormat="1" applyFont="1" applyFill="1" applyBorder="1" applyAlignment="1">
      <alignment horizontal="right" vertical="center"/>
    </xf>
    <xf numFmtId="164" fontId="42" fillId="30" borderId="3" xfId="0" applyNumberFormat="1" applyFont="1" applyFill="1" applyBorder="1" applyAlignment="1">
      <alignment horizontal="right" vertical="center"/>
    </xf>
    <xf numFmtId="164" fontId="3" fillId="30" borderId="3" xfId="0" applyNumberFormat="1" applyFont="1" applyFill="1" applyBorder="1" applyAlignment="1">
      <alignment horizontal="right" vertical="center"/>
    </xf>
    <xf numFmtId="0" fontId="20" fillId="30" borderId="3" xfId="0" applyFont="1" applyFill="1" applyBorder="1" applyAlignment="1">
      <alignment horizontal="left" vertical="center" wrapText="1"/>
    </xf>
    <xf numFmtId="0" fontId="27" fillId="31" borderId="3" xfId="0" applyFont="1" applyFill="1" applyBorder="1" applyAlignment="1">
      <alignment horizontal="center" vertical="center" wrapText="1"/>
    </xf>
    <xf numFmtId="164" fontId="17" fillId="2" borderId="0" xfId="0" applyNumberFormat="1" applyFont="1" applyFill="1" applyAlignment="1">
      <alignment horizontal="right" vertical="center"/>
    </xf>
    <xf numFmtId="0" fontId="0" fillId="2" borderId="0" xfId="0" applyFill="1"/>
    <xf numFmtId="0" fontId="3" fillId="19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174" fontId="42" fillId="0" borderId="3" xfId="0" applyNumberFormat="1" applyFont="1" applyBorder="1" applyAlignment="1">
      <alignment horizontal="right" vertical="center"/>
    </xf>
    <xf numFmtId="174" fontId="3" fillId="0" borderId="3" xfId="0" applyNumberFormat="1" applyFont="1" applyBorder="1" applyAlignment="1">
      <alignment horizontal="right" vertical="center"/>
    </xf>
    <xf numFmtId="0" fontId="3" fillId="30" borderId="3" xfId="0" applyFont="1" applyFill="1" applyBorder="1" applyAlignment="1">
      <alignment horizontal="left" vertical="center" wrapText="1"/>
    </xf>
    <xf numFmtId="174" fontId="42" fillId="30" borderId="3" xfId="0" applyNumberFormat="1" applyFont="1" applyFill="1" applyBorder="1" applyAlignment="1">
      <alignment horizontal="right" vertical="center"/>
    </xf>
    <xf numFmtId="174" fontId="3" fillId="30" borderId="3" xfId="0" applyNumberFormat="1" applyFont="1" applyFill="1" applyBorder="1" applyAlignment="1">
      <alignment horizontal="right" vertical="center"/>
    </xf>
    <xf numFmtId="0" fontId="3" fillId="20" borderId="3" xfId="0" applyFont="1" applyFill="1" applyBorder="1" applyAlignment="1">
      <alignment horizontal="left" vertical="center" wrapText="1"/>
    </xf>
    <xf numFmtId="0" fontId="3" fillId="21" borderId="3" xfId="0" applyFont="1" applyFill="1" applyBorder="1" applyAlignment="1">
      <alignment horizontal="left" vertical="center" wrapText="1"/>
    </xf>
    <xf numFmtId="0" fontId="3" fillId="22" borderId="3" xfId="0" applyFont="1" applyFill="1" applyBorder="1" applyAlignment="1">
      <alignment horizontal="left" vertical="center" wrapText="1"/>
    </xf>
    <xf numFmtId="0" fontId="3" fillId="23" borderId="3" xfId="0" applyFont="1" applyFill="1" applyBorder="1" applyAlignment="1">
      <alignment horizontal="left" vertical="center" wrapText="1"/>
    </xf>
    <xf numFmtId="0" fontId="3" fillId="24" borderId="3" xfId="0" applyFont="1" applyFill="1" applyBorder="1" applyAlignment="1">
      <alignment horizontal="left" vertical="center" wrapText="1"/>
    </xf>
    <xf numFmtId="0" fontId="3" fillId="26" borderId="3" xfId="0" applyFont="1" applyFill="1" applyBorder="1" applyAlignment="1">
      <alignment horizontal="left" vertical="center" wrapText="1"/>
    </xf>
    <xf numFmtId="164" fontId="7" fillId="4" borderId="3" xfId="0" applyNumberFormat="1" applyFont="1" applyFill="1" applyBorder="1" applyAlignment="1">
      <alignment horizontal="right" vertical="center"/>
    </xf>
    <xf numFmtId="174" fontId="44" fillId="0" borderId="3" xfId="0" applyNumberFormat="1" applyFont="1" applyBorder="1" applyAlignment="1">
      <alignment horizontal="center" vertical="center" wrapText="1"/>
    </xf>
    <xf numFmtId="164" fontId="43" fillId="4" borderId="3" xfId="0" applyNumberFormat="1" applyFont="1" applyFill="1" applyBorder="1" applyAlignment="1">
      <alignment horizontal="right" vertical="center"/>
    </xf>
    <xf numFmtId="164" fontId="7" fillId="15" borderId="3" xfId="0" applyNumberFormat="1" applyFont="1" applyFill="1" applyBorder="1" applyAlignment="1">
      <alignment horizontal="right" vertical="center"/>
    </xf>
    <xf numFmtId="164" fontId="44" fillId="4" borderId="3" xfId="0" applyNumberFormat="1" applyFont="1" applyFill="1" applyBorder="1" applyAlignment="1">
      <alignment horizontal="right" vertical="center"/>
    </xf>
    <xf numFmtId="165" fontId="11" fillId="5" borderId="8" xfId="0" applyNumberFormat="1" applyFont="1" applyFill="1" applyBorder="1" applyAlignment="1">
      <alignment horizontal="center" vertical="center" wrapText="1"/>
    </xf>
    <xf numFmtId="49" fontId="12" fillId="5" borderId="9" xfId="0" applyNumberFormat="1" applyFont="1" applyFill="1" applyBorder="1" applyAlignment="1">
      <alignment horizontal="center" vertical="center" wrapText="1"/>
    </xf>
    <xf numFmtId="167" fontId="7" fillId="0" borderId="3" xfId="0" applyNumberFormat="1" applyFont="1" applyBorder="1" applyAlignment="1">
      <alignment horizontal="right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7" borderId="10" xfId="0" applyFont="1" applyFill="1" applyBorder="1" applyAlignment="1">
      <alignment horizontal="left" vertical="center"/>
    </xf>
    <xf numFmtId="0" fontId="14" fillId="3" borderId="10" xfId="0" applyFont="1" applyFill="1" applyBorder="1" applyAlignment="1">
      <alignment horizontal="left" vertical="center"/>
    </xf>
    <xf numFmtId="0" fontId="14" fillId="10" borderId="10" xfId="0" applyFont="1" applyFill="1" applyBorder="1" applyAlignment="1">
      <alignment horizontal="left" vertical="center"/>
    </xf>
    <xf numFmtId="0" fontId="14" fillId="11" borderId="10" xfId="0" applyFont="1" applyFill="1" applyBorder="1" applyAlignment="1">
      <alignment horizontal="left" vertical="center"/>
    </xf>
    <xf numFmtId="0" fontId="14" fillId="12" borderId="10" xfId="0" applyFont="1" applyFill="1" applyBorder="1" applyAlignment="1">
      <alignment horizontal="left" vertical="center"/>
    </xf>
    <xf numFmtId="0" fontId="14" fillId="13" borderId="10" xfId="0" applyFont="1" applyFill="1" applyBorder="1" applyAlignment="1">
      <alignment horizontal="left" vertical="center"/>
    </xf>
    <xf numFmtId="0" fontId="14" fillId="14" borderId="10" xfId="0" applyFont="1" applyFill="1" applyBorder="1" applyAlignment="1">
      <alignment horizontal="left" vertical="center"/>
    </xf>
    <xf numFmtId="0" fontId="17" fillId="2" borderId="10" xfId="0" applyFont="1" applyFill="1" applyBorder="1" applyAlignment="1">
      <alignment horizontal="left" vertical="center"/>
    </xf>
    <xf numFmtId="0" fontId="18" fillId="4" borderId="10" xfId="0" applyFont="1" applyFill="1" applyBorder="1" applyAlignment="1">
      <alignment horizontal="left" vertical="center"/>
    </xf>
    <xf numFmtId="0" fontId="19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2" fillId="2" borderId="0" xfId="0" applyFont="1" applyFill="1" applyAlignment="1">
      <alignment horizontal="left" vertical="center" indent="1"/>
    </xf>
    <xf numFmtId="0" fontId="23" fillId="3" borderId="0" xfId="0" applyFont="1" applyFill="1" applyAlignment="1">
      <alignment horizontal="left" vertical="center" indent="1"/>
    </xf>
    <xf numFmtId="0" fontId="3" fillId="0" borderId="3" xfId="0" applyFont="1" applyBorder="1" applyAlignment="1">
      <alignment vertical="top" wrapText="1"/>
    </xf>
    <xf numFmtId="0" fontId="3" fillId="9" borderId="3" xfId="0" applyFont="1" applyFill="1" applyBorder="1" applyAlignment="1">
      <alignment vertical="top" wrapText="1"/>
    </xf>
    <xf numFmtId="0" fontId="28" fillId="2" borderId="0" xfId="0" applyFont="1" applyFill="1" applyAlignment="1">
      <alignment horizontal="left" vertical="center" indent="1"/>
    </xf>
    <xf numFmtId="0" fontId="2" fillId="7" borderId="0" xfId="0" applyFont="1" applyFill="1" applyAlignment="1">
      <alignment horizontal="left" vertical="center"/>
    </xf>
    <xf numFmtId="0" fontId="18" fillId="19" borderId="12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18" fillId="20" borderId="12" xfId="0" applyFont="1" applyFill="1" applyBorder="1" applyAlignment="1">
      <alignment horizontal="left" vertical="center"/>
    </xf>
    <xf numFmtId="0" fontId="2" fillId="10" borderId="0" xfId="0" applyFont="1" applyFill="1" applyAlignment="1">
      <alignment horizontal="left" vertical="center"/>
    </xf>
    <xf numFmtId="0" fontId="18" fillId="21" borderId="12" xfId="0" applyFont="1" applyFill="1" applyBorder="1" applyAlignment="1">
      <alignment horizontal="left" vertical="center"/>
    </xf>
    <xf numFmtId="0" fontId="2" fillId="11" borderId="0" xfId="0" applyFont="1" applyFill="1" applyAlignment="1">
      <alignment horizontal="left" vertical="center"/>
    </xf>
    <xf numFmtId="0" fontId="18" fillId="22" borderId="12" xfId="0" applyFont="1" applyFill="1" applyBorder="1" applyAlignment="1">
      <alignment horizontal="left" vertical="center"/>
    </xf>
    <xf numFmtId="0" fontId="2" fillId="12" borderId="0" xfId="0" applyFont="1" applyFill="1" applyAlignment="1">
      <alignment horizontal="left" vertical="center"/>
    </xf>
    <xf numFmtId="0" fontId="18" fillId="23" borderId="12" xfId="0" applyFont="1" applyFill="1" applyBorder="1" applyAlignment="1">
      <alignment horizontal="left" vertical="center"/>
    </xf>
    <xf numFmtId="0" fontId="2" fillId="13" borderId="0" xfId="0" applyFont="1" applyFill="1" applyAlignment="1">
      <alignment horizontal="left" vertical="center"/>
    </xf>
    <xf numFmtId="0" fontId="18" fillId="24" borderId="12" xfId="0" applyFont="1" applyFill="1" applyBorder="1" applyAlignment="1">
      <alignment horizontal="left" vertical="center"/>
    </xf>
    <xf numFmtId="0" fontId="2" fillId="14" borderId="0" xfId="0" applyFont="1" applyFill="1" applyAlignment="1">
      <alignment horizontal="left" vertical="center"/>
    </xf>
    <xf numFmtId="0" fontId="18" fillId="26" borderId="12" xfId="0" applyFont="1" applyFill="1" applyBorder="1" applyAlignment="1">
      <alignment horizontal="left" vertical="center"/>
    </xf>
    <xf numFmtId="0" fontId="33" fillId="2" borderId="12" xfId="0" applyFont="1" applyFill="1" applyBorder="1" applyAlignment="1">
      <alignment horizontal="left" vertical="center"/>
    </xf>
    <xf numFmtId="0" fontId="18" fillId="18" borderId="10" xfId="0" applyFont="1" applyFill="1" applyBorder="1" applyAlignment="1">
      <alignment horizontal="left" vertical="center"/>
    </xf>
    <xf numFmtId="0" fontId="17" fillId="3" borderId="0" xfId="0" applyFont="1" applyFill="1" applyAlignment="1">
      <alignment horizontal="center" vertical="center" wrapText="1"/>
    </xf>
    <xf numFmtId="0" fontId="17" fillId="8" borderId="0" xfId="0" applyFont="1" applyFill="1" applyAlignment="1">
      <alignment horizontal="center" vertical="center" wrapText="1"/>
    </xf>
    <xf numFmtId="0" fontId="17" fillId="27" borderId="3" xfId="0" applyFont="1" applyFill="1" applyBorder="1" applyAlignment="1">
      <alignment horizontal="center" vertical="center" wrapText="1"/>
    </xf>
    <xf numFmtId="0" fontId="17" fillId="7" borderId="0" xfId="0" applyFont="1" applyFill="1" applyAlignment="1">
      <alignment horizontal="left" vertical="center"/>
    </xf>
    <xf numFmtId="0" fontId="17" fillId="3" borderId="0" xfId="0" applyFont="1" applyFill="1" applyAlignment="1">
      <alignment horizontal="left" vertical="center"/>
    </xf>
    <xf numFmtId="0" fontId="17" fillId="10" borderId="0" xfId="0" applyFont="1" applyFill="1" applyAlignment="1">
      <alignment horizontal="left" vertical="center"/>
    </xf>
    <xf numFmtId="0" fontId="17" fillId="11" borderId="0" xfId="0" applyFont="1" applyFill="1" applyAlignment="1">
      <alignment horizontal="left" vertical="center"/>
    </xf>
    <xf numFmtId="0" fontId="17" fillId="12" borderId="0" xfId="0" applyFont="1" applyFill="1" applyAlignment="1">
      <alignment horizontal="left" vertical="center"/>
    </xf>
    <xf numFmtId="0" fontId="17" fillId="13" borderId="0" xfId="0" applyFont="1" applyFill="1" applyAlignment="1">
      <alignment horizontal="left" vertical="center"/>
    </xf>
    <xf numFmtId="0" fontId="17" fillId="14" borderId="0" xfId="0" applyFont="1" applyFill="1" applyAlignment="1">
      <alignment horizontal="left" vertical="center"/>
    </xf>
    <xf numFmtId="0" fontId="14" fillId="2" borderId="10" xfId="0" applyFont="1" applyFill="1" applyBorder="1" applyAlignment="1">
      <alignment horizontal="left" vertical="center"/>
    </xf>
    <xf numFmtId="0" fontId="26" fillId="0" borderId="0" xfId="0" applyFont="1" applyAlignment="1">
      <alignment horizontal="left" vertical="center" wrapText="1"/>
    </xf>
    <xf numFmtId="0" fontId="17" fillId="2" borderId="0" xfId="0" applyFont="1" applyFill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43" fillId="4" borderId="3" xfId="0" applyFont="1" applyFill="1" applyBorder="1" applyAlignment="1">
      <alignment horizontal="left" vertical="center"/>
    </xf>
    <xf numFmtId="0" fontId="7" fillId="15" borderId="3" xfId="0" applyFont="1" applyFill="1" applyBorder="1" applyAlignment="1">
      <alignment horizontal="left" vertical="center"/>
    </xf>
    <xf numFmtId="0" fontId="18" fillId="4" borderId="0" xfId="0" applyFont="1" applyFill="1" applyBorder="1" applyAlignment="1">
      <alignment horizontal="left" vertical="center"/>
    </xf>
    <xf numFmtId="165" fontId="15" fillId="0" borderId="0" xfId="0" applyNumberFormat="1" applyFont="1" applyBorder="1" applyAlignment="1">
      <alignment horizontal="center" vertical="center" wrapText="1"/>
    </xf>
    <xf numFmtId="0" fontId="0" fillId="0" borderId="0" xfId="0" applyBorder="1"/>
  </cellXfs>
  <cellStyles count="1">
    <cellStyle name="Normal" xfId="0" builtinId="0"/>
  </cellStyles>
  <dxfs count="11">
    <dxf>
      <font>
        <b/>
        <sz val="9"/>
        <color rgb="FF1E8449"/>
        <name val="Segoe UI"/>
        <charset val="1"/>
      </font>
      <fill>
        <patternFill>
          <bgColor rgb="FFD5F0E0"/>
        </patternFill>
      </fill>
    </dxf>
    <dxf>
      <fill>
        <patternFill>
          <bgColor rgb="FFF8C9C4"/>
        </patternFill>
      </fill>
    </dxf>
    <dxf>
      <font>
        <b/>
        <sz val="8"/>
        <color rgb="FF1F2A36"/>
        <name val="Segoe UI"/>
        <charset val="1"/>
      </font>
      <fill>
        <patternFill>
          <bgColor rgb="FFF2A541"/>
        </patternFill>
      </fill>
    </dxf>
    <dxf>
      <fill>
        <patternFill>
          <bgColor rgb="FFF8C9C4"/>
        </patternFill>
      </fill>
    </dxf>
    <dxf>
      <font>
        <b/>
        <sz val="8"/>
        <color rgb="FFFFFFFF"/>
        <name val="Segoe UI"/>
        <charset val="1"/>
      </font>
      <fill>
        <patternFill>
          <bgColor rgb="FF34495E"/>
        </patternFill>
      </fill>
    </dxf>
    <dxf>
      <font>
        <b/>
        <sz val="8"/>
        <color rgb="FFFFFFFF"/>
        <name val="Segoe UI"/>
        <charset val="1"/>
      </font>
      <fill>
        <patternFill>
          <bgColor rgb="FF27AE60"/>
        </patternFill>
      </fill>
    </dxf>
    <dxf>
      <font>
        <b/>
        <sz val="8"/>
        <color rgb="FFFFFFFF"/>
        <name val="Segoe UI"/>
        <charset val="1"/>
      </font>
      <fill>
        <patternFill>
          <bgColor rgb="FFE67E22"/>
        </patternFill>
      </fill>
    </dxf>
    <dxf>
      <font>
        <b/>
        <sz val="8"/>
        <color rgb="FFFFFFFF"/>
        <name val="Segoe UI"/>
        <charset val="1"/>
      </font>
      <fill>
        <patternFill>
          <bgColor rgb="FFC0392B"/>
        </patternFill>
      </fill>
    </dxf>
    <dxf>
      <font>
        <b/>
        <sz val="8"/>
        <color rgb="FFFFFFFF"/>
        <name val="Segoe UI"/>
        <charset val="1"/>
      </font>
      <fill>
        <patternFill>
          <bgColor rgb="FF7B5EA7"/>
        </patternFill>
      </fill>
    </dxf>
    <dxf>
      <font>
        <b/>
        <sz val="8"/>
        <color rgb="FFFFFFFF"/>
        <name val="Segoe UI"/>
        <charset val="1"/>
      </font>
      <fill>
        <patternFill>
          <bgColor rgb="FF1D7874"/>
        </patternFill>
      </fill>
    </dxf>
    <dxf>
      <font>
        <b/>
        <sz val="8"/>
        <color rgb="FFFFFFFF"/>
        <name val="Segoe UI"/>
        <charset val="1"/>
      </font>
      <fill>
        <patternFill>
          <bgColor rgb="FF2E86AB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F6FAFC"/>
      <rgbColor rgb="FF0000FF"/>
      <rgbColor rgb="FFFCEBD9"/>
      <rgbColor rgb="FFF7FAFC"/>
      <rgbColor rgb="FFEAF4F8"/>
      <rgbColor rgb="FF800000"/>
      <rgbColor rgb="FF007A33"/>
      <rgbColor rgb="FF000080"/>
      <rgbColor rgb="FFB9770E"/>
      <rgbColor rgb="FF800080"/>
      <rgbColor rgb="FF1D7874"/>
      <rgbColor rgb="FFD9D9D9"/>
      <rgbColor rgb="FF878787"/>
      <rgbColor rgb="FFDFE4E8"/>
      <rgbColor rgb="FF8E44AD"/>
      <rgbColor rgb="FFFFF6D5"/>
      <rgbColor rgb="FFDAF2E3"/>
      <rgbColor rgb="FF660066"/>
      <rgbColor rgb="FFF3E8FA"/>
      <rgbColor rgb="FF1F618D"/>
      <rgbColor rgb="FFC9D6DF"/>
      <rgbColor rgb="FF000080"/>
      <rgbColor rgb="FFFFFBF3"/>
      <rgbColor rgb="FFFDF1DC"/>
      <rgbColor rgb="FFEEF2F5"/>
      <rgbColor rgb="FF800080"/>
      <rgbColor rgb="FF800000"/>
      <rgbColor rgb="FF1E8449"/>
      <rgbColor rgb="FF0000FF"/>
      <rgbColor rgb="FF2E86AB"/>
      <rgbColor rgb="FFDCEEF7"/>
      <rgbColor rgb="FFD5F0E0"/>
      <rgbColor rgb="FFFDEBD0"/>
      <rgbColor rgb="FFDDE3E8"/>
      <rgbColor rgb="FFF6DEDB"/>
      <rgbColor rgb="FFE9E2F3"/>
      <rgbColor rgb="FFF8C9C4"/>
      <rgbColor rgb="FF4F81BD"/>
      <rgbColor rgb="FF4FB0C6"/>
      <rgbColor rgb="FFD6EDEA"/>
      <rgbColor rgb="FFFBE3BD"/>
      <rgbColor rgb="FFF2A541"/>
      <rgbColor rgb="FFE67E22"/>
      <rgbColor rgb="FF7B5EA7"/>
      <rgbColor rgb="FF6B7B8C"/>
      <rgbColor rgb="FF0B3C5D"/>
      <rgbColor rgb="FF27AE60"/>
      <rgbColor rgb="FF003300"/>
      <rgbColor rgb="FF355C7D"/>
      <rgbColor rgb="FFC0392B"/>
      <rgbColor rgb="FFF9F9F9"/>
      <rgbColor rgb="FF34495E"/>
      <rgbColor rgb="FF1F2A3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s-CO" sz="1800" b="1" strike="noStrike" spc="-1">
                <a:solidFill>
                  <a:srgbClr val="000000"/>
                </a:solidFill>
                <a:latin typeface="Calibri"/>
              </a:rPr>
              <a:t>Inversión semanal y avance acumulado del anticipo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Inversión semanal ($)</c:v>
          </c:tx>
          <c:spPr>
            <a:solidFill>
              <a:srgbClr val="0B3C5D"/>
            </a:solidFill>
            <a:ln w="9360">
              <a:solidFill>
                <a:srgbClr val="0B3C5D"/>
              </a:solidFill>
              <a:round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RESUMEN!$D$35:$I$35</c:f>
              <c:strCache>
                <c:ptCount val="6"/>
                <c:pt idx="0">
                  <c:v>SEMANA 1</c:v>
                </c:pt>
                <c:pt idx="1">
                  <c:v>SEMANA 2</c:v>
                </c:pt>
                <c:pt idx="2">
                  <c:v>SEMANA 3</c:v>
                </c:pt>
                <c:pt idx="3">
                  <c:v>SEMANA 4</c:v>
                </c:pt>
                <c:pt idx="4">
                  <c:v>SEMANA 5</c:v>
                </c:pt>
                <c:pt idx="5">
                  <c:v>SEMANA 6</c:v>
                </c:pt>
              </c:strCache>
            </c:strRef>
          </c:cat>
          <c:val>
            <c:numRef>
              <c:f>RESUMEN!$D$37:$I$37</c:f>
              <c:numCache>
                <c:formatCode>"$ "#,##0;[Red]"-$ "#,##0;\-</c:formatCode>
                <c:ptCount val="6"/>
                <c:pt idx="0">
                  <c:v>9792151.796622809</c:v>
                </c:pt>
                <c:pt idx="1">
                  <c:v>21520704.284734685</c:v>
                </c:pt>
                <c:pt idx="2">
                  <c:v>18078961.777779751</c:v>
                </c:pt>
                <c:pt idx="3">
                  <c:v>12275821.315405656</c:v>
                </c:pt>
                <c:pt idx="4">
                  <c:v>29035227.030682776</c:v>
                </c:pt>
                <c:pt idx="5">
                  <c:v>29297133.794774327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AA-44B3-AC9F-84B273600D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axId val="35575830"/>
        <c:axId val="83434661"/>
      </c:barChart>
      <c:lineChart>
        <c:grouping val="standard"/>
        <c:varyColors val="0"/>
        <c:ser>
          <c:idx val="1"/>
          <c:order val="1"/>
          <c:tx>
            <c:v>% acumulado</c:v>
          </c:tx>
          <c:spPr>
            <a:ln w="32040">
              <a:solidFill>
                <a:srgbClr val="F2A541"/>
              </a:solidFill>
              <a:round/>
            </a:ln>
          </c:spPr>
          <c:marker>
            <c:symbol val="circle"/>
            <c:size val="7"/>
            <c:spPr>
              <a:solidFill>
                <a:srgbClr val="F2A541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RESUMEN!$D$35:$I$35</c:f>
              <c:strCache>
                <c:ptCount val="6"/>
                <c:pt idx="0">
                  <c:v>SEMANA 1</c:v>
                </c:pt>
                <c:pt idx="1">
                  <c:v>SEMANA 2</c:v>
                </c:pt>
                <c:pt idx="2">
                  <c:v>SEMANA 3</c:v>
                </c:pt>
                <c:pt idx="3">
                  <c:v>SEMANA 4</c:v>
                </c:pt>
                <c:pt idx="4">
                  <c:v>SEMANA 5</c:v>
                </c:pt>
                <c:pt idx="5">
                  <c:v>SEMANA 6</c:v>
                </c:pt>
              </c:strCache>
            </c:strRef>
          </c:cat>
          <c:val>
            <c:numRef>
              <c:f>RESUMEN!$D$39:$I$39</c:f>
              <c:numCache>
                <c:formatCode>0.0%</c:formatCode>
                <c:ptCount val="6"/>
                <c:pt idx="0">
                  <c:v>8.1601264971856741E-2</c:v>
                </c:pt>
                <c:pt idx="1">
                  <c:v>0.26094046734464577</c:v>
                </c:pt>
                <c:pt idx="2">
                  <c:v>0.41159848215947703</c:v>
                </c:pt>
                <c:pt idx="3">
                  <c:v>0.51389699312119086</c:v>
                </c:pt>
                <c:pt idx="4">
                  <c:v>0.75585721837688069</c:v>
                </c:pt>
                <c:pt idx="5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D2AA-44B3-AC9F-84B273600D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0">
              <a:noFill/>
            </a:ln>
          </c:spPr>
        </c:hiLowLines>
        <c:marker val="1"/>
        <c:smooth val="0"/>
        <c:axId val="71651104"/>
        <c:axId val="33638420"/>
      </c:lineChart>
      <c:catAx>
        <c:axId val="3557583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83434661"/>
        <c:crosses val="autoZero"/>
        <c:auto val="1"/>
        <c:lblAlgn val="ctr"/>
        <c:lblOffset val="100"/>
        <c:noMultiLvlLbl val="0"/>
      </c:catAx>
      <c:valAx>
        <c:axId val="83434661"/>
        <c:scaling>
          <c:orientation val="minMax"/>
        </c:scaling>
        <c:delete val="0"/>
        <c:axPos val="l"/>
        <c:title>
          <c:tx>
            <c:rich>
              <a:bodyPr rot="-540000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s-CO" sz="1000" b="1" strike="noStrike" spc="-1">
                    <a:solidFill>
                      <a:srgbClr val="000000"/>
                    </a:solidFill>
                    <a:latin typeface="Calibri"/>
                  </a:rPr>
                  <a:t>Pesos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#,##0,,\M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35575830"/>
        <c:crosses val="autoZero"/>
        <c:crossBetween val="between"/>
      </c:valAx>
      <c:catAx>
        <c:axId val="71651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33638420"/>
        <c:crosses val="autoZero"/>
        <c:auto val="1"/>
        <c:lblAlgn val="ctr"/>
        <c:lblOffset val="100"/>
        <c:noMultiLvlLbl val="0"/>
      </c:catAx>
      <c:valAx>
        <c:axId val="33638420"/>
        <c:scaling>
          <c:orientation val="minMax"/>
          <c:max val="1"/>
          <c:min val="0"/>
        </c:scaling>
        <c:delete val="0"/>
        <c:axPos val="r"/>
        <c:title>
          <c:tx>
            <c:rich>
              <a:bodyPr rot="-540000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s-CO" sz="1000" b="1" strike="noStrike" spc="-1">
                    <a:solidFill>
                      <a:srgbClr val="000000"/>
                    </a:solidFill>
                    <a:latin typeface="Calibri"/>
                  </a:rPr>
                  <a:t>% acumulado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0%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71651104"/>
        <c:crosses val="max"/>
        <c:crossBetween val="between"/>
      </c:valAx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s-CO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s-CO" sz="1800" b="1" strike="noStrike" spc="-1">
                <a:solidFill>
                  <a:srgbClr val="000000"/>
                </a:solidFill>
                <a:latin typeface="Calibri"/>
              </a:rPr>
              <a:t>Anticipo por frente de obra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Anticipo</c:v>
          </c:tx>
          <c:spPr>
            <a:solidFill>
              <a:srgbClr val="4F81BD"/>
            </a:solidFill>
            <a:ln w="9360">
              <a:solidFill>
                <a:srgbClr val="F9F9F9"/>
              </a:solidFill>
              <a:round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E86AB"/>
              </a:solidFill>
              <a:ln w="9360">
                <a:solidFill>
                  <a:srgbClr val="2E86AB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1-6435-4C3D-9A03-FF9AF8F50D3E}"/>
              </c:ext>
            </c:extLst>
          </c:dPt>
          <c:dPt>
            <c:idx val="1"/>
            <c:invertIfNegative val="0"/>
            <c:bubble3D val="0"/>
            <c:spPr>
              <a:solidFill>
                <a:srgbClr val="1D7874"/>
              </a:solidFill>
              <a:ln w="9360">
                <a:solidFill>
                  <a:srgbClr val="1D7874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3-6435-4C3D-9A03-FF9AF8F50D3E}"/>
              </c:ext>
            </c:extLst>
          </c:dPt>
          <c:dPt>
            <c:idx val="2"/>
            <c:invertIfNegative val="0"/>
            <c:bubble3D val="0"/>
            <c:spPr>
              <a:solidFill>
                <a:srgbClr val="7B5EA7"/>
              </a:solidFill>
              <a:ln w="9360">
                <a:solidFill>
                  <a:srgbClr val="7B5EA7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5-6435-4C3D-9A03-FF9AF8F50D3E}"/>
              </c:ext>
            </c:extLst>
          </c:dPt>
          <c:dPt>
            <c:idx val="3"/>
            <c:invertIfNegative val="0"/>
            <c:bubble3D val="0"/>
            <c:spPr>
              <a:solidFill>
                <a:srgbClr val="C0392B"/>
              </a:solidFill>
              <a:ln w="9360">
                <a:solidFill>
                  <a:srgbClr val="C0392B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7-6435-4C3D-9A03-FF9AF8F50D3E}"/>
              </c:ext>
            </c:extLst>
          </c:dPt>
          <c:dPt>
            <c:idx val="4"/>
            <c:invertIfNegative val="0"/>
            <c:bubble3D val="0"/>
            <c:spPr>
              <a:solidFill>
                <a:srgbClr val="E67E22"/>
              </a:solidFill>
              <a:ln w="9360">
                <a:solidFill>
                  <a:srgbClr val="E67E22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9-6435-4C3D-9A03-FF9AF8F50D3E}"/>
              </c:ext>
            </c:extLst>
          </c:dPt>
          <c:dPt>
            <c:idx val="5"/>
            <c:invertIfNegative val="0"/>
            <c:bubble3D val="0"/>
            <c:spPr>
              <a:solidFill>
                <a:srgbClr val="27AE60"/>
              </a:solidFill>
              <a:ln w="9360">
                <a:solidFill>
                  <a:srgbClr val="27AE60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B-6435-4C3D-9A03-FF9AF8F50D3E}"/>
              </c:ext>
            </c:extLst>
          </c:dPt>
          <c:dPt>
            <c:idx val="6"/>
            <c:invertIfNegative val="0"/>
            <c:bubble3D val="0"/>
            <c:spPr>
              <a:solidFill>
                <a:srgbClr val="34495E"/>
              </a:solidFill>
              <a:ln w="9360">
                <a:solidFill>
                  <a:srgbClr val="34495E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D-6435-4C3D-9A03-FF9AF8F50D3E}"/>
              </c:ext>
            </c:extLst>
          </c:dPt>
          <c:dLbls>
            <c:dLbl>
              <c:idx val="0"/>
              <c:spPr/>
              <c:txPr>
                <a:bodyPr wrap="none"/>
                <a:lstStyle/>
                <a:p>
                  <a:pPr>
                    <a:defRPr sz="1000" b="0" strike="noStrike" spc="-1">
                      <a:latin typeface="Arial"/>
                    </a:defRPr>
                  </a:pPr>
                  <a:endParaRPr lang="es-CO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6="http://schemas.microsoft.com/office/drawing/2014/chart" uri="{C3380CC4-5D6E-409C-BE32-E72D297353CC}">
                  <c16:uniqueId val="{00000001-6435-4C3D-9A03-FF9AF8F50D3E}"/>
                </c:ext>
              </c:extLst>
            </c:dLbl>
            <c:dLbl>
              <c:idx val="1"/>
              <c:spPr/>
              <c:txPr>
                <a:bodyPr wrap="none"/>
                <a:lstStyle/>
                <a:p>
                  <a:pPr>
                    <a:defRPr sz="1000" b="0" strike="noStrike" spc="-1">
                      <a:latin typeface="Arial"/>
                    </a:defRPr>
                  </a:pPr>
                  <a:endParaRPr lang="es-CO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6="http://schemas.microsoft.com/office/drawing/2014/chart" uri="{C3380CC4-5D6E-409C-BE32-E72D297353CC}">
                  <c16:uniqueId val="{00000003-6435-4C3D-9A03-FF9AF8F50D3E}"/>
                </c:ext>
              </c:extLst>
            </c:dLbl>
            <c:dLbl>
              <c:idx val="2"/>
              <c:spPr/>
              <c:txPr>
                <a:bodyPr wrap="none"/>
                <a:lstStyle/>
                <a:p>
                  <a:pPr>
                    <a:defRPr sz="1000" b="0" strike="noStrike" spc="-1">
                      <a:latin typeface="Arial"/>
                    </a:defRPr>
                  </a:pPr>
                  <a:endParaRPr lang="es-CO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6="http://schemas.microsoft.com/office/drawing/2014/chart" uri="{C3380CC4-5D6E-409C-BE32-E72D297353CC}">
                  <c16:uniqueId val="{00000005-6435-4C3D-9A03-FF9AF8F50D3E}"/>
                </c:ext>
              </c:extLst>
            </c:dLbl>
            <c:dLbl>
              <c:idx val="3"/>
              <c:spPr/>
              <c:txPr>
                <a:bodyPr wrap="none"/>
                <a:lstStyle/>
                <a:p>
                  <a:pPr>
                    <a:defRPr sz="1000" b="0" strike="noStrike" spc="-1">
                      <a:latin typeface="Arial"/>
                    </a:defRPr>
                  </a:pPr>
                  <a:endParaRPr lang="es-CO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6="http://schemas.microsoft.com/office/drawing/2014/chart" uri="{C3380CC4-5D6E-409C-BE32-E72D297353CC}">
                  <c16:uniqueId val="{00000007-6435-4C3D-9A03-FF9AF8F50D3E}"/>
                </c:ext>
              </c:extLst>
            </c:dLbl>
            <c:dLbl>
              <c:idx val="4"/>
              <c:spPr/>
              <c:txPr>
                <a:bodyPr wrap="none"/>
                <a:lstStyle/>
                <a:p>
                  <a:pPr>
                    <a:defRPr sz="1000" b="0" strike="noStrike" spc="-1">
                      <a:latin typeface="Arial"/>
                    </a:defRPr>
                  </a:pPr>
                  <a:endParaRPr lang="es-CO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6="http://schemas.microsoft.com/office/drawing/2014/chart" uri="{C3380CC4-5D6E-409C-BE32-E72D297353CC}">
                  <c16:uniqueId val="{00000009-6435-4C3D-9A03-FF9AF8F50D3E}"/>
                </c:ext>
              </c:extLst>
            </c:dLbl>
            <c:dLbl>
              <c:idx val="5"/>
              <c:spPr/>
              <c:txPr>
                <a:bodyPr wrap="none"/>
                <a:lstStyle/>
                <a:p>
                  <a:pPr>
                    <a:defRPr sz="1000" b="0" strike="noStrike" spc="-1">
                      <a:latin typeface="Arial"/>
                    </a:defRPr>
                  </a:pPr>
                  <a:endParaRPr lang="es-CO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6="http://schemas.microsoft.com/office/drawing/2014/chart" uri="{C3380CC4-5D6E-409C-BE32-E72D297353CC}">
                  <c16:uniqueId val="{0000000B-6435-4C3D-9A03-FF9AF8F50D3E}"/>
                </c:ext>
              </c:extLst>
            </c:dLbl>
            <c:dLbl>
              <c:idx val="6"/>
              <c:spPr/>
              <c:txPr>
                <a:bodyPr wrap="none"/>
                <a:lstStyle/>
                <a:p>
                  <a:pPr>
                    <a:defRPr sz="1000" b="0" strike="noStrike" spc="-1">
                      <a:latin typeface="Arial"/>
                    </a:defRPr>
                  </a:pPr>
                  <a:endParaRPr lang="es-CO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6="http://schemas.microsoft.com/office/drawing/2014/chart" uri="{C3380CC4-5D6E-409C-BE32-E72D297353CC}">
                  <c16:uniqueId val="{0000000D-6435-4C3D-9A03-FF9AF8F50D3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RESUMEN!$A$17:$A$23</c:f>
              <c:strCache>
                <c:ptCount val="7"/>
                <c:pt idx="0">
                  <c:v>ACUEDUCTO AURES</c:v>
                </c:pt>
                <c:pt idx="1">
                  <c:v>ACUEDUCTO LA PAVA</c:v>
                </c:pt>
                <c:pt idx="2">
                  <c:v>ACUEDUCTO SAN GERARDO ALTO</c:v>
                </c:pt>
                <c:pt idx="3">
                  <c:v>ACUEDUCTO LIMONES</c:v>
                </c:pt>
                <c:pt idx="4">
                  <c:v>ACUEDUCTO SAMARIA</c:v>
                </c:pt>
                <c:pt idx="5">
                  <c:v>ACUEDUCTO LAS DELICIAS</c:v>
                </c:pt>
                <c:pt idx="6">
                  <c:v>ACUEDUCTO MONTEGRANDE – SECTOR CARARE</c:v>
                </c:pt>
              </c:strCache>
            </c:strRef>
          </c:cat>
          <c:val>
            <c:numRef>
              <c:f>RESUMEN!$E$17:$E$23</c:f>
              <c:numCache>
                <c:formatCode>"$ "#,##0;[Red]"-$ "#,##0;\-</c:formatCode>
                <c:ptCount val="7"/>
                <c:pt idx="0">
                  <c:v>14792621</c:v>
                </c:pt>
                <c:pt idx="1">
                  <c:v>22809340.260624565</c:v>
                </c:pt>
                <c:pt idx="2">
                  <c:v>25257803.971871872</c:v>
                </c:pt>
                <c:pt idx="3">
                  <c:v>24354582.011665013</c:v>
                </c:pt>
                <c:pt idx="4">
                  <c:v>3000000</c:v>
                </c:pt>
                <c:pt idx="5">
                  <c:v>13670434.702652723</c:v>
                </c:pt>
                <c:pt idx="6">
                  <c:v>16115218.053185835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435-4C3D-9A03-FF9AF8F50D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1228485"/>
        <c:axId val="8703196"/>
      </c:barChart>
      <c:catAx>
        <c:axId val="3122848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8703196"/>
        <c:crosses val="autoZero"/>
        <c:auto val="1"/>
        <c:lblAlgn val="ctr"/>
        <c:lblOffset val="100"/>
        <c:noMultiLvlLbl val="0"/>
      </c:catAx>
      <c:valAx>
        <c:axId val="8703196"/>
        <c:scaling>
          <c:orientation val="minMax"/>
        </c:scaling>
        <c:delete val="0"/>
        <c:axPos val="t"/>
        <c:numFmt formatCode="#,##0,,\M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31228485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s-CO" sz="1800" b="1" strike="noStrike" spc="-1">
                <a:solidFill>
                  <a:srgbClr val="000000"/>
                </a:solidFill>
                <a:latin typeface="Calibri"/>
              </a:rPr>
              <a:t>Composición del anticipo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doughnutChart>
        <c:varyColors val="1"/>
        <c:ser>
          <c:idx val="0"/>
          <c:order val="0"/>
          <c:tx>
            <c:v>Componentes</c:v>
          </c:tx>
          <c:spPr>
            <a:solidFill>
              <a:srgbClr val="4F81BD"/>
            </a:solidFill>
            <a:ln w="0">
              <a:noFill/>
            </a:ln>
          </c:spPr>
          <c:dPt>
            <c:idx val="0"/>
            <c:bubble3D val="0"/>
            <c:spPr>
              <a:solidFill>
                <a:srgbClr val="2E86AB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6D35-41A8-A749-122862DA4BFA}"/>
              </c:ext>
            </c:extLst>
          </c:dPt>
          <c:dPt>
            <c:idx val="1"/>
            <c:bubble3D val="0"/>
            <c:spPr>
              <a:solidFill>
                <a:srgbClr val="1D7874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6D35-41A8-A749-122862DA4BFA}"/>
              </c:ext>
            </c:extLst>
          </c:dPt>
          <c:dPt>
            <c:idx val="2"/>
            <c:bubble3D val="0"/>
            <c:spPr>
              <a:solidFill>
                <a:srgbClr val="7B5EA7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5-6D35-41A8-A749-122862DA4BFA}"/>
              </c:ext>
            </c:extLst>
          </c:dPt>
          <c:dPt>
            <c:idx val="3"/>
            <c:bubble3D val="0"/>
            <c:spPr>
              <a:solidFill>
                <a:srgbClr val="E67E22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7-6D35-41A8-A749-122862DA4BFA}"/>
              </c:ext>
            </c:extLst>
          </c:dPt>
          <c:dLbls>
            <c:dLbl>
              <c:idx val="0"/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s-CO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01-6D35-41A8-A749-122862DA4BFA}"/>
                </c:ext>
              </c:extLst>
            </c:dLbl>
            <c:dLbl>
              <c:idx val="1"/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s-CO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03-6D35-41A8-A749-122862DA4BFA}"/>
                </c:ext>
              </c:extLst>
            </c:dLbl>
            <c:dLbl>
              <c:idx val="2"/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s-CO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05-6D35-41A8-A749-122862DA4BFA}"/>
                </c:ext>
              </c:extLst>
            </c:dLbl>
            <c:dLbl>
              <c:idx val="3"/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s-CO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07-6D35-41A8-A749-122862DA4BF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1"/>
            <c:showBubbleSize val="1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RESUMEN!$A$28:$A$31</c:f>
              <c:strCache>
                <c:ptCount val="4"/>
                <c:pt idx="0">
                  <c:v>MATERIALES (compra y suministro)</c:v>
                </c:pt>
                <c:pt idx="1">
                  <c:v>MANO DE OBRA (cuadrillas)</c:v>
                </c:pt>
                <c:pt idx="2">
                  <c:v>EQUIPO Y HERRAMIENTA</c:v>
                </c:pt>
                <c:pt idx="3">
                  <c:v>TRANSPORTE, ACARREOS Y BODEGAJE</c:v>
                </c:pt>
              </c:strCache>
            </c:strRef>
          </c:cat>
          <c:val>
            <c:numRef>
              <c:f>RESUMEN!$D$28:$D$31</c:f>
              <c:numCache>
                <c:formatCode>"$ "#,##0;[Red]"-$ "#,##0;\-</c:formatCode>
                <c:ptCount val="4"/>
                <c:pt idx="0">
                  <c:v>70008105.530503333</c:v>
                </c:pt>
                <c:pt idx="1">
                  <c:v>35993435.263575174</c:v>
                </c:pt>
                <c:pt idx="2">
                  <c:v>2157358.3281437131</c:v>
                </c:pt>
                <c:pt idx="3">
                  <c:v>11841100.877777787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D35-41A8-A749-122862DA4B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s-CO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s-CO" sz="1800" b="1" strike="noStrike" spc="-1">
                <a:solidFill>
                  <a:srgbClr val="000000"/>
                </a:solidFill>
                <a:latin typeface="Calibri"/>
              </a:rPr>
              <a:t>Inversión semanal y avance acumulado del anticipo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Inversión semanal ($)</c:v>
          </c:tx>
          <c:spPr>
            <a:solidFill>
              <a:srgbClr val="0B3C5D"/>
            </a:solidFill>
            <a:ln w="9360">
              <a:solidFill>
                <a:srgbClr val="0B3C5D"/>
              </a:solidFill>
              <a:round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RESUMEN!$D$35:$I$35</c:f>
              <c:strCache>
                <c:ptCount val="6"/>
                <c:pt idx="0">
                  <c:v>SEMANA 1</c:v>
                </c:pt>
                <c:pt idx="1">
                  <c:v>SEMANA 2</c:v>
                </c:pt>
                <c:pt idx="2">
                  <c:v>SEMANA 3</c:v>
                </c:pt>
                <c:pt idx="3">
                  <c:v>SEMANA 4</c:v>
                </c:pt>
                <c:pt idx="4">
                  <c:v>SEMANA 5</c:v>
                </c:pt>
                <c:pt idx="5">
                  <c:v>SEMANA 6</c:v>
                </c:pt>
              </c:strCache>
            </c:strRef>
          </c:cat>
          <c:val>
            <c:numRef>
              <c:f>RESUMEN!$D$37:$I$37</c:f>
              <c:numCache>
                <c:formatCode>"$ "#,##0;[Red]"-$ "#,##0;\-</c:formatCode>
                <c:ptCount val="6"/>
                <c:pt idx="0">
                  <c:v>9792151.796622809</c:v>
                </c:pt>
                <c:pt idx="1">
                  <c:v>21520704.284734685</c:v>
                </c:pt>
                <c:pt idx="2">
                  <c:v>18078961.777779751</c:v>
                </c:pt>
                <c:pt idx="3">
                  <c:v>12275821.315405656</c:v>
                </c:pt>
                <c:pt idx="4">
                  <c:v>29035227.030682776</c:v>
                </c:pt>
                <c:pt idx="5">
                  <c:v>29297133.794774327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AA-44B3-AC9F-84B273600D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axId val="35575830"/>
        <c:axId val="83434661"/>
      </c:barChart>
      <c:lineChart>
        <c:grouping val="standard"/>
        <c:varyColors val="0"/>
        <c:ser>
          <c:idx val="1"/>
          <c:order val="1"/>
          <c:tx>
            <c:v>% acumulado</c:v>
          </c:tx>
          <c:spPr>
            <a:ln w="32040">
              <a:solidFill>
                <a:srgbClr val="F2A541"/>
              </a:solidFill>
              <a:round/>
            </a:ln>
          </c:spPr>
          <c:marker>
            <c:symbol val="circle"/>
            <c:size val="7"/>
            <c:spPr>
              <a:solidFill>
                <a:srgbClr val="F2A541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RESUMEN!$D$35:$I$35</c:f>
              <c:strCache>
                <c:ptCount val="6"/>
                <c:pt idx="0">
                  <c:v>SEMANA 1</c:v>
                </c:pt>
                <c:pt idx="1">
                  <c:v>SEMANA 2</c:v>
                </c:pt>
                <c:pt idx="2">
                  <c:v>SEMANA 3</c:v>
                </c:pt>
                <c:pt idx="3">
                  <c:v>SEMANA 4</c:v>
                </c:pt>
                <c:pt idx="4">
                  <c:v>SEMANA 5</c:v>
                </c:pt>
                <c:pt idx="5">
                  <c:v>SEMANA 6</c:v>
                </c:pt>
              </c:strCache>
            </c:strRef>
          </c:cat>
          <c:val>
            <c:numRef>
              <c:f>RESUMEN!$D$39:$I$39</c:f>
              <c:numCache>
                <c:formatCode>0.0%</c:formatCode>
                <c:ptCount val="6"/>
                <c:pt idx="0">
                  <c:v>8.1601264971856741E-2</c:v>
                </c:pt>
                <c:pt idx="1">
                  <c:v>0.26094046734464577</c:v>
                </c:pt>
                <c:pt idx="2">
                  <c:v>0.41159848215947703</c:v>
                </c:pt>
                <c:pt idx="3">
                  <c:v>0.51389699312119086</c:v>
                </c:pt>
                <c:pt idx="4">
                  <c:v>0.75585721837688069</c:v>
                </c:pt>
                <c:pt idx="5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D2AA-44B3-AC9F-84B273600D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0">
              <a:noFill/>
            </a:ln>
          </c:spPr>
        </c:hiLowLines>
        <c:marker val="1"/>
        <c:smooth val="0"/>
        <c:axId val="71651104"/>
        <c:axId val="33638420"/>
      </c:lineChart>
      <c:catAx>
        <c:axId val="3557583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83434661"/>
        <c:crosses val="autoZero"/>
        <c:auto val="1"/>
        <c:lblAlgn val="ctr"/>
        <c:lblOffset val="100"/>
        <c:noMultiLvlLbl val="0"/>
      </c:catAx>
      <c:valAx>
        <c:axId val="83434661"/>
        <c:scaling>
          <c:orientation val="minMax"/>
        </c:scaling>
        <c:delete val="0"/>
        <c:axPos val="l"/>
        <c:title>
          <c:tx>
            <c:rich>
              <a:bodyPr rot="-540000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s-CO" sz="1000" b="1" strike="noStrike" spc="-1">
                    <a:solidFill>
                      <a:srgbClr val="000000"/>
                    </a:solidFill>
                    <a:latin typeface="Calibri"/>
                  </a:rPr>
                  <a:t>Pesos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#,##0,,\M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35575830"/>
        <c:crosses val="autoZero"/>
        <c:crossBetween val="between"/>
      </c:valAx>
      <c:catAx>
        <c:axId val="71651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33638420"/>
        <c:crosses val="autoZero"/>
        <c:auto val="1"/>
        <c:lblAlgn val="ctr"/>
        <c:lblOffset val="100"/>
        <c:noMultiLvlLbl val="0"/>
      </c:catAx>
      <c:valAx>
        <c:axId val="33638420"/>
        <c:scaling>
          <c:orientation val="minMax"/>
          <c:max val="1"/>
          <c:min val="0"/>
        </c:scaling>
        <c:delete val="0"/>
        <c:axPos val="r"/>
        <c:title>
          <c:tx>
            <c:rich>
              <a:bodyPr rot="-540000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s-CO" sz="1000" b="1" strike="noStrike" spc="-1">
                    <a:solidFill>
                      <a:srgbClr val="000000"/>
                    </a:solidFill>
                    <a:latin typeface="Calibri"/>
                  </a:rPr>
                  <a:t>% acumulado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0%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71651104"/>
        <c:crosses val="max"/>
        <c:crossBetween val="between"/>
      </c:valAx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s-CO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203200</xdr:colOff>
      <xdr:row>14</xdr:row>
      <xdr:rowOff>12700</xdr:rowOff>
    </xdr:from>
    <xdr:to>
      <xdr:col>13</xdr:col>
      <xdr:colOff>433600</xdr:colOff>
      <xdr:row>27</xdr:row>
      <xdr:rowOff>137620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165100</xdr:colOff>
      <xdr:row>44</xdr:row>
      <xdr:rowOff>80040</xdr:rowOff>
    </xdr:from>
    <xdr:to>
      <xdr:col>12</xdr:col>
      <xdr:colOff>684940</xdr:colOff>
      <xdr:row>60</xdr:row>
      <xdr:rowOff>129660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444500</xdr:colOff>
      <xdr:row>44</xdr:row>
      <xdr:rowOff>118140</xdr:rowOff>
    </xdr:from>
    <xdr:to>
      <xdr:col>5</xdr:col>
      <xdr:colOff>92460</xdr:colOff>
      <xdr:row>60</xdr:row>
      <xdr:rowOff>167760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7</xdr:col>
      <xdr:colOff>228600</xdr:colOff>
      <xdr:row>14</xdr:row>
      <xdr:rowOff>12700</xdr:rowOff>
    </xdr:from>
    <xdr:to>
      <xdr:col>13</xdr:col>
      <xdr:colOff>459000</xdr:colOff>
      <xdr:row>27</xdr:row>
      <xdr:rowOff>137620</xdr:rowOff>
    </xdr:to>
    <xdr:graphicFrame macro="">
      <xdr:nvGraphicFramePr>
        <xdr:cNvPr id="5" name="Chart 1">
          <a:extLst>
            <a:ext uri="{FF2B5EF4-FFF2-40B4-BE49-F238E27FC236}">
              <a16:creationId xmlns:a16="http://schemas.microsoft.com/office/drawing/2014/main" id="{5C6DF637-D641-2470-D033-D64C0E13FA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673100</xdr:colOff>
      <xdr:row>60</xdr:row>
      <xdr:rowOff>63500</xdr:rowOff>
    </xdr:from>
    <xdr:to>
      <xdr:col>3</xdr:col>
      <xdr:colOff>234619</xdr:colOff>
      <xdr:row>65</xdr:row>
      <xdr:rowOff>174457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C601D4E-F04C-716B-2375-2FD2A93DD7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100" y="12801600"/>
          <a:ext cx="2647619" cy="13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B3C5D"/>
    <pageSetUpPr fitToPage="1"/>
  </sheetPr>
  <dimension ref="A1:M67"/>
  <sheetViews>
    <sheetView showGridLines="0" tabSelected="1" zoomScale="90" zoomScaleNormal="90" workbookViewId="0">
      <selection activeCell="F6" sqref="F6"/>
    </sheetView>
  </sheetViews>
  <sheetFormatPr baseColWidth="10" defaultColWidth="8.6640625" defaultRowHeight="14.4" x14ac:dyDescent="0.3"/>
  <cols>
    <col min="1" max="3" width="15" customWidth="1"/>
    <col min="4" max="5" width="16" customWidth="1"/>
    <col min="6" max="7" width="14" customWidth="1"/>
    <col min="8" max="9" width="13" customWidth="1"/>
    <col min="10" max="10" width="16" customWidth="1"/>
    <col min="11" max="13" width="13" customWidth="1"/>
  </cols>
  <sheetData>
    <row r="1" spans="1:13" ht="43.5" customHeight="1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24" customHeight="1" x14ac:dyDescent="0.3">
      <c r="A2" s="13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ht="19.5" customHeight="1" x14ac:dyDescent="0.3">
      <c r="A3" s="1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5" spans="1:13" ht="15" customHeight="1" x14ac:dyDescent="0.4">
      <c r="A5" s="15" t="s">
        <v>3</v>
      </c>
      <c r="H5" s="11" t="s">
        <v>4</v>
      </c>
      <c r="I5" s="11"/>
      <c r="J5" s="11"/>
      <c r="K5" s="10" t="s">
        <v>5</v>
      </c>
      <c r="L5" s="10"/>
      <c r="M5" s="10"/>
    </row>
    <row r="6" spans="1:13" ht="18.75" customHeight="1" x14ac:dyDescent="0.3">
      <c r="A6" s="9" t="s">
        <v>6</v>
      </c>
      <c r="B6" s="9"/>
      <c r="C6" s="9"/>
      <c r="D6" s="8">
        <f>VR_CONTRATO</f>
        <v>239997531</v>
      </c>
      <c r="E6" s="8"/>
      <c r="H6" s="7">
        <f>ANTICIPO_INVERTIDO</f>
        <v>120000000</v>
      </c>
      <c r="I6" s="7"/>
      <c r="J6" s="7"/>
      <c r="K6" s="6">
        <f>ANTICIPO_INVERTIDO/ANTICIPO</f>
        <v>1</v>
      </c>
      <c r="L6" s="6"/>
      <c r="M6" s="6"/>
    </row>
    <row r="7" spans="1:13" ht="18.75" customHeight="1" x14ac:dyDescent="0.3">
      <c r="A7" s="9" t="s">
        <v>7</v>
      </c>
      <c r="B7" s="9"/>
      <c r="C7" s="9"/>
      <c r="D7" s="5">
        <v>120000000</v>
      </c>
      <c r="E7" s="5"/>
      <c r="H7" s="7"/>
      <c r="I7" s="7"/>
      <c r="J7" s="7"/>
      <c r="K7" s="6"/>
      <c r="L7" s="6"/>
      <c r="M7" s="6"/>
    </row>
    <row r="8" spans="1:13" ht="18.75" customHeight="1" x14ac:dyDescent="0.3">
      <c r="A8" s="9" t="s">
        <v>8</v>
      </c>
      <c r="B8" s="9"/>
      <c r="C8" s="9"/>
      <c r="D8" s="4">
        <f>ANTICIPO/VR_CONTRATO</f>
        <v>0.50000514380291683</v>
      </c>
      <c r="E8" s="4"/>
    </row>
    <row r="9" spans="1:13" ht="18.75" customHeight="1" x14ac:dyDescent="0.3">
      <c r="A9" s="9" t="s">
        <v>9</v>
      </c>
      <c r="B9" s="9"/>
      <c r="C9" s="9"/>
      <c r="D9" s="8">
        <f>CD_TOTAL</f>
        <v>177775949</v>
      </c>
      <c r="E9" s="8"/>
      <c r="H9" s="3" t="s">
        <v>10</v>
      </c>
      <c r="I9" s="3"/>
      <c r="J9" s="3"/>
      <c r="K9" s="2" t="s">
        <v>11</v>
      </c>
      <c r="L9" s="2"/>
      <c r="M9" s="2"/>
    </row>
    <row r="10" spans="1:13" ht="18.75" customHeight="1" x14ac:dyDescent="0.3">
      <c r="A10" s="9" t="s">
        <v>12</v>
      </c>
      <c r="B10" s="9"/>
      <c r="C10" s="9"/>
      <c r="D10" s="1">
        <v>46295</v>
      </c>
      <c r="E10" s="1"/>
      <c r="H10" s="145">
        <f>ANTICIPO_INVERTIDO/CD_TOTAL</f>
        <v>0.67500694371205405</v>
      </c>
      <c r="I10" s="145"/>
      <c r="J10" s="145"/>
      <c r="K10" s="146" t="str">
        <f>"7 · "&amp;COUNTA('BASE PRESUPUESTO'!C5:C97)&amp;" · 6"</f>
        <v>7 · 93 · 6</v>
      </c>
      <c r="L10" s="146"/>
      <c r="M10" s="146"/>
    </row>
    <row r="11" spans="1:13" ht="18.75" customHeight="1" x14ac:dyDescent="0.3">
      <c r="A11" s="9" t="s">
        <v>13</v>
      </c>
      <c r="B11" s="9"/>
      <c r="C11" s="9"/>
      <c r="D11" s="147">
        <f>F_INICIO+7*6-1</f>
        <v>46336</v>
      </c>
      <c r="E11" s="147"/>
      <c r="H11" s="145"/>
      <c r="I11" s="145"/>
      <c r="J11" s="145"/>
      <c r="K11" s="146"/>
      <c r="L11" s="146"/>
      <c r="M11" s="146"/>
    </row>
    <row r="12" spans="1:13" ht="18.75" customHeight="1" x14ac:dyDescent="0.3">
      <c r="A12" s="9" t="s">
        <v>14</v>
      </c>
      <c r="B12" s="9"/>
      <c r="C12" s="9"/>
      <c r="D12" s="1">
        <v>46384</v>
      </c>
      <c r="E12" s="1"/>
    </row>
    <row r="13" spans="1:13" x14ac:dyDescent="0.3">
      <c r="A13" s="16" t="s">
        <v>15</v>
      </c>
    </row>
    <row r="15" spans="1:13" ht="16.8" x14ac:dyDescent="0.4">
      <c r="A15" s="15" t="s">
        <v>16</v>
      </c>
    </row>
    <row r="16" spans="1:13" ht="30" customHeight="1" x14ac:dyDescent="0.3">
      <c r="A16" s="148" t="s">
        <v>17</v>
      </c>
      <c r="B16" s="148"/>
      <c r="C16" s="148"/>
      <c r="D16" s="17" t="s">
        <v>18</v>
      </c>
      <c r="E16" s="17" t="s">
        <v>19</v>
      </c>
      <c r="F16" s="17" t="s">
        <v>20</v>
      </c>
      <c r="G16" s="17" t="s">
        <v>21</v>
      </c>
    </row>
    <row r="17" spans="1:7" ht="18.75" customHeight="1" x14ac:dyDescent="0.3">
      <c r="A17" s="149" t="s">
        <v>22</v>
      </c>
      <c r="B17" s="149"/>
      <c r="C17" s="149"/>
      <c r="D17" s="18">
        <f>'DETALLE POR ÍTEM'!E18</f>
        <v>14792621</v>
      </c>
      <c r="E17" s="19">
        <f>'DETALLE POR ÍTEM'!L18</f>
        <v>14792621</v>
      </c>
      <c r="F17" s="20">
        <f t="shared" ref="F17:F24" si="0">IF(D17=0,0,E17/D17)</f>
        <v>1</v>
      </c>
      <c r="G17" s="21">
        <f t="shared" ref="G17:G23" si="1">IF(ANTICIPO=0,0,E17/ANTICIPO)</f>
        <v>0.12327184166666667</v>
      </c>
    </row>
    <row r="18" spans="1:7" ht="18.75" customHeight="1" x14ac:dyDescent="0.3">
      <c r="A18" s="150" t="s">
        <v>23</v>
      </c>
      <c r="B18" s="150"/>
      <c r="C18" s="150"/>
      <c r="D18" s="18">
        <f>'DETALLE POR ÍTEM'!E43</f>
        <v>27956091</v>
      </c>
      <c r="E18" s="19">
        <f>'DETALLE POR ÍTEM'!L43</f>
        <v>22809340.260624565</v>
      </c>
      <c r="F18" s="20">
        <f t="shared" si="0"/>
        <v>0.81589876998985889</v>
      </c>
      <c r="G18" s="21">
        <f t="shared" si="1"/>
        <v>0.19007783550520471</v>
      </c>
    </row>
    <row r="19" spans="1:7" ht="18.75" customHeight="1" x14ac:dyDescent="0.3">
      <c r="A19" s="151" t="s">
        <v>24</v>
      </c>
      <c r="B19" s="151"/>
      <c r="C19" s="151"/>
      <c r="D19" s="18">
        <f>'DETALLE POR ÍTEM'!E69</f>
        <v>34830919</v>
      </c>
      <c r="E19" s="19">
        <f>'DETALLE POR ÍTEM'!L69</f>
        <v>25257803.971871872</v>
      </c>
      <c r="F19" s="20">
        <f t="shared" si="0"/>
        <v>0.72515468144472073</v>
      </c>
      <c r="G19" s="21">
        <f t="shared" si="1"/>
        <v>0.21048169976559894</v>
      </c>
    </row>
    <row r="20" spans="1:7" ht="18.75" customHeight="1" x14ac:dyDescent="0.3">
      <c r="A20" s="152" t="s">
        <v>25</v>
      </c>
      <c r="B20" s="152"/>
      <c r="C20" s="152"/>
      <c r="D20" s="18">
        <f>'DETALLE POR ÍTEM'!E92</f>
        <v>45479541</v>
      </c>
      <c r="E20" s="19">
        <f>'DETALLE POR ÍTEM'!L92</f>
        <v>24354582.011665013</v>
      </c>
      <c r="F20" s="20">
        <f t="shared" si="0"/>
        <v>0.53550632825570976</v>
      </c>
      <c r="G20" s="21">
        <f t="shared" si="1"/>
        <v>0.20295485009720843</v>
      </c>
    </row>
    <row r="21" spans="1:7" ht="18.75" customHeight="1" x14ac:dyDescent="0.3">
      <c r="A21" s="153" t="s">
        <v>26</v>
      </c>
      <c r="B21" s="153"/>
      <c r="C21" s="153"/>
      <c r="D21" s="18">
        <f>'DETALLE POR ÍTEM'!E96</f>
        <v>3000000</v>
      </c>
      <c r="E21" s="19">
        <f>'DETALLE POR ÍTEM'!L96</f>
        <v>3000000</v>
      </c>
      <c r="F21" s="20">
        <f t="shared" si="0"/>
        <v>1</v>
      </c>
      <c r="G21" s="21">
        <f t="shared" si="1"/>
        <v>2.5000000000000001E-2</v>
      </c>
    </row>
    <row r="22" spans="1:7" ht="18.75" customHeight="1" x14ac:dyDescent="0.3">
      <c r="A22" s="154" t="s">
        <v>27</v>
      </c>
      <c r="B22" s="154"/>
      <c r="C22" s="154"/>
      <c r="D22" s="18">
        <f>'DETALLE POR ÍTEM'!E114</f>
        <v>28423103</v>
      </c>
      <c r="E22" s="19">
        <f>'DETALLE POR ÍTEM'!L114</f>
        <v>13670434.702652723</v>
      </c>
      <c r="F22" s="20">
        <f t="shared" si="0"/>
        <v>0.4809620787235202</v>
      </c>
      <c r="G22" s="21">
        <f t="shared" si="1"/>
        <v>0.11392028918877269</v>
      </c>
    </row>
    <row r="23" spans="1:7" ht="18.75" customHeight="1" x14ac:dyDescent="0.3">
      <c r="A23" s="155" t="s">
        <v>28</v>
      </c>
      <c r="B23" s="155"/>
      <c r="C23" s="155"/>
      <c r="D23" s="18">
        <f>'DETALLE POR ÍTEM'!E118</f>
        <v>23293674</v>
      </c>
      <c r="E23" s="19">
        <f>'DETALLE POR ÍTEM'!L118</f>
        <v>16115218.053185835</v>
      </c>
      <c r="F23" s="20">
        <f t="shared" si="0"/>
        <v>0.69182809260513545</v>
      </c>
      <c r="G23" s="21">
        <f t="shared" si="1"/>
        <v>0.13429348377654862</v>
      </c>
    </row>
    <row r="24" spans="1:7" ht="15" x14ac:dyDescent="0.3">
      <c r="A24" s="156" t="s">
        <v>29</v>
      </c>
      <c r="B24" s="156"/>
      <c r="C24" s="156"/>
      <c r="D24" s="22">
        <f>SUM(D17:D23)</f>
        <v>177775949</v>
      </c>
      <c r="E24" s="22">
        <f>SUM(E17:E23)</f>
        <v>120000000.00000001</v>
      </c>
      <c r="F24" s="23">
        <f t="shared" si="0"/>
        <v>0.67500694371205416</v>
      </c>
      <c r="G24" s="24">
        <f>SUM(G17:G23)</f>
        <v>1.0000000000000002</v>
      </c>
    </row>
    <row r="26" spans="1:7" ht="16.8" x14ac:dyDescent="0.4">
      <c r="A26" s="15" t="s">
        <v>30</v>
      </c>
    </row>
    <row r="27" spans="1:7" ht="24" customHeight="1" x14ac:dyDescent="0.3">
      <c r="A27" s="148" t="s">
        <v>31</v>
      </c>
      <c r="B27" s="148"/>
      <c r="C27" s="148"/>
      <c r="D27" s="17" t="s">
        <v>32</v>
      </c>
      <c r="E27" s="17" t="s">
        <v>21</v>
      </c>
    </row>
    <row r="28" spans="1:7" x14ac:dyDescent="0.3">
      <c r="A28" s="149" t="s">
        <v>33</v>
      </c>
      <c r="B28" s="149"/>
      <c r="C28" s="149"/>
      <c r="D28" s="18">
        <f>'PLAN SEMANAL'!H22</f>
        <v>70008105.530503333</v>
      </c>
      <c r="E28" s="21">
        <f>IF(ANTICIPO=0,0,D28/ANTICIPO)</f>
        <v>0.58340087942086105</v>
      </c>
    </row>
    <row r="29" spans="1:7" x14ac:dyDescent="0.3">
      <c r="A29" s="150" t="s">
        <v>34</v>
      </c>
      <c r="B29" s="150"/>
      <c r="C29" s="150"/>
      <c r="D29" s="18">
        <f>'PLAN SEMANAL'!H23</f>
        <v>35993435.263575174</v>
      </c>
      <c r="E29" s="21">
        <f>IF(ANTICIPO=0,0,D29/ANTICIPO)</f>
        <v>0.29994529386312646</v>
      </c>
    </row>
    <row r="30" spans="1:7" x14ac:dyDescent="0.3">
      <c r="A30" s="151" t="s">
        <v>35</v>
      </c>
      <c r="B30" s="151"/>
      <c r="C30" s="151"/>
      <c r="D30" s="18">
        <f>'PLAN SEMANAL'!H24</f>
        <v>2157358.3281437131</v>
      </c>
      <c r="E30" s="21">
        <f>IF(ANTICIPO=0,0,D30/ANTICIPO)</f>
        <v>1.7977986067864275E-2</v>
      </c>
    </row>
    <row r="31" spans="1:7" x14ac:dyDescent="0.3">
      <c r="A31" s="153" t="s">
        <v>36</v>
      </c>
      <c r="B31" s="153"/>
      <c r="C31" s="153"/>
      <c r="D31" s="18">
        <f>'PLAN SEMANAL'!H25</f>
        <v>11841100.877777787</v>
      </c>
      <c r="E31" s="21">
        <f>IF(ANTICIPO=0,0,D31/ANTICIPO)</f>
        <v>9.867584064814823E-2</v>
      </c>
    </row>
    <row r="32" spans="1:7" ht="15" x14ac:dyDescent="0.3">
      <c r="A32" s="156" t="s">
        <v>29</v>
      </c>
      <c r="B32" s="156"/>
      <c r="C32" s="156"/>
      <c r="D32" s="22">
        <f>SUM(D28:D31)</f>
        <v>120000000</v>
      </c>
      <c r="E32" s="24">
        <f>SUM(E28:E31)</f>
        <v>1</v>
      </c>
    </row>
    <row r="34" spans="1:10" ht="16.8" x14ac:dyDescent="0.4">
      <c r="A34" s="15" t="s">
        <v>37</v>
      </c>
    </row>
    <row r="35" spans="1:10" ht="21.75" customHeight="1" x14ac:dyDescent="0.3">
      <c r="A35" s="148" t="s">
        <v>38</v>
      </c>
      <c r="B35" s="148"/>
      <c r="C35" s="148"/>
      <c r="D35" s="25" t="s">
        <v>39</v>
      </c>
      <c r="E35" s="25" t="s">
        <v>40</v>
      </c>
      <c r="F35" s="25" t="s">
        <v>41</v>
      </c>
      <c r="G35" s="25" t="s">
        <v>42</v>
      </c>
      <c r="H35" s="25" t="s">
        <v>43</v>
      </c>
      <c r="I35" s="25" t="s">
        <v>44</v>
      </c>
      <c r="J35" s="17" t="s">
        <v>29</v>
      </c>
    </row>
    <row r="36" spans="1:10" x14ac:dyDescent="0.3">
      <c r="A36" s="157" t="s">
        <v>45</v>
      </c>
      <c r="B36" s="157"/>
      <c r="C36" s="157"/>
      <c r="D36" s="26">
        <f>F_INICIO+7*0</f>
        <v>46295</v>
      </c>
      <c r="E36" s="26">
        <f>F_INICIO+7*1</f>
        <v>46302</v>
      </c>
      <c r="F36" s="26">
        <f>F_INICIO+7*2</f>
        <v>46309</v>
      </c>
      <c r="G36" s="26">
        <f>F_INICIO+7*3</f>
        <v>46316</v>
      </c>
      <c r="H36" s="26">
        <f>F_INICIO+7*4</f>
        <v>46323</v>
      </c>
      <c r="I36" s="26">
        <f>F_INICIO+7*5</f>
        <v>46330</v>
      </c>
      <c r="J36" s="27"/>
    </row>
    <row r="37" spans="1:10" x14ac:dyDescent="0.3">
      <c r="A37" s="157" t="s">
        <v>46</v>
      </c>
      <c r="B37" s="157"/>
      <c r="C37" s="157"/>
      <c r="D37" s="28">
        <f>'PLAN SEMANAL'!B14</f>
        <v>9792151.796622809</v>
      </c>
      <c r="E37" s="28">
        <f>'PLAN SEMANAL'!C14</f>
        <v>21520704.284734685</v>
      </c>
      <c r="F37" s="28">
        <f>'PLAN SEMANAL'!D14</f>
        <v>18078961.777779751</v>
      </c>
      <c r="G37" s="28">
        <f>'PLAN SEMANAL'!E14</f>
        <v>12275821.315405656</v>
      </c>
      <c r="H37" s="28">
        <f>'PLAN SEMANAL'!F14</f>
        <v>29035227.030682776</v>
      </c>
      <c r="I37" s="28">
        <f>'PLAN SEMANAL'!G14</f>
        <v>29297133.794774327</v>
      </c>
      <c r="J37" s="29">
        <f>SUM(D37:I37)</f>
        <v>120000000</v>
      </c>
    </row>
    <row r="38" spans="1:10" x14ac:dyDescent="0.3">
      <c r="A38" s="157" t="s">
        <v>47</v>
      </c>
      <c r="B38" s="157"/>
      <c r="C38" s="157"/>
      <c r="D38" s="30">
        <f>'PLAN SEMANAL'!B16</f>
        <v>9792151.796622809</v>
      </c>
      <c r="E38" s="30">
        <f>'PLAN SEMANAL'!C16</f>
        <v>31312856.081357494</v>
      </c>
      <c r="F38" s="30">
        <f>'PLAN SEMANAL'!D16</f>
        <v>49391817.859137245</v>
      </c>
      <c r="G38" s="30">
        <f>'PLAN SEMANAL'!E16</f>
        <v>61667639.174542904</v>
      </c>
      <c r="H38" s="30">
        <f>'PLAN SEMANAL'!F16</f>
        <v>90702866.205225676</v>
      </c>
      <c r="I38" s="30">
        <f>'PLAN SEMANAL'!G16</f>
        <v>120000000</v>
      </c>
      <c r="J38" s="27"/>
    </row>
    <row r="39" spans="1:10" x14ac:dyDescent="0.3">
      <c r="A39" s="157" t="s">
        <v>48</v>
      </c>
      <c r="B39" s="157"/>
      <c r="C39" s="157"/>
      <c r="D39" s="31">
        <f>'PLAN SEMANAL'!B17</f>
        <v>8.1601264971856741E-2</v>
      </c>
      <c r="E39" s="31">
        <f>'PLAN SEMANAL'!C17</f>
        <v>0.26094046734464577</v>
      </c>
      <c r="F39" s="31">
        <f>'PLAN SEMANAL'!D17</f>
        <v>0.41159848215947703</v>
      </c>
      <c r="G39" s="31">
        <f>'PLAN SEMANAL'!E17</f>
        <v>0.51389699312119086</v>
      </c>
      <c r="H39" s="31">
        <f>'PLAN SEMANAL'!F17</f>
        <v>0.75585721837688069</v>
      </c>
      <c r="I39" s="31">
        <f>'PLAN SEMANAL'!G17</f>
        <v>1</v>
      </c>
      <c r="J39" s="27"/>
    </row>
    <row r="40" spans="1:10" x14ac:dyDescent="0.3">
      <c r="A40" s="198"/>
      <c r="B40" s="198"/>
      <c r="C40" s="198"/>
      <c r="D40" s="199"/>
      <c r="E40" s="199"/>
      <c r="F40" s="199"/>
      <c r="G40" s="199"/>
      <c r="H40" s="199"/>
      <c r="I40" s="199"/>
      <c r="J40" s="200"/>
    </row>
    <row r="41" spans="1:10" x14ac:dyDescent="0.3">
      <c r="A41" s="198"/>
      <c r="B41" s="198"/>
      <c r="C41" s="198"/>
      <c r="D41" s="199"/>
      <c r="E41" s="199"/>
      <c r="F41" s="199"/>
      <c r="G41" s="199"/>
      <c r="H41" s="199"/>
      <c r="I41" s="199"/>
      <c r="J41" s="200"/>
    </row>
    <row r="42" spans="1:10" ht="16.8" x14ac:dyDescent="0.4">
      <c r="A42" s="15" t="s">
        <v>49</v>
      </c>
    </row>
    <row r="64" ht="39.75" customHeight="1" x14ac:dyDescent="0.3"/>
    <row r="65" spans="1:13" ht="15" customHeight="1" x14ac:dyDescent="0.3">
      <c r="A65" s="158" t="s">
        <v>50</v>
      </c>
      <c r="B65" s="158"/>
      <c r="C65" s="158"/>
      <c r="D65" s="158"/>
      <c r="F65" s="158"/>
      <c r="G65" s="158"/>
      <c r="H65" s="158"/>
      <c r="J65" s="158" t="s">
        <v>51</v>
      </c>
      <c r="K65" s="158"/>
      <c r="L65" s="158"/>
      <c r="M65" s="158"/>
    </row>
    <row r="66" spans="1:13" ht="15" customHeight="1" x14ac:dyDescent="0.3">
      <c r="A66" s="159" t="s">
        <v>52</v>
      </c>
      <c r="B66" s="159"/>
      <c r="C66" s="159"/>
      <c r="D66" s="159"/>
      <c r="F66" s="159"/>
      <c r="G66" s="159"/>
      <c r="H66" s="159"/>
      <c r="J66" s="159" t="s">
        <v>53</v>
      </c>
      <c r="K66" s="159"/>
      <c r="L66" s="159"/>
      <c r="M66" s="159"/>
    </row>
    <row r="67" spans="1:13" ht="15" customHeight="1" x14ac:dyDescent="0.3">
      <c r="A67" s="160" t="s">
        <v>54</v>
      </c>
      <c r="B67" s="160"/>
      <c r="C67" s="160"/>
      <c r="D67" s="160"/>
      <c r="F67" s="160"/>
      <c r="G67" s="160"/>
      <c r="H67" s="160"/>
      <c r="J67" s="160" t="s">
        <v>55</v>
      </c>
      <c r="K67" s="160"/>
      <c r="L67" s="160"/>
      <c r="M67" s="160"/>
    </row>
  </sheetData>
  <mergeCells count="54">
    <mergeCell ref="A66:D66"/>
    <mergeCell ref="F66:H66"/>
    <mergeCell ref="J66:M66"/>
    <mergeCell ref="A67:D67"/>
    <mergeCell ref="F67:H67"/>
    <mergeCell ref="J67:M67"/>
    <mergeCell ref="A38:C38"/>
    <mergeCell ref="A39:C39"/>
    <mergeCell ref="A65:D65"/>
    <mergeCell ref="F65:H65"/>
    <mergeCell ref="J65:M65"/>
    <mergeCell ref="A31:C31"/>
    <mergeCell ref="A32:C32"/>
    <mergeCell ref="A35:C35"/>
    <mergeCell ref="A36:C36"/>
    <mergeCell ref="A37:C37"/>
    <mergeCell ref="A24:C24"/>
    <mergeCell ref="A27:C27"/>
    <mergeCell ref="A28:C28"/>
    <mergeCell ref="A29:C29"/>
    <mergeCell ref="A30:C30"/>
    <mergeCell ref="A19:C19"/>
    <mergeCell ref="A20:C20"/>
    <mergeCell ref="A21:C21"/>
    <mergeCell ref="A22:C22"/>
    <mergeCell ref="A23:C23"/>
    <mergeCell ref="A12:C12"/>
    <mergeCell ref="D12:E12"/>
    <mergeCell ref="A16:C16"/>
    <mergeCell ref="A17:C17"/>
    <mergeCell ref="A18:C18"/>
    <mergeCell ref="K9:M9"/>
    <mergeCell ref="A10:C10"/>
    <mergeCell ref="D10:E10"/>
    <mergeCell ref="H10:J11"/>
    <mergeCell ref="K10:M11"/>
    <mergeCell ref="A11:C11"/>
    <mergeCell ref="D11:E11"/>
    <mergeCell ref="A8:C8"/>
    <mergeCell ref="D8:E8"/>
    <mergeCell ref="A9:C9"/>
    <mergeCell ref="D9:E9"/>
    <mergeCell ref="H9:J9"/>
    <mergeCell ref="A6:C6"/>
    <mergeCell ref="D6:E6"/>
    <mergeCell ref="H6:J7"/>
    <mergeCell ref="K6:M7"/>
    <mergeCell ref="A7:C7"/>
    <mergeCell ref="D7:E7"/>
    <mergeCell ref="A1:M1"/>
    <mergeCell ref="A2:M2"/>
    <mergeCell ref="A3:M3"/>
    <mergeCell ref="H5:J5"/>
    <mergeCell ref="K5:M5"/>
  </mergeCells>
  <conditionalFormatting sqref="F17:F23">
    <cfRule type="dataBar" priority="2">
      <dataBar>
        <cfvo type="num" val="0"/>
        <cfvo type="num" val="1"/>
        <color rgb="FF4FB0C6"/>
      </dataBar>
      <extLst>
        <ext xmlns:x14="http://schemas.microsoft.com/office/spreadsheetml/2009/9/main" uri="{B025F937-C7B1-47D3-B67F-A62EFF666E3E}">
          <x14:id>{DFFB16AE-6A91-446A-818F-68BB52DA4B40}</x14:id>
        </ext>
      </extLst>
    </cfRule>
  </conditionalFormatting>
  <printOptions horizontalCentered="1"/>
  <pageMargins left="0.4" right="0.4" top="0.5" bottom="0.5" header="0.511811023622047" footer="0.5"/>
  <pageSetup scale="66" fitToHeight="0" orientation="landscape" horizontalDpi="300" verticalDpi="300" r:id="rId1"/>
  <headerFooter>
    <oddFooter>&amp;C&amp;8 Plan de Inversión del Anticipo – Contrato de Obra No. 233 de 2026 – Página &amp;P de &amp;N</oddFooter>
  </headerFooter>
  <rowBreaks count="1" manualBreakCount="1">
    <brk id="43" max="13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FB16AE-6A91-446A-818F-68BB52DA4B40}">
            <x14:dataBar axisPosition="none">
              <x14:cfvo type="num">
                <xm:f>0</xm:f>
              </x14:cfvo>
              <x14:cfvo type="num">
                <xm:f>1</xm:f>
              </x14:cfvo>
              <x14:negativeFillColor rgb="FF4FB0C6"/>
            </x14:dataBar>
          </x14:cfRule>
          <xm:sqref>F17:F23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1D7874"/>
    <pageSetUpPr fitToPage="1"/>
  </sheetPr>
  <dimension ref="A1:J36"/>
  <sheetViews>
    <sheetView showGridLines="0" view="pageBreakPreview" topLeftCell="A7" zoomScale="60" zoomScaleNormal="90" workbookViewId="0">
      <selection sqref="A1:J1"/>
    </sheetView>
  </sheetViews>
  <sheetFormatPr baseColWidth="10" defaultColWidth="8.6640625" defaultRowHeight="14.4" x14ac:dyDescent="0.3"/>
  <cols>
    <col min="1" max="1" width="42" customWidth="1"/>
    <col min="2" max="7" width="16" customWidth="1"/>
    <col min="8" max="8" width="18" customWidth="1"/>
    <col min="9" max="9" width="12" customWidth="1"/>
    <col min="10" max="10" width="3" customWidth="1"/>
  </cols>
  <sheetData>
    <row r="1" spans="1:10" ht="36" customHeight="1" x14ac:dyDescent="0.3">
      <c r="A1" s="161" t="s">
        <v>56</v>
      </c>
      <c r="B1" s="161"/>
      <c r="C1" s="161"/>
      <c r="D1" s="161"/>
      <c r="E1" s="161"/>
      <c r="F1" s="161"/>
      <c r="G1" s="161"/>
      <c r="H1" s="161"/>
      <c r="I1" s="161"/>
      <c r="J1" s="161"/>
    </row>
    <row r="2" spans="1:10" ht="21.75" customHeight="1" x14ac:dyDescent="0.3">
      <c r="A2" s="162" t="s">
        <v>57</v>
      </c>
      <c r="B2" s="162"/>
      <c r="C2" s="162"/>
      <c r="D2" s="162"/>
      <c r="E2" s="162"/>
      <c r="F2" s="162"/>
      <c r="G2" s="162"/>
      <c r="H2" s="162"/>
      <c r="I2" s="162"/>
      <c r="J2" s="162"/>
    </row>
    <row r="4" spans="1:10" ht="16.2" x14ac:dyDescent="0.35">
      <c r="A4" s="32" t="s">
        <v>58</v>
      </c>
    </row>
    <row r="5" spans="1:10" ht="21.75" customHeight="1" x14ac:dyDescent="0.3">
      <c r="A5" s="148" t="s">
        <v>59</v>
      </c>
      <c r="B5" s="25" t="s">
        <v>39</v>
      </c>
      <c r="C5" s="25" t="s">
        <v>40</v>
      </c>
      <c r="D5" s="25" t="s">
        <v>41</v>
      </c>
      <c r="E5" s="25" t="s">
        <v>42</v>
      </c>
      <c r="F5" s="25" t="s">
        <v>43</v>
      </c>
      <c r="G5" s="25" t="s">
        <v>44</v>
      </c>
      <c r="H5" s="148" t="s">
        <v>29</v>
      </c>
      <c r="I5" s="148" t="s">
        <v>60</v>
      </c>
    </row>
    <row r="6" spans="1:10" x14ac:dyDescent="0.3">
      <c r="A6" s="148"/>
      <c r="B6" s="33">
        <f>F_INICIO+7*0</f>
        <v>46295</v>
      </c>
      <c r="C6" s="33">
        <f>F_INICIO+7*1</f>
        <v>46302</v>
      </c>
      <c r="D6" s="33">
        <f>F_INICIO+7*2</f>
        <v>46309</v>
      </c>
      <c r="E6" s="33">
        <f>F_INICIO+7*3</f>
        <v>46316</v>
      </c>
      <c r="F6" s="33">
        <f>F_INICIO+7*4</f>
        <v>46323</v>
      </c>
      <c r="G6" s="33">
        <f>F_INICIO+7*5</f>
        <v>46330</v>
      </c>
      <c r="H6" s="148"/>
      <c r="I6" s="148"/>
    </row>
    <row r="7" spans="1:10" ht="19.5" customHeight="1" x14ac:dyDescent="0.3">
      <c r="A7" s="34" t="s">
        <v>22</v>
      </c>
      <c r="B7" s="35">
        <f>SUMIF('DETALLE POR ÍTEM'!$S$6:$S$118,$A7,'DETALLE POR ÍTEM'!F$6:F$118)</f>
        <v>7206147.9653776558</v>
      </c>
      <c r="C7" s="35">
        <f>SUMIF('DETALLE POR ÍTEM'!$S$6:$S$118,$A7,'DETALLE POR ÍTEM'!G$6:G$118)</f>
        <v>4904988.8053868013</v>
      </c>
      <c r="D7" s="35">
        <f>SUMIF('DETALLE POR ÍTEM'!$S$6:$S$118,$A7,'DETALLE POR ÍTEM'!H$6:H$118)</f>
        <v>2241266.1809053593</v>
      </c>
      <c r="E7" s="35">
        <f>SUMIF('DETALLE POR ÍTEM'!$S$6:$S$118,$A7,'DETALLE POR ÍTEM'!I$6:I$118)</f>
        <v>440218.04833018203</v>
      </c>
      <c r="F7" s="35">
        <f>SUMIF('DETALLE POR ÍTEM'!$S$6:$S$118,$A7,'DETALLE POR ÍTEM'!J$6:J$118)</f>
        <v>0</v>
      </c>
      <c r="G7" s="35">
        <f>SUMIF('DETALLE POR ÍTEM'!$S$6:$S$118,$A7,'DETALLE POR ÍTEM'!K$6:K$118)</f>
        <v>0</v>
      </c>
      <c r="H7" s="36">
        <f t="shared" ref="H7:H13" si="0">SUM(B7:G7)</f>
        <v>14792620.999999998</v>
      </c>
      <c r="I7" s="37">
        <f t="shared" ref="I7:I14" si="1">IF(ANTICIPO=0,0,H7/ANTICIPO)</f>
        <v>0.12327184166666665</v>
      </c>
    </row>
    <row r="8" spans="1:10" ht="19.5" customHeight="1" x14ac:dyDescent="0.3">
      <c r="A8" s="38" t="s">
        <v>23</v>
      </c>
      <c r="B8" s="39">
        <f>SUMIF('DETALLE POR ÍTEM'!$S$6:$S$118,$A8,'DETALLE POR ÍTEM'!F$6:F$118)</f>
        <v>12990.031245154065</v>
      </c>
      <c r="C8" s="39">
        <f>SUMIF('DETALLE POR ÍTEM'!$S$6:$S$118,$A8,'DETALLE POR ÍTEM'!G$6:G$118)</f>
        <v>2808859.6830676938</v>
      </c>
      <c r="D8" s="39">
        <f>SUMIF('DETALLE POR ÍTEM'!$S$6:$S$118,$A8,'DETALLE POR ÍTEM'!H$6:H$118)</f>
        <v>6964022.5069198254</v>
      </c>
      <c r="E8" s="39">
        <f>SUMIF('DETALLE POR ÍTEM'!$S$6:$S$118,$A8,'DETALLE POR ÍTEM'!I$6:I$118)</f>
        <v>3785350.8286814983</v>
      </c>
      <c r="F8" s="39">
        <f>SUMIF('DETALLE POR ÍTEM'!$S$6:$S$118,$A8,'DETALLE POR ÍTEM'!J$6:J$118)</f>
        <v>3646158.8448625356</v>
      </c>
      <c r="G8" s="39">
        <f>SUMIF('DETALLE POR ÍTEM'!$S$6:$S$118,$A8,'DETALLE POR ÍTEM'!K$6:K$118)</f>
        <v>5591958.3658478567</v>
      </c>
      <c r="H8" s="36">
        <f t="shared" si="0"/>
        <v>22809340.260624565</v>
      </c>
      <c r="I8" s="37">
        <f t="shared" si="1"/>
        <v>0.19007783550520471</v>
      </c>
    </row>
    <row r="9" spans="1:10" ht="19.5" customHeight="1" x14ac:dyDescent="0.3">
      <c r="A9" s="40" t="s">
        <v>24</v>
      </c>
      <c r="B9" s="35">
        <f>SUMIF('DETALLE POR ÍTEM'!$S$6:$S$118,$A9,'DETALLE POR ÍTEM'!F$6:F$118)</f>
        <v>0</v>
      </c>
      <c r="C9" s="35">
        <f>SUMIF('DETALLE POR ÍTEM'!$S$6:$S$118,$A9,'DETALLE POR ÍTEM'!G$6:G$118)</f>
        <v>11735.8507623224</v>
      </c>
      <c r="D9" s="35">
        <f>SUMIF('DETALLE POR ÍTEM'!$S$6:$S$118,$A9,'DETALLE POR ÍTEM'!H$6:H$118)</f>
        <v>4555263.9859006954</v>
      </c>
      <c r="E9" s="35">
        <f>SUMIF('DETALLE POR ÍTEM'!$S$6:$S$118,$A9,'DETALLE POR ÍTEM'!I$6:I$118)</f>
        <v>3296180.6845469493</v>
      </c>
      <c r="F9" s="35">
        <f>SUMIF('DETALLE POR ÍTEM'!$S$6:$S$118,$A9,'DETALLE POR ÍTEM'!J$6:J$118)</f>
        <v>13057625.567722291</v>
      </c>
      <c r="G9" s="35">
        <f>SUMIF('DETALLE POR ÍTEM'!$S$6:$S$118,$A9,'DETALLE POR ÍTEM'!K$6:K$118)</f>
        <v>4336997.8829396097</v>
      </c>
      <c r="H9" s="36">
        <f t="shared" si="0"/>
        <v>25257803.971871868</v>
      </c>
      <c r="I9" s="37">
        <f t="shared" si="1"/>
        <v>0.21048169976559891</v>
      </c>
    </row>
    <row r="10" spans="1:10" ht="19.5" customHeight="1" x14ac:dyDescent="0.3">
      <c r="A10" s="41" t="s">
        <v>25</v>
      </c>
      <c r="B10" s="39">
        <f>SUMIF('DETALLE POR ÍTEM'!$S$6:$S$118,$A10,'DETALLE POR ÍTEM'!F$6:F$118)</f>
        <v>2573013.7999999984</v>
      </c>
      <c r="C10" s="39">
        <f>SUMIF('DETALLE POR ÍTEM'!$S$6:$S$118,$A10,'DETALLE POR ÍTEM'!G$6:G$118)</f>
        <v>5293232.9455178631</v>
      </c>
      <c r="D10" s="39">
        <f>SUMIF('DETALLE POR ÍTEM'!$S$6:$S$118,$A10,'DETALLE POR ÍTEM'!H$6:H$118)</f>
        <v>4209578.671519991</v>
      </c>
      <c r="E10" s="39">
        <f>SUMIF('DETALLE POR ÍTEM'!$S$6:$S$118,$A10,'DETALLE POR ÍTEM'!I$6:I$118)</f>
        <v>1406131.8122887798</v>
      </c>
      <c r="F10" s="39">
        <f>SUMIF('DETALLE POR ÍTEM'!$S$6:$S$118,$A10,'DETALLE POR ÍTEM'!J$6:J$118)</f>
        <v>2361360.6048776507</v>
      </c>
      <c r="G10" s="39">
        <f>SUMIF('DETALLE POR ÍTEM'!$S$6:$S$118,$A10,'DETALLE POR ÍTEM'!K$6:K$118)</f>
        <v>8511264.1774607264</v>
      </c>
      <c r="H10" s="36">
        <f t="shared" si="0"/>
        <v>24354582.011665009</v>
      </c>
      <c r="I10" s="37">
        <f t="shared" si="1"/>
        <v>0.2029548500972084</v>
      </c>
    </row>
    <row r="11" spans="1:10" ht="19.5" customHeight="1" x14ac:dyDescent="0.3">
      <c r="A11" s="42" t="s">
        <v>26</v>
      </c>
      <c r="B11" s="35">
        <f>SUMIF('DETALLE POR ÍTEM'!$S$6:$S$118,$A11,'DETALLE POR ÍTEM'!F$6:F$118)</f>
        <v>0</v>
      </c>
      <c r="C11" s="35">
        <f>SUMIF('DETALLE POR ÍTEM'!$S$6:$S$118,$A11,'DETALLE POR ÍTEM'!G$6:G$118)</f>
        <v>0</v>
      </c>
      <c r="D11" s="35">
        <f>SUMIF('DETALLE POR ÍTEM'!$S$6:$S$118,$A11,'DETALLE POR ÍTEM'!H$6:H$118)</f>
        <v>0</v>
      </c>
      <c r="E11" s="35">
        <f>SUMIF('DETALLE POR ÍTEM'!$S$6:$S$118,$A11,'DETALLE POR ÍTEM'!I$6:I$118)</f>
        <v>0</v>
      </c>
      <c r="F11" s="35">
        <f>SUMIF('DETALLE POR ÍTEM'!$S$6:$S$118,$A11,'DETALLE POR ÍTEM'!J$6:J$118)</f>
        <v>2550000</v>
      </c>
      <c r="G11" s="35">
        <f>SUMIF('DETALLE POR ÍTEM'!$S$6:$S$118,$A11,'DETALLE POR ÍTEM'!K$6:K$118)</f>
        <v>450000.00000000006</v>
      </c>
      <c r="H11" s="36">
        <f t="shared" si="0"/>
        <v>3000000</v>
      </c>
      <c r="I11" s="37">
        <f t="shared" si="1"/>
        <v>2.5000000000000001E-2</v>
      </c>
    </row>
    <row r="12" spans="1:10" ht="19.5" customHeight="1" x14ac:dyDescent="0.3">
      <c r="A12" s="43" t="s">
        <v>27</v>
      </c>
      <c r="B12" s="39">
        <f>SUMIF('DETALLE POR ÍTEM'!$S$6:$S$118,$A12,'DETALLE POR ÍTEM'!F$6:F$118)</f>
        <v>0</v>
      </c>
      <c r="C12" s="39">
        <f>SUMIF('DETALLE POR ÍTEM'!$S$6:$S$118,$A12,'DETALLE POR ÍTEM'!G$6:G$118)</f>
        <v>0</v>
      </c>
      <c r="D12" s="39">
        <f>SUMIF('DETALLE POR ÍTEM'!$S$6:$S$118,$A12,'DETALLE POR ÍTEM'!H$6:H$118)</f>
        <v>108830.43253387719</v>
      </c>
      <c r="E12" s="39">
        <f>SUMIF('DETALLE POR ÍTEM'!$S$6:$S$118,$A12,'DETALLE POR ÍTEM'!I$6:I$118)</f>
        <v>3347939.9415582446</v>
      </c>
      <c r="F12" s="39">
        <f>SUMIF('DETALLE POR ÍTEM'!$S$6:$S$118,$A12,'DETALLE POR ÍTEM'!J$6:J$118)</f>
        <v>7420082.0132203</v>
      </c>
      <c r="G12" s="39">
        <f>SUMIF('DETALLE POR ÍTEM'!$S$6:$S$118,$A12,'DETALLE POR ÍTEM'!K$6:K$118)</f>
        <v>2793582.3153403029</v>
      </c>
      <c r="H12" s="36">
        <f t="shared" si="0"/>
        <v>13670434.702652724</v>
      </c>
      <c r="I12" s="37">
        <f t="shared" si="1"/>
        <v>0.1139202891887727</v>
      </c>
    </row>
    <row r="13" spans="1:10" ht="19.5" customHeight="1" x14ac:dyDescent="0.3">
      <c r="A13" s="44" t="s">
        <v>28</v>
      </c>
      <c r="B13" s="35">
        <f>SUMIF('DETALLE POR ÍTEM'!$S$6:$S$118,$A13,'DETALLE POR ÍTEM'!F$6:F$118)</f>
        <v>0</v>
      </c>
      <c r="C13" s="35">
        <f>SUMIF('DETALLE POR ÍTEM'!$S$6:$S$118,$A13,'DETALLE POR ÍTEM'!G$6:G$118)</f>
        <v>8501887.0000000037</v>
      </c>
      <c r="D13" s="35">
        <f>SUMIF('DETALLE POR ÍTEM'!$S$6:$S$118,$A13,'DETALLE POR ÍTEM'!H$6:H$118)</f>
        <v>0</v>
      </c>
      <c r="E13" s="35">
        <f>SUMIF('DETALLE POR ÍTEM'!$S$6:$S$118,$A13,'DETALLE POR ÍTEM'!I$6:I$118)</f>
        <v>0</v>
      </c>
      <c r="F13" s="35">
        <f>SUMIF('DETALLE POR ÍTEM'!$S$6:$S$118,$A13,'DETALLE POR ÍTEM'!J$6:J$118)</f>
        <v>0</v>
      </c>
      <c r="G13" s="35">
        <f>SUMIF('DETALLE POR ÍTEM'!$S$6:$S$118,$A13,'DETALLE POR ÍTEM'!K$6:K$118)</f>
        <v>7613331.0531858318</v>
      </c>
      <c r="H13" s="36">
        <f t="shared" si="0"/>
        <v>16115218.053185835</v>
      </c>
      <c r="I13" s="37">
        <f t="shared" si="1"/>
        <v>0.13429348377654862</v>
      </c>
    </row>
    <row r="14" spans="1:10" ht="21.75" customHeight="1" x14ac:dyDescent="0.3">
      <c r="A14" s="45" t="s">
        <v>61</v>
      </c>
      <c r="B14" s="22">
        <f t="shared" ref="B14:H14" si="2">SUM(B7:B13)</f>
        <v>9792151.796622809</v>
      </c>
      <c r="C14" s="22">
        <f t="shared" si="2"/>
        <v>21520704.284734685</v>
      </c>
      <c r="D14" s="22">
        <f t="shared" si="2"/>
        <v>18078961.777779751</v>
      </c>
      <c r="E14" s="22">
        <f t="shared" si="2"/>
        <v>12275821.315405656</v>
      </c>
      <c r="F14" s="22">
        <f t="shared" si="2"/>
        <v>29035227.030682776</v>
      </c>
      <c r="G14" s="22">
        <f t="shared" si="2"/>
        <v>29297133.794774327</v>
      </c>
      <c r="H14" s="22">
        <f t="shared" si="2"/>
        <v>120000000</v>
      </c>
      <c r="I14" s="24">
        <f t="shared" si="1"/>
        <v>1</v>
      </c>
    </row>
    <row r="15" spans="1:10" ht="18" customHeight="1" x14ac:dyDescent="0.3">
      <c r="A15" s="46" t="s">
        <v>62</v>
      </c>
      <c r="B15" s="37">
        <f t="shared" ref="B15:H15" si="3">IF(ANTICIPO=0,0,B14/ANTICIPO)</f>
        <v>8.1601264971856741E-2</v>
      </c>
      <c r="C15" s="37">
        <f t="shared" si="3"/>
        <v>0.17933920237278905</v>
      </c>
      <c r="D15" s="37">
        <f t="shared" si="3"/>
        <v>0.15065801481483126</v>
      </c>
      <c r="E15" s="37">
        <f t="shared" si="3"/>
        <v>0.1022985109617138</v>
      </c>
      <c r="F15" s="37">
        <f t="shared" si="3"/>
        <v>0.2419602252556898</v>
      </c>
      <c r="G15" s="37">
        <f t="shared" si="3"/>
        <v>0.24414278162311939</v>
      </c>
      <c r="H15" s="37">
        <f t="shared" si="3"/>
        <v>1</v>
      </c>
    </row>
    <row r="16" spans="1:10" ht="18" customHeight="1" x14ac:dyDescent="0.3">
      <c r="A16" s="46" t="s">
        <v>47</v>
      </c>
      <c r="B16" s="36">
        <f>B14</f>
        <v>9792151.796622809</v>
      </c>
      <c r="C16" s="36">
        <f>B16+C14</f>
        <v>31312856.081357494</v>
      </c>
      <c r="D16" s="36">
        <f>C16+D14</f>
        <v>49391817.859137245</v>
      </c>
      <c r="E16" s="36">
        <f>D16+E14</f>
        <v>61667639.174542904</v>
      </c>
      <c r="F16" s="36">
        <f>E16+F14</f>
        <v>90702866.205225676</v>
      </c>
      <c r="G16" s="36">
        <f>F16+G14</f>
        <v>120000000</v>
      </c>
    </row>
    <row r="17" spans="1:9" ht="18" customHeight="1" x14ac:dyDescent="0.3">
      <c r="A17" s="46" t="s">
        <v>63</v>
      </c>
      <c r="B17" s="37">
        <f t="shared" ref="B17:G17" si="4">IF(ANTICIPO=0,0,B16/ANTICIPO)</f>
        <v>8.1601264971856741E-2</v>
      </c>
      <c r="C17" s="37">
        <f t="shared" si="4"/>
        <v>0.26094046734464577</v>
      </c>
      <c r="D17" s="37">
        <f t="shared" si="4"/>
        <v>0.41159848215947703</v>
      </c>
      <c r="E17" s="37">
        <f t="shared" si="4"/>
        <v>0.51389699312119086</v>
      </c>
      <c r="F17" s="37">
        <f t="shared" si="4"/>
        <v>0.75585721837688069</v>
      </c>
      <c r="G17" s="37">
        <f t="shared" si="4"/>
        <v>1</v>
      </c>
    </row>
    <row r="19" spans="1:9" ht="16.2" x14ac:dyDescent="0.35">
      <c r="A19" s="32" t="s">
        <v>64</v>
      </c>
    </row>
    <row r="20" spans="1:9" ht="21.75" customHeight="1" x14ac:dyDescent="0.3">
      <c r="A20" s="148" t="s">
        <v>65</v>
      </c>
      <c r="B20" s="25" t="s">
        <v>39</v>
      </c>
      <c r="C20" s="25" t="s">
        <v>40</v>
      </c>
      <c r="D20" s="25" t="s">
        <v>41</v>
      </c>
      <c r="E20" s="25" t="s">
        <v>42</v>
      </c>
      <c r="F20" s="25" t="s">
        <v>43</v>
      </c>
      <c r="G20" s="25" t="s">
        <v>44</v>
      </c>
      <c r="H20" s="148" t="s">
        <v>29</v>
      </c>
      <c r="I20" s="148" t="s">
        <v>60</v>
      </c>
    </row>
    <row r="21" spans="1:9" x14ac:dyDescent="0.3">
      <c r="A21" s="148"/>
      <c r="B21" s="33">
        <f>F_INICIO+7*0</f>
        <v>46295</v>
      </c>
      <c r="C21" s="33">
        <f>F_INICIO+7*1</f>
        <v>46302</v>
      </c>
      <c r="D21" s="33">
        <f>F_INICIO+7*2</f>
        <v>46309</v>
      </c>
      <c r="E21" s="33">
        <f>F_INICIO+7*3</f>
        <v>46316</v>
      </c>
      <c r="F21" s="33">
        <f>F_INICIO+7*4</f>
        <v>46323</v>
      </c>
      <c r="G21" s="33">
        <f>F_INICIO+7*5</f>
        <v>46330</v>
      </c>
      <c r="H21" s="148"/>
      <c r="I21" s="148"/>
    </row>
    <row r="22" spans="1:9" ht="19.5" customHeight="1" x14ac:dyDescent="0.3">
      <c r="A22" s="34" t="s">
        <v>33</v>
      </c>
      <c r="B22" s="35">
        <f>SUMPRODUCT('PROGRAMA DE OBRA'!$AJ$6:$AJ$105,'PROGRAMA DE OBRA'!U$6:U$105)</f>
        <v>5663478.2687556297</v>
      </c>
      <c r="C22" s="35">
        <f>SUMPRODUCT('PROGRAMA DE OBRA'!$AJ$6:$AJ$105,'PROGRAMA DE OBRA'!V$6:V$105)</f>
        <v>14950094.495790763</v>
      </c>
      <c r="D22" s="35">
        <f>SUMPRODUCT('PROGRAMA DE OBRA'!$AJ$6:$AJ$105,'PROGRAMA DE OBRA'!W$6:W$105)</f>
        <v>8357914.9038637243</v>
      </c>
      <c r="E22" s="35">
        <f>SUMPRODUCT('PROGRAMA DE OBRA'!$AJ$6:$AJ$105,'PROGRAMA DE OBRA'!X$6:X$105)</f>
        <v>3199290.2541893111</v>
      </c>
      <c r="F22" s="35">
        <f>SUMPRODUCT('PROGRAMA DE OBRA'!$AJ$6:$AJ$105,'PROGRAMA DE OBRA'!Y$6:Y$105)</f>
        <v>19760764.783003449</v>
      </c>
      <c r="G22" s="35">
        <f>SUMPRODUCT('PROGRAMA DE OBRA'!$AJ$6:$AJ$105,'PROGRAMA DE OBRA'!Z$6:Z$105)</f>
        <v>18076562.824900448</v>
      </c>
      <c r="H22" s="36">
        <f>SUM(B22:G22)</f>
        <v>70008105.530503333</v>
      </c>
      <c r="I22" s="37">
        <f>IF(ANTICIPO=0,0,H22/ANTICIPO)</f>
        <v>0.58340087942086105</v>
      </c>
    </row>
    <row r="23" spans="1:9" ht="19.5" customHeight="1" x14ac:dyDescent="0.3">
      <c r="A23" s="38" t="s">
        <v>34</v>
      </c>
      <c r="B23" s="35">
        <f>SUMPRODUCT('PROGRAMA DE OBRA'!$AK$6:$AK$105,'PROGRAMA DE OBRA'!F$6:F$105)</f>
        <v>3176980.3021512572</v>
      </c>
      <c r="C23" s="35">
        <f>SUMPRODUCT('PROGRAMA DE OBRA'!$AK$6:$AK$105,'PROGRAMA DE OBRA'!G$6:G$105)</f>
        <v>4943695.0322001921</v>
      </c>
      <c r="D23" s="35">
        <f>SUMPRODUCT('PROGRAMA DE OBRA'!$AK$6:$AK$105,'PROGRAMA DE OBRA'!H$6:H$105)</f>
        <v>7362854.6749952249</v>
      </c>
      <c r="E23" s="35">
        <f>SUMPRODUCT('PROGRAMA DE OBRA'!$AK$6:$AK$105,'PROGRAMA DE OBRA'!I$6:I$105)</f>
        <v>6302157.213760064</v>
      </c>
      <c r="F23" s="35">
        <f>SUMPRODUCT('PROGRAMA DE OBRA'!$AK$6:$AK$105,'PROGRAMA DE OBRA'!J$6:J$105)</f>
        <v>5820148.1185286157</v>
      </c>
      <c r="G23" s="35">
        <f>SUMPRODUCT('PROGRAMA DE OBRA'!$AK$6:$AK$105,'PROGRAMA DE OBRA'!K$6:K$105)</f>
        <v>8387599.9219398219</v>
      </c>
      <c r="H23" s="36">
        <f>SUM(B23:G23)</f>
        <v>35993435.263575174</v>
      </c>
      <c r="I23" s="37">
        <f>IF(ANTICIPO=0,0,H23/ANTICIPO)</f>
        <v>0.29994529386312646</v>
      </c>
    </row>
    <row r="24" spans="1:9" ht="19.5" customHeight="1" x14ac:dyDescent="0.3">
      <c r="A24" s="40" t="s">
        <v>35</v>
      </c>
      <c r="B24" s="35">
        <f>SUMPRODUCT('PROGRAMA DE OBRA'!$AL$6:$AL$105,'PROGRAMA DE OBRA'!F$6:F$105)</f>
        <v>331281.42571592203</v>
      </c>
      <c r="C24" s="35">
        <f>SUMPRODUCT('PROGRAMA DE OBRA'!$AL$6:$AL$105,'PROGRAMA DE OBRA'!G$6:G$105)</f>
        <v>238738.73452150845</v>
      </c>
      <c r="D24" s="35">
        <f>SUMPRODUCT('PROGRAMA DE OBRA'!$AL$6:$AL$105,'PROGRAMA DE OBRA'!H$6:H$105)</f>
        <v>250509.17669857509</v>
      </c>
      <c r="E24" s="35">
        <f>SUMPRODUCT('PROGRAMA DE OBRA'!$AL$6:$AL$105,'PROGRAMA DE OBRA'!I$6:I$105)</f>
        <v>168332.72523405481</v>
      </c>
      <c r="F24" s="35">
        <f>SUMPRODUCT('PROGRAMA DE OBRA'!$AL$6:$AL$105,'PROGRAMA DE OBRA'!J$6:J$105)</f>
        <v>541136.67359515489</v>
      </c>
      <c r="G24" s="35">
        <f>SUMPRODUCT('PROGRAMA DE OBRA'!$AL$6:$AL$105,'PROGRAMA DE OBRA'!K$6:K$105)</f>
        <v>627359.59237849747</v>
      </c>
      <c r="H24" s="36">
        <f>SUM(B24:G24)</f>
        <v>2157358.3281437131</v>
      </c>
      <c r="I24" s="37">
        <f>IF(ANTICIPO=0,0,H24/ANTICIPO)</f>
        <v>1.7977986067864275E-2</v>
      </c>
    </row>
    <row r="25" spans="1:9" ht="19.5" customHeight="1" x14ac:dyDescent="0.3">
      <c r="A25" s="42" t="s">
        <v>36</v>
      </c>
      <c r="B25" s="35">
        <f>SUMPRODUCT('PROGRAMA DE OBRA'!$AM$6:$AM$105,'PROGRAMA DE OBRA'!F$6:F$105)</f>
        <v>620411.79999999981</v>
      </c>
      <c r="C25" s="35">
        <f>SUMPRODUCT('PROGRAMA DE OBRA'!$AM$6:$AM$105,'PROGRAMA DE OBRA'!G$6:G$105)</f>
        <v>1388176.0222222228</v>
      </c>
      <c r="D25" s="35">
        <f>SUMPRODUCT('PROGRAMA DE OBRA'!$AM$6:$AM$105,'PROGRAMA DE OBRA'!H$6:H$105)</f>
        <v>2107683.0222222242</v>
      </c>
      <c r="E25" s="35">
        <f>SUMPRODUCT('PROGRAMA DE OBRA'!$AM$6:$AM$105,'PROGRAMA DE OBRA'!I$6:I$105)</f>
        <v>2606041.1222222243</v>
      </c>
      <c r="F25" s="35">
        <f>SUMPRODUCT('PROGRAMA DE OBRA'!$AM$6:$AM$105,'PROGRAMA DE OBRA'!J$6:J$105)</f>
        <v>2913177.4555555582</v>
      </c>
      <c r="G25" s="35">
        <f>SUMPRODUCT('PROGRAMA DE OBRA'!$AM$6:$AM$105,'PROGRAMA DE OBRA'!K$6:K$105)</f>
        <v>2205611.4555555587</v>
      </c>
      <c r="H25" s="36">
        <f>SUM(B25:G25)</f>
        <v>11841100.877777787</v>
      </c>
      <c r="I25" s="37">
        <f>IF(ANTICIPO=0,0,H25/ANTICIPO)</f>
        <v>9.867584064814823E-2</v>
      </c>
    </row>
    <row r="26" spans="1:9" ht="15" x14ac:dyDescent="0.3">
      <c r="A26" s="45" t="s">
        <v>66</v>
      </c>
      <c r="B26" s="22">
        <f t="shared" ref="B26:H26" si="5">SUM(B22:B25)</f>
        <v>9792151.796622809</v>
      </c>
      <c r="C26" s="22">
        <f t="shared" si="5"/>
        <v>21520704.284734689</v>
      </c>
      <c r="D26" s="22">
        <f t="shared" si="5"/>
        <v>18078961.777779747</v>
      </c>
      <c r="E26" s="22">
        <f t="shared" si="5"/>
        <v>12275821.315405654</v>
      </c>
      <c r="F26" s="22">
        <f t="shared" si="5"/>
        <v>29035227.03068278</v>
      </c>
      <c r="G26" s="22">
        <f t="shared" si="5"/>
        <v>29297133.794774324</v>
      </c>
      <c r="H26" s="22">
        <f t="shared" si="5"/>
        <v>120000000</v>
      </c>
      <c r="I26" s="24">
        <f>IF(ANTICIPO=0,0,H26/ANTICIPO)</f>
        <v>1</v>
      </c>
    </row>
    <row r="27" spans="1:9" x14ac:dyDescent="0.3">
      <c r="A27" s="47" t="s">
        <v>67</v>
      </c>
      <c r="H27" s="48">
        <f>ROUND(H26-H14,0)</f>
        <v>0</v>
      </c>
    </row>
    <row r="29" spans="1:9" ht="16.2" x14ac:dyDescent="0.35">
      <c r="A29" s="32" t="s">
        <v>68</v>
      </c>
    </row>
    <row r="30" spans="1:9" ht="21.75" customHeight="1" x14ac:dyDescent="0.3">
      <c r="A30" s="17" t="s">
        <v>69</v>
      </c>
      <c r="B30" s="17" t="s">
        <v>70</v>
      </c>
      <c r="C30" s="148" t="s">
        <v>71</v>
      </c>
      <c r="D30" s="148"/>
      <c r="E30" s="148"/>
      <c r="F30" s="148"/>
      <c r="G30" s="148" t="s">
        <v>72</v>
      </c>
      <c r="H30" s="148"/>
      <c r="I30" s="148"/>
    </row>
    <row r="31" spans="1:9" ht="54" customHeight="1" x14ac:dyDescent="0.3">
      <c r="A31" s="49" t="s">
        <v>39</v>
      </c>
      <c r="B31" s="50" t="str">
        <f>TEXT(F_INICIO+7*0,"dd/mm")&amp;" – "&amp;TEXT(F_INICIO+7*0+6,"dd/mm")</f>
        <v>30/09 – 06/10</v>
      </c>
      <c r="C31" s="163" t="s">
        <v>73</v>
      </c>
      <c r="D31" s="163"/>
      <c r="E31" s="163"/>
      <c r="F31" s="163"/>
      <c r="G31" s="164" t="s">
        <v>74</v>
      </c>
      <c r="H31" s="164"/>
      <c r="I31" s="164"/>
    </row>
    <row r="32" spans="1:9" ht="54" customHeight="1" x14ac:dyDescent="0.3">
      <c r="A32" s="49" t="s">
        <v>40</v>
      </c>
      <c r="B32" s="50" t="str">
        <f>TEXT(F_INICIO+7*1,"dd/mm")&amp;" – "&amp;TEXT(F_INICIO+7*1+6,"dd/mm")</f>
        <v>07/10 – 13/10</v>
      </c>
      <c r="C32" s="163" t="s">
        <v>75</v>
      </c>
      <c r="D32" s="163"/>
      <c r="E32" s="163"/>
      <c r="F32" s="163"/>
      <c r="G32" s="164" t="s">
        <v>76</v>
      </c>
      <c r="H32" s="164"/>
      <c r="I32" s="164"/>
    </row>
    <row r="33" spans="1:9" ht="69.75" customHeight="1" x14ac:dyDescent="0.3">
      <c r="A33" s="49" t="s">
        <v>41</v>
      </c>
      <c r="B33" s="50" t="str">
        <f>TEXT(F_INICIO+7*2,"dd/mm")&amp;" – "&amp;TEXT(F_INICIO+7*2+6,"dd/mm")</f>
        <v>14/10 – 20/10</v>
      </c>
      <c r="C33" s="163" t="s">
        <v>77</v>
      </c>
      <c r="D33" s="163"/>
      <c r="E33" s="163"/>
      <c r="F33" s="163"/>
      <c r="G33" s="164" t="s">
        <v>78</v>
      </c>
      <c r="H33" s="164"/>
      <c r="I33" s="164"/>
    </row>
    <row r="34" spans="1:9" ht="69.75" customHeight="1" x14ac:dyDescent="0.3">
      <c r="A34" s="49" t="s">
        <v>42</v>
      </c>
      <c r="B34" s="50" t="str">
        <f>TEXT(F_INICIO+7*3,"dd/mm")&amp;" – "&amp;TEXT(F_INICIO+7*3+6,"dd/mm")</f>
        <v>21/10 – 27/10</v>
      </c>
      <c r="C34" s="163" t="s">
        <v>79</v>
      </c>
      <c r="D34" s="163"/>
      <c r="E34" s="163"/>
      <c r="F34" s="163"/>
      <c r="G34" s="164" t="s">
        <v>80</v>
      </c>
      <c r="H34" s="164"/>
      <c r="I34" s="164"/>
    </row>
    <row r="35" spans="1:9" ht="54" customHeight="1" x14ac:dyDescent="0.3">
      <c r="A35" s="49" t="s">
        <v>43</v>
      </c>
      <c r="B35" s="50" t="str">
        <f>TEXT(F_INICIO+7*4,"dd/mm")&amp;" – "&amp;TEXT(F_INICIO+7*4+6,"dd/mm")</f>
        <v>28/10 – 03/11</v>
      </c>
      <c r="C35" s="163" t="s">
        <v>81</v>
      </c>
      <c r="D35" s="163"/>
      <c r="E35" s="163"/>
      <c r="F35" s="163"/>
      <c r="G35" s="164" t="s">
        <v>82</v>
      </c>
      <c r="H35" s="164"/>
      <c r="I35" s="164"/>
    </row>
    <row r="36" spans="1:9" ht="85.5" customHeight="1" x14ac:dyDescent="0.3">
      <c r="A36" s="49" t="s">
        <v>44</v>
      </c>
      <c r="B36" s="50" t="str">
        <f>TEXT(F_INICIO+7*5,"dd/mm")&amp;" – "&amp;TEXT(F_INICIO+7*5+6,"dd/mm")</f>
        <v>04/11 – 10/11</v>
      </c>
      <c r="C36" s="163" t="s">
        <v>83</v>
      </c>
      <c r="D36" s="163"/>
      <c r="E36" s="163"/>
      <c r="F36" s="163"/>
      <c r="G36" s="164" t="s">
        <v>84</v>
      </c>
      <c r="H36" s="164"/>
      <c r="I36" s="164"/>
    </row>
  </sheetData>
  <mergeCells count="22">
    <mergeCell ref="C34:F34"/>
    <mergeCell ref="G34:I34"/>
    <mergeCell ref="C35:F35"/>
    <mergeCell ref="G35:I35"/>
    <mergeCell ref="C36:F36"/>
    <mergeCell ref="G36:I36"/>
    <mergeCell ref="C31:F31"/>
    <mergeCell ref="G31:I31"/>
    <mergeCell ref="C32:F32"/>
    <mergeCell ref="G32:I32"/>
    <mergeCell ref="C33:F33"/>
    <mergeCell ref="G33:I33"/>
    <mergeCell ref="A20:A21"/>
    <mergeCell ref="H20:H21"/>
    <mergeCell ref="I20:I21"/>
    <mergeCell ref="C30:F30"/>
    <mergeCell ref="G30:I30"/>
    <mergeCell ref="A1:J1"/>
    <mergeCell ref="A2:J2"/>
    <mergeCell ref="A5:A6"/>
    <mergeCell ref="H5:H6"/>
    <mergeCell ref="I5:I6"/>
  </mergeCells>
  <printOptions horizontalCentered="1"/>
  <pageMargins left="0.4" right="0.4" top="0.5" bottom="0.5" header="0.511811023622047" footer="0.5"/>
  <pageSetup scale="76" fitToHeight="0" orientation="landscape" horizontalDpi="300" verticalDpi="300" r:id="rId1"/>
  <headerFooter>
    <oddFooter>&amp;C&amp;8 Plan de Inversión del Anticipo – Contrato de Obra No. 233 de 2026 – Página &amp;P de &amp;N</oddFooter>
  </headerFooter>
  <rowBreaks count="1" manualBreakCount="1">
    <brk id="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1D7874"/>
    <pageSetUpPr fitToPage="1"/>
  </sheetPr>
  <dimension ref="A1:S123"/>
  <sheetViews>
    <sheetView showGridLines="0" view="pageBreakPreview" zoomScale="60" zoomScaleNormal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27" sqref="F127"/>
    </sheetView>
  </sheetViews>
  <sheetFormatPr baseColWidth="10" defaultColWidth="8.6640625" defaultRowHeight="14.4" x14ac:dyDescent="0.3"/>
  <cols>
    <col min="1" max="1" width="6" customWidth="1"/>
    <col min="2" max="2" width="86.6640625" customWidth="1"/>
    <col min="3" max="3" width="6" customWidth="1"/>
    <col min="4" max="4" width="9" customWidth="1"/>
    <col min="5" max="5" width="16" customWidth="1"/>
    <col min="6" max="11" width="15" customWidth="1"/>
    <col min="12" max="12" width="17" customWidth="1"/>
    <col min="13" max="13" width="8" customWidth="1"/>
    <col min="14" max="15" width="15" customWidth="1"/>
    <col min="16" max="16" width="13" customWidth="1"/>
    <col min="17" max="17" width="14" customWidth="1"/>
    <col min="18" max="19" width="13" hidden="1" customWidth="1"/>
  </cols>
  <sheetData>
    <row r="1" spans="1:19" ht="33.75" customHeight="1" x14ac:dyDescent="0.3">
      <c r="A1" s="165" t="s">
        <v>85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</row>
    <row r="2" spans="1:19" ht="30" customHeight="1" x14ac:dyDescent="0.3">
      <c r="A2" s="12" t="s">
        <v>86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</row>
    <row r="4" spans="1:19" ht="21.75" customHeight="1" x14ac:dyDescent="0.3">
      <c r="A4" s="148" t="s">
        <v>87</v>
      </c>
      <c r="B4" s="148" t="s">
        <v>88</v>
      </c>
      <c r="C4" s="148" t="s">
        <v>89</v>
      </c>
      <c r="D4" s="148" t="s">
        <v>90</v>
      </c>
      <c r="E4" s="148" t="s">
        <v>91</v>
      </c>
      <c r="F4" s="25" t="s">
        <v>39</v>
      </c>
      <c r="G4" s="25" t="s">
        <v>40</v>
      </c>
      <c r="H4" s="25" t="s">
        <v>41</v>
      </c>
      <c r="I4" s="25" t="s">
        <v>42</v>
      </c>
      <c r="J4" s="25" t="s">
        <v>43</v>
      </c>
      <c r="K4" s="25" t="s">
        <v>44</v>
      </c>
      <c r="L4" s="148" t="s">
        <v>92</v>
      </c>
      <c r="M4" s="148" t="s">
        <v>93</v>
      </c>
      <c r="N4" s="148" t="s">
        <v>94</v>
      </c>
      <c r="O4" s="148" t="s">
        <v>95</v>
      </c>
      <c r="P4" s="148" t="s">
        <v>96</v>
      </c>
      <c r="Q4" s="148" t="s">
        <v>97</v>
      </c>
    </row>
    <row r="5" spans="1:19" ht="15.75" customHeight="1" x14ac:dyDescent="0.3">
      <c r="A5" s="148"/>
      <c r="B5" s="148"/>
      <c r="C5" s="148"/>
      <c r="D5" s="148"/>
      <c r="E5" s="148"/>
      <c r="F5" s="51">
        <f>F_INICIO+7*0</f>
        <v>46295</v>
      </c>
      <c r="G5" s="51">
        <f>F_INICIO+7*1</f>
        <v>46302</v>
      </c>
      <c r="H5" s="51">
        <f>F_INICIO+7*2</f>
        <v>46309</v>
      </c>
      <c r="I5" s="51">
        <f>F_INICIO+7*3</f>
        <v>46316</v>
      </c>
      <c r="J5" s="51">
        <f>F_INICIO+7*4</f>
        <v>46323</v>
      </c>
      <c r="K5" s="51">
        <f>F_INICIO+7*5</f>
        <v>46330</v>
      </c>
      <c r="L5" s="148"/>
      <c r="M5" s="148"/>
      <c r="N5" s="148"/>
      <c r="O5" s="148"/>
      <c r="P5" s="148"/>
      <c r="Q5" s="148"/>
    </row>
    <row r="6" spans="1:19" ht="19.5" customHeight="1" x14ac:dyDescent="0.3">
      <c r="A6" s="166" t="s">
        <v>98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</row>
    <row r="7" spans="1:19" x14ac:dyDescent="0.3">
      <c r="A7" s="52" t="str">
        <f>'BASE PRESUPUESTO'!C5</f>
        <v>1.1</v>
      </c>
      <c r="B7" s="53" t="str">
        <f>'BASE PRESUPUESTO'!D5</f>
        <v>LOCALIZACION-REPLANTEO ACUEDUCTO-ALCANTARILLADO</v>
      </c>
      <c r="C7" s="52" t="str">
        <f>'BASE PRESUPUESTO'!E5</f>
        <v>ML</v>
      </c>
      <c r="D7" s="54">
        <f>'BASE PRESUPUESTO'!F5</f>
        <v>250</v>
      </c>
      <c r="E7" s="55">
        <f>'BASE PRESUPUESTO'!H5</f>
        <v>676750</v>
      </c>
      <c r="F7" s="56">
        <f>'BASE PRESUPUESTO'!O5*'PROGRAMA DE OBRA'!U7+('BASE PRESUPUESTO'!P5+'BASE PRESUPUESTO'!Q5+'BASE PRESUPUESTO'!R5)*'PROGRAMA DE OBRA'!F7</f>
        <v>676749.99999999988</v>
      </c>
      <c r="G7" s="56">
        <f>'BASE PRESUPUESTO'!O5*'PROGRAMA DE OBRA'!V7+('BASE PRESUPUESTO'!P5+'BASE PRESUPUESTO'!Q5+'BASE PRESUPUESTO'!R5)*'PROGRAMA DE OBRA'!G7</f>
        <v>0</v>
      </c>
      <c r="H7" s="56">
        <f>'BASE PRESUPUESTO'!O5*'PROGRAMA DE OBRA'!W7+('BASE PRESUPUESTO'!P5+'BASE PRESUPUESTO'!Q5+'BASE PRESUPUESTO'!R5)*'PROGRAMA DE OBRA'!H7</f>
        <v>0</v>
      </c>
      <c r="I7" s="56">
        <f>'BASE PRESUPUESTO'!O5*'PROGRAMA DE OBRA'!X7+('BASE PRESUPUESTO'!P5+'BASE PRESUPUESTO'!Q5+'BASE PRESUPUESTO'!R5)*'PROGRAMA DE OBRA'!I7</f>
        <v>0</v>
      </c>
      <c r="J7" s="56">
        <f>'BASE PRESUPUESTO'!O5*'PROGRAMA DE OBRA'!Y7+('BASE PRESUPUESTO'!P5+'BASE PRESUPUESTO'!Q5+'BASE PRESUPUESTO'!R5)*'PROGRAMA DE OBRA'!J7</f>
        <v>0</v>
      </c>
      <c r="K7" s="56">
        <f>'BASE PRESUPUESTO'!O5*'PROGRAMA DE OBRA'!Z7+('BASE PRESUPUESTO'!P5+'BASE PRESUPUESTO'!Q5+'BASE PRESUPUESTO'!R5)*'PROGRAMA DE OBRA'!K7</f>
        <v>0</v>
      </c>
      <c r="L7" s="57">
        <f t="shared" ref="L7:L17" si="0">SUM(F7:K7)</f>
        <v>676749.99999999988</v>
      </c>
      <c r="M7" s="58">
        <f t="shared" ref="M7:M18" si="1">IF(E7=0,0,L7/E7)</f>
        <v>0.99999999999999978</v>
      </c>
      <c r="N7" s="59">
        <f>'BASE PRESUPUESTO'!O5*SUM('PROGRAMA DE OBRA'!U7:Z7)</f>
        <v>111506.59071093975</v>
      </c>
      <c r="O7" s="59">
        <f>'BASE PRESUPUESTO'!P5*SUM('PROGRAMA DE OBRA'!F7:K7)</f>
        <v>475238.08943269658</v>
      </c>
      <c r="P7" s="59">
        <f>'BASE PRESUPUESTO'!Q5*SUM('PROGRAMA DE OBRA'!F7:K7)</f>
        <v>90005.319856363625</v>
      </c>
      <c r="Q7" s="59">
        <f>'BASE PRESUPUESTO'!R5*SUM('PROGRAMA DE OBRA'!F7:K7)</f>
        <v>0</v>
      </c>
      <c r="R7" t="s">
        <v>99</v>
      </c>
      <c r="S7" t="s">
        <v>22</v>
      </c>
    </row>
    <row r="8" spans="1:19" x14ac:dyDescent="0.3">
      <c r="A8" s="52" t="str">
        <f>'BASE PRESUPUESTO'!C6</f>
        <v>1.2</v>
      </c>
      <c r="B8" s="53" t="str">
        <f>'BASE PRESUPUESTO'!D6</f>
        <v>BODEGAJE</v>
      </c>
      <c r="C8" s="52" t="str">
        <f>'BASE PRESUPUESTO'!E6</f>
        <v>MES</v>
      </c>
      <c r="D8" s="54">
        <f>'BASE PRESUPUESTO'!F6</f>
        <v>1</v>
      </c>
      <c r="E8" s="55">
        <f>'BASE PRESUPUESTO'!H6</f>
        <v>187668</v>
      </c>
      <c r="F8" s="56">
        <f>'BASE PRESUPUESTO'!O6*'PROGRAMA DE OBRA'!U8+('BASE PRESUPUESTO'!P6+'BASE PRESUPUESTO'!Q6+'BASE PRESUPUESTO'!R6)*'PROGRAMA DE OBRA'!F8</f>
        <v>46917</v>
      </c>
      <c r="G8" s="56">
        <f>'BASE PRESUPUESTO'!O6*'PROGRAMA DE OBRA'!V8+('BASE PRESUPUESTO'!P6+'BASE PRESUPUESTO'!Q6+'BASE PRESUPUESTO'!R6)*'PROGRAMA DE OBRA'!G8</f>
        <v>46917</v>
      </c>
      <c r="H8" s="56">
        <f>'BASE PRESUPUESTO'!O6*'PROGRAMA DE OBRA'!W8+('BASE PRESUPUESTO'!P6+'BASE PRESUPUESTO'!Q6+'BASE PRESUPUESTO'!R6)*'PROGRAMA DE OBRA'!H8</f>
        <v>46917</v>
      </c>
      <c r="I8" s="56">
        <f>'BASE PRESUPUESTO'!O6*'PROGRAMA DE OBRA'!X8+('BASE PRESUPUESTO'!P6+'BASE PRESUPUESTO'!Q6+'BASE PRESUPUESTO'!R6)*'PROGRAMA DE OBRA'!I8</f>
        <v>46917</v>
      </c>
      <c r="J8" s="56">
        <f>'BASE PRESUPUESTO'!O6*'PROGRAMA DE OBRA'!Y8+('BASE PRESUPUESTO'!P6+'BASE PRESUPUESTO'!Q6+'BASE PRESUPUESTO'!R6)*'PROGRAMA DE OBRA'!J8</f>
        <v>0</v>
      </c>
      <c r="K8" s="56">
        <f>'BASE PRESUPUESTO'!O6*'PROGRAMA DE OBRA'!Z8+('BASE PRESUPUESTO'!P6+'BASE PRESUPUESTO'!Q6+'BASE PRESUPUESTO'!R6)*'PROGRAMA DE OBRA'!K8</f>
        <v>0</v>
      </c>
      <c r="L8" s="57">
        <f t="shared" si="0"/>
        <v>187668</v>
      </c>
      <c r="M8" s="58">
        <f t="shared" si="1"/>
        <v>1</v>
      </c>
      <c r="N8" s="59">
        <f>'BASE PRESUPUESTO'!O6*SUM('PROGRAMA DE OBRA'!U8:Z8)</f>
        <v>0</v>
      </c>
      <c r="O8" s="59">
        <f>'BASE PRESUPUESTO'!P6*SUM('PROGRAMA DE OBRA'!F8:K8)</f>
        <v>0</v>
      </c>
      <c r="P8" s="59">
        <f>'BASE PRESUPUESTO'!Q6*SUM('PROGRAMA DE OBRA'!F8:K8)</f>
        <v>0</v>
      </c>
      <c r="Q8" s="59">
        <f>'BASE PRESUPUESTO'!R6*SUM('PROGRAMA DE OBRA'!F8:K8)</f>
        <v>187668</v>
      </c>
      <c r="R8" t="s">
        <v>99</v>
      </c>
      <c r="S8" t="s">
        <v>22</v>
      </c>
    </row>
    <row r="9" spans="1:19" x14ac:dyDescent="0.3">
      <c r="A9" s="52" t="str">
        <f>'BASE PRESUPUESTO'!C7</f>
        <v>1.3</v>
      </c>
      <c r="B9" s="53" t="str">
        <f>'BASE PRESUPUESTO'!D7</f>
        <v>EXCAVACION EN CONGLOMERADO (MANUAL)</v>
      </c>
      <c r="C9" s="52" t="str">
        <f>'BASE PRESUPUESTO'!E7</f>
        <v>M3</v>
      </c>
      <c r="D9" s="54">
        <f>'BASE PRESUPUESTO'!F7</f>
        <v>37.5</v>
      </c>
      <c r="E9" s="55">
        <f>'BASE PRESUPUESTO'!H7</f>
        <v>1754063</v>
      </c>
      <c r="F9" s="56">
        <f>'BASE PRESUPUESTO'!O7*'PROGRAMA DE OBRA'!U9+('BASE PRESUPUESTO'!P7+'BASE PRESUPUESTO'!Q7+'BASE PRESUPUESTO'!R7)*'PROGRAMA DE OBRA'!F9</f>
        <v>877031.5</v>
      </c>
      <c r="G9" s="56">
        <f>'BASE PRESUPUESTO'!O7*'PROGRAMA DE OBRA'!V9+('BASE PRESUPUESTO'!P7+'BASE PRESUPUESTO'!Q7+'BASE PRESUPUESTO'!R7)*'PROGRAMA DE OBRA'!G9</f>
        <v>877031.5</v>
      </c>
      <c r="H9" s="56">
        <f>'BASE PRESUPUESTO'!O7*'PROGRAMA DE OBRA'!W9+('BASE PRESUPUESTO'!P7+'BASE PRESUPUESTO'!Q7+'BASE PRESUPUESTO'!R7)*'PROGRAMA DE OBRA'!H9</f>
        <v>0</v>
      </c>
      <c r="I9" s="56">
        <f>'BASE PRESUPUESTO'!O7*'PROGRAMA DE OBRA'!X9+('BASE PRESUPUESTO'!P7+'BASE PRESUPUESTO'!Q7+'BASE PRESUPUESTO'!R7)*'PROGRAMA DE OBRA'!I9</f>
        <v>0</v>
      </c>
      <c r="J9" s="56">
        <f>'BASE PRESUPUESTO'!O7*'PROGRAMA DE OBRA'!Y9+('BASE PRESUPUESTO'!P7+'BASE PRESUPUESTO'!Q7+'BASE PRESUPUESTO'!R7)*'PROGRAMA DE OBRA'!J9</f>
        <v>0</v>
      </c>
      <c r="K9" s="56">
        <f>'BASE PRESUPUESTO'!O7*'PROGRAMA DE OBRA'!Z9+('BASE PRESUPUESTO'!P7+'BASE PRESUPUESTO'!Q7+'BASE PRESUPUESTO'!R7)*'PROGRAMA DE OBRA'!K9</f>
        <v>0</v>
      </c>
      <c r="L9" s="57">
        <f t="shared" si="0"/>
        <v>1754063</v>
      </c>
      <c r="M9" s="58">
        <f t="shared" si="1"/>
        <v>1</v>
      </c>
      <c r="N9" s="59">
        <f>'BASE PRESUPUESTO'!O7*SUM('PROGRAMA DE OBRA'!U9:Z9)</f>
        <v>0</v>
      </c>
      <c r="O9" s="59">
        <f>'BASE PRESUPUESTO'!P7*SUM('PROGRAMA DE OBRA'!F9:K9)</f>
        <v>1694773.8304898925</v>
      </c>
      <c r="P9" s="59">
        <f>'BASE PRESUPUESTO'!Q7*SUM('PROGRAMA DE OBRA'!F9:K9)</f>
        <v>59289.169510107378</v>
      </c>
      <c r="Q9" s="59">
        <f>'BASE PRESUPUESTO'!R7*SUM('PROGRAMA DE OBRA'!F9:K9)</f>
        <v>0</v>
      </c>
      <c r="R9" t="s">
        <v>99</v>
      </c>
      <c r="S9" t="s">
        <v>22</v>
      </c>
    </row>
    <row r="10" spans="1:19" x14ac:dyDescent="0.3">
      <c r="A10" s="52" t="str">
        <f>'BASE PRESUPUESTO'!C8</f>
        <v>2.1</v>
      </c>
      <c r="B10" s="53" t="str">
        <f>'BASE PRESUPUESTO'!D8</f>
        <v>VALVULA VENTOSA 2" DOBLE EFECTO"</v>
      </c>
      <c r="C10" s="52" t="str">
        <f>'BASE PRESUPUESTO'!E8</f>
        <v>UND</v>
      </c>
      <c r="D10" s="54">
        <f>'BASE PRESUPUESTO'!F8</f>
        <v>2</v>
      </c>
      <c r="E10" s="55">
        <f>'BASE PRESUPUESTO'!H8</f>
        <v>1218064</v>
      </c>
      <c r="F10" s="56">
        <f>'BASE PRESUPUESTO'!O8*'PROGRAMA DE OBRA'!U10+('BASE PRESUPUESTO'!P8+'BASE PRESUPUESTO'!Q8+'BASE PRESUPUESTO'!R8)*'PROGRAMA DE OBRA'!F10</f>
        <v>0</v>
      </c>
      <c r="G10" s="56">
        <f>'BASE PRESUPUESTO'!O8*'PROGRAMA DE OBRA'!V10+('BASE PRESUPUESTO'!P8+'BASE PRESUPUESTO'!Q8+'BASE PRESUPUESTO'!R8)*'PROGRAMA DE OBRA'!G10</f>
        <v>1080715.3223867677</v>
      </c>
      <c r="H10" s="56">
        <f>'BASE PRESUPUESTO'!O8*'PROGRAMA DE OBRA'!W10+('BASE PRESUPUESTO'!P8+'BASE PRESUPUESTO'!Q8+'BASE PRESUPUESTO'!R8)*'PROGRAMA DE OBRA'!H10</f>
        <v>137348.67761323196</v>
      </c>
      <c r="I10" s="56">
        <f>'BASE PRESUPUESTO'!O8*'PROGRAMA DE OBRA'!X10+('BASE PRESUPUESTO'!P8+'BASE PRESUPUESTO'!Q8+'BASE PRESUPUESTO'!R8)*'PROGRAMA DE OBRA'!I10</f>
        <v>0</v>
      </c>
      <c r="J10" s="56">
        <f>'BASE PRESUPUESTO'!O8*'PROGRAMA DE OBRA'!Y10+('BASE PRESUPUESTO'!P8+'BASE PRESUPUESTO'!Q8+'BASE PRESUPUESTO'!R8)*'PROGRAMA DE OBRA'!J10</f>
        <v>0</v>
      </c>
      <c r="K10" s="56">
        <f>'BASE PRESUPUESTO'!O8*'PROGRAMA DE OBRA'!Z10+('BASE PRESUPUESTO'!P8+'BASE PRESUPUESTO'!Q8+'BASE PRESUPUESTO'!R8)*'PROGRAMA DE OBRA'!K10</f>
        <v>0</v>
      </c>
      <c r="L10" s="57">
        <f t="shared" si="0"/>
        <v>1218063.9999999998</v>
      </c>
      <c r="M10" s="58">
        <f t="shared" si="1"/>
        <v>0.99999999999999978</v>
      </c>
      <c r="N10" s="59">
        <f>'BASE PRESUPUESTO'!O8*SUM('PROGRAMA DE OBRA'!U10:Z10)</f>
        <v>1080715.3223867677</v>
      </c>
      <c r="O10" s="59">
        <f>'BASE PRESUPUESTO'!P8*SUM('PROGRAMA DE OBRA'!F10:K10)</f>
        <v>132020.66615382885</v>
      </c>
      <c r="P10" s="59">
        <f>'BASE PRESUPUESTO'!Q8*SUM('PROGRAMA DE OBRA'!F10:K10)</f>
        <v>5328.0114594031065</v>
      </c>
      <c r="Q10" s="59">
        <f>'BASE PRESUPUESTO'!R8*SUM('PROGRAMA DE OBRA'!F10:K10)</f>
        <v>0</v>
      </c>
      <c r="R10" t="s">
        <v>99</v>
      </c>
      <c r="S10" t="s">
        <v>22</v>
      </c>
    </row>
    <row r="11" spans="1:19" x14ac:dyDescent="0.3">
      <c r="A11" s="52" t="str">
        <f>'BASE PRESUPUESTO'!C9</f>
        <v>2.2</v>
      </c>
      <c r="B11" s="53" t="str">
        <f>'BASE PRESUPUESTO'!D9</f>
        <v>VALVULA CIERRE RAPIDO 2"</v>
      </c>
      <c r="C11" s="52" t="str">
        <f>'BASE PRESUPUESTO'!E9</f>
        <v>UND</v>
      </c>
      <c r="D11" s="54">
        <f>'BASE PRESUPUESTO'!F9</f>
        <v>1</v>
      </c>
      <c r="E11" s="55">
        <f>'BASE PRESUPUESTO'!H9</f>
        <v>189699</v>
      </c>
      <c r="F11" s="56">
        <f>'BASE PRESUPUESTO'!O9*'PROGRAMA DE OBRA'!U11+('BASE PRESUPUESTO'!P9+'BASE PRESUPUESTO'!Q9+'BASE PRESUPUESTO'!R9)*'PROGRAMA DE OBRA'!F11</f>
        <v>0</v>
      </c>
      <c r="G11" s="56">
        <f>'BASE PRESUPUESTO'!O9*'PROGRAMA DE OBRA'!V11+('BASE PRESUPUESTO'!P9+'BASE PRESUPUESTO'!Q9+'BASE PRESUPUESTO'!R9)*'PROGRAMA DE OBRA'!G11</f>
        <v>171284.78169354275</v>
      </c>
      <c r="H11" s="56">
        <f>'BASE PRESUPUESTO'!O9*'PROGRAMA DE OBRA'!W11+('BASE PRESUPUESTO'!P9+'BASE PRESUPUESTO'!Q9+'BASE PRESUPUESTO'!R9)*'PROGRAMA DE OBRA'!H11</f>
        <v>18414.218306457209</v>
      </c>
      <c r="I11" s="56">
        <f>'BASE PRESUPUESTO'!O9*'PROGRAMA DE OBRA'!X11+('BASE PRESUPUESTO'!P9+'BASE PRESUPUESTO'!Q9+'BASE PRESUPUESTO'!R9)*'PROGRAMA DE OBRA'!I11</f>
        <v>0</v>
      </c>
      <c r="J11" s="56">
        <f>'BASE PRESUPUESTO'!O9*'PROGRAMA DE OBRA'!Y11+('BASE PRESUPUESTO'!P9+'BASE PRESUPUESTO'!Q9+'BASE PRESUPUESTO'!R9)*'PROGRAMA DE OBRA'!J11</f>
        <v>0</v>
      </c>
      <c r="K11" s="56">
        <f>'BASE PRESUPUESTO'!O9*'PROGRAMA DE OBRA'!Z11+('BASE PRESUPUESTO'!P9+'BASE PRESUPUESTO'!Q9+'BASE PRESUPUESTO'!R9)*'PROGRAMA DE OBRA'!K11</f>
        <v>0</v>
      </c>
      <c r="L11" s="57">
        <f t="shared" si="0"/>
        <v>189698.99999999997</v>
      </c>
      <c r="M11" s="58">
        <f t="shared" si="1"/>
        <v>0.99999999999999989</v>
      </c>
      <c r="N11" s="59">
        <f>'BASE PRESUPUESTO'!O9*SUM('PROGRAMA DE OBRA'!U11:Z11)</f>
        <v>171284.78169354275</v>
      </c>
      <c r="O11" s="59">
        <f>'BASE PRESUPUESTO'!P9*SUM('PROGRAMA DE OBRA'!F11:K11)</f>
        <v>16627.732404334733</v>
      </c>
      <c r="P11" s="59">
        <f>'BASE PRESUPUESTO'!Q9*SUM('PROGRAMA DE OBRA'!F11:K11)</f>
        <v>1786.4859021224747</v>
      </c>
      <c r="Q11" s="59">
        <f>'BASE PRESUPUESTO'!R9*SUM('PROGRAMA DE OBRA'!F11:K11)</f>
        <v>0</v>
      </c>
      <c r="R11" t="s">
        <v>99</v>
      </c>
      <c r="S11" t="s">
        <v>22</v>
      </c>
    </row>
    <row r="12" spans="1:19" x14ac:dyDescent="0.3">
      <c r="A12" s="52" t="str">
        <f>'BASE PRESUPUESTO'!C10</f>
        <v>2.3</v>
      </c>
      <c r="B12" s="53" t="str">
        <f>'BASE PRESUPUESTO'!D10</f>
        <v>COLCHON ARENA GRUESA E=5-7CM</v>
      </c>
      <c r="C12" s="52" t="str">
        <f>'BASE PRESUPUESTO'!E10</f>
        <v>M3</v>
      </c>
      <c r="D12" s="54">
        <f>'BASE PRESUPUESTO'!F10</f>
        <v>3.5</v>
      </c>
      <c r="E12" s="55">
        <f>'BASE PRESUPUESTO'!H10</f>
        <v>254667</v>
      </c>
      <c r="F12" s="56">
        <f>'BASE PRESUPUESTO'!O10*'PROGRAMA DE OBRA'!U12+('BASE PRESUPUESTO'!P10+'BASE PRESUPUESTO'!Q10+'BASE PRESUPUESTO'!R10)*'PROGRAMA DE OBRA'!F12</f>
        <v>229431.93868863335</v>
      </c>
      <c r="G12" s="56">
        <f>'BASE PRESUPUESTO'!O10*'PROGRAMA DE OBRA'!V12+('BASE PRESUPUESTO'!P10+'BASE PRESUPUESTO'!Q10+'BASE PRESUPUESTO'!R10)*'PROGRAMA DE OBRA'!G12</f>
        <v>25235.06131136672</v>
      </c>
      <c r="H12" s="56">
        <f>'BASE PRESUPUESTO'!O10*'PROGRAMA DE OBRA'!W12+('BASE PRESUPUESTO'!P10+'BASE PRESUPUESTO'!Q10+'BASE PRESUPUESTO'!R10)*'PROGRAMA DE OBRA'!H12</f>
        <v>0</v>
      </c>
      <c r="I12" s="56">
        <f>'BASE PRESUPUESTO'!O10*'PROGRAMA DE OBRA'!X12+('BASE PRESUPUESTO'!P10+'BASE PRESUPUESTO'!Q10+'BASE PRESUPUESTO'!R10)*'PROGRAMA DE OBRA'!I12</f>
        <v>0</v>
      </c>
      <c r="J12" s="56">
        <f>'BASE PRESUPUESTO'!O10*'PROGRAMA DE OBRA'!Y12+('BASE PRESUPUESTO'!P10+'BASE PRESUPUESTO'!Q10+'BASE PRESUPUESTO'!R10)*'PROGRAMA DE OBRA'!J12</f>
        <v>0</v>
      </c>
      <c r="K12" s="56">
        <f>'BASE PRESUPUESTO'!O10*'PROGRAMA DE OBRA'!Z12+('BASE PRESUPUESTO'!P10+'BASE PRESUPUESTO'!Q10+'BASE PRESUPUESTO'!R10)*'PROGRAMA DE OBRA'!K12</f>
        <v>0</v>
      </c>
      <c r="L12" s="57">
        <f t="shared" si="0"/>
        <v>254667.00000000006</v>
      </c>
      <c r="M12" s="58">
        <f t="shared" si="1"/>
        <v>1.0000000000000002</v>
      </c>
      <c r="N12" s="59">
        <f>'BASE PRESUPUESTO'!O10*SUM('PROGRAMA DE OBRA'!U12:Z12)</f>
        <v>229431.93868863335</v>
      </c>
      <c r="O12" s="59">
        <f>'BASE PRESUPUESTO'!P10*SUM('PROGRAMA DE OBRA'!F12:K12)</f>
        <v>24643.091881773147</v>
      </c>
      <c r="P12" s="59">
        <f>'BASE PRESUPUESTO'!Q10*SUM('PROGRAMA DE OBRA'!F12:K12)</f>
        <v>591.96942959357261</v>
      </c>
      <c r="Q12" s="59">
        <f>'BASE PRESUPUESTO'!R10*SUM('PROGRAMA DE OBRA'!F12:K12)</f>
        <v>0</v>
      </c>
      <c r="R12" t="s">
        <v>99</v>
      </c>
      <c r="S12" t="s">
        <v>22</v>
      </c>
    </row>
    <row r="13" spans="1:19" x14ac:dyDescent="0.3">
      <c r="A13" s="52" t="str">
        <f>'BASE PRESUPUESTO'!C11</f>
        <v>2.4</v>
      </c>
      <c r="B13" s="53" t="str">
        <f>'BASE PRESUPUESTO'!D11</f>
        <v>TUBERIA PVC RED 21 DIAMETRO 2"</v>
      </c>
      <c r="C13" s="52" t="str">
        <f>'BASE PRESUPUESTO'!E11</f>
        <v>ML</v>
      </c>
      <c r="D13" s="54">
        <f>'BASE PRESUPUESTO'!F11</f>
        <v>250</v>
      </c>
      <c r="E13" s="55">
        <f>'BASE PRESUPUESTO'!H11</f>
        <v>7769250</v>
      </c>
      <c r="F13" s="56">
        <f>'BASE PRESUPUESTO'!O11*'PROGRAMA DE OBRA'!U13+('BASE PRESUPUESTO'!P11+'BASE PRESUPUESTO'!Q11+'BASE PRESUPUESTO'!R11)*'PROGRAMA DE OBRA'!F13</f>
        <v>5086536.5266890228</v>
      </c>
      <c r="G13" s="56">
        <f>'BASE PRESUPUESTO'!O11*'PROGRAMA DE OBRA'!V13+('BASE PRESUPUESTO'!P11+'BASE PRESUPUESTO'!Q11+'BASE PRESUPUESTO'!R11)*'PROGRAMA DE OBRA'!G13</f>
        <v>1341356.7366554886</v>
      </c>
      <c r="H13" s="56">
        <f>'BASE PRESUPUESTO'!O11*'PROGRAMA DE OBRA'!W13+('BASE PRESUPUESTO'!P11+'BASE PRESUPUESTO'!Q11+'BASE PRESUPUESTO'!R11)*'PROGRAMA DE OBRA'!H13</f>
        <v>1341356.7366554886</v>
      </c>
      <c r="I13" s="56">
        <f>'BASE PRESUPUESTO'!O11*'PROGRAMA DE OBRA'!X13+('BASE PRESUPUESTO'!P11+'BASE PRESUPUESTO'!Q11+'BASE PRESUPUESTO'!R11)*'PROGRAMA DE OBRA'!I13</f>
        <v>0</v>
      </c>
      <c r="J13" s="56">
        <f>'BASE PRESUPUESTO'!O11*'PROGRAMA DE OBRA'!Y13+('BASE PRESUPUESTO'!P11+'BASE PRESUPUESTO'!Q11+'BASE PRESUPUESTO'!R11)*'PROGRAMA DE OBRA'!J13</f>
        <v>0</v>
      </c>
      <c r="K13" s="56">
        <f>'BASE PRESUPUESTO'!O11*'PROGRAMA DE OBRA'!Z13+('BASE PRESUPUESTO'!P11+'BASE PRESUPUESTO'!Q11+'BASE PRESUPUESTO'!R11)*'PROGRAMA DE OBRA'!K13</f>
        <v>0</v>
      </c>
      <c r="L13" s="57">
        <f t="shared" si="0"/>
        <v>7769250</v>
      </c>
      <c r="M13" s="58">
        <f t="shared" si="1"/>
        <v>1</v>
      </c>
      <c r="N13" s="59">
        <f>'BASE PRESUPUESTO'!O11*SUM('PROGRAMA DE OBRA'!U13:Z13)</f>
        <v>5086536.5266890228</v>
      </c>
      <c r="O13" s="59">
        <f>'BASE PRESUPUESTO'!P11*SUM('PROGRAMA DE OBRA'!F13:K13)</f>
        <v>2471347.5781198693</v>
      </c>
      <c r="P13" s="59">
        <f>'BASE PRESUPUESTO'!Q11*SUM('PROGRAMA DE OBRA'!F13:K13)</f>
        <v>211365.89519110805</v>
      </c>
      <c r="Q13" s="59">
        <f>'BASE PRESUPUESTO'!R11*SUM('PROGRAMA DE OBRA'!F13:K13)</f>
        <v>0</v>
      </c>
      <c r="R13" t="s">
        <v>99</v>
      </c>
      <c r="S13" t="s">
        <v>22</v>
      </c>
    </row>
    <row r="14" spans="1:19" x14ac:dyDescent="0.3">
      <c r="A14" s="52" t="str">
        <f>'BASE PRESUPUESTO'!C12</f>
        <v>2.5</v>
      </c>
      <c r="B14" s="53" t="str">
        <f>'BASE PRESUPUESTO'!D12</f>
        <v>CAJA INSPECCION 80x 80 CM [CONCRETO]</v>
      </c>
      <c r="C14" s="52" t="str">
        <f>'BASE PRESUPUESTO'!E12</f>
        <v>UND</v>
      </c>
      <c r="D14" s="54">
        <f>'BASE PRESUPUESTO'!F12</f>
        <v>3</v>
      </c>
      <c r="E14" s="55">
        <f>'BASE PRESUPUESTO'!H12</f>
        <v>1817481</v>
      </c>
      <c r="F14" s="56">
        <f>'BASE PRESUPUESTO'!O12*'PROGRAMA DE OBRA'!U14+('BASE PRESUPUESTO'!P12+'BASE PRESUPUESTO'!Q12+'BASE PRESUPUESTO'!R12)*'PROGRAMA DE OBRA'!F14</f>
        <v>0</v>
      </c>
      <c r="G14" s="56">
        <f>'BASE PRESUPUESTO'!O12*'PROGRAMA DE OBRA'!V14+('BASE PRESUPUESTO'!P12+'BASE PRESUPUESTO'!Q12+'BASE PRESUPUESTO'!R12)*'PROGRAMA DE OBRA'!G14</f>
        <v>1030878.9033396359</v>
      </c>
      <c r="H14" s="56">
        <f>'BASE PRESUPUESTO'!O12*'PROGRAMA DE OBRA'!W14+('BASE PRESUPUESTO'!P12+'BASE PRESUPUESTO'!Q12+'BASE PRESUPUESTO'!R12)*'PROGRAMA DE OBRA'!H14</f>
        <v>393301.04833018203</v>
      </c>
      <c r="I14" s="56">
        <f>'BASE PRESUPUESTO'!O12*'PROGRAMA DE OBRA'!X14+('BASE PRESUPUESTO'!P12+'BASE PRESUPUESTO'!Q12+'BASE PRESUPUESTO'!R12)*'PROGRAMA DE OBRA'!I14</f>
        <v>393301.04833018203</v>
      </c>
      <c r="J14" s="56">
        <f>'BASE PRESUPUESTO'!O12*'PROGRAMA DE OBRA'!Y14+('BASE PRESUPUESTO'!P12+'BASE PRESUPUESTO'!Q12+'BASE PRESUPUESTO'!R12)*'PROGRAMA DE OBRA'!J14</f>
        <v>0</v>
      </c>
      <c r="K14" s="56">
        <f>'BASE PRESUPUESTO'!O12*'PROGRAMA DE OBRA'!Z14+('BASE PRESUPUESTO'!P12+'BASE PRESUPUESTO'!Q12+'BASE PRESUPUESTO'!R12)*'PROGRAMA DE OBRA'!K14</f>
        <v>0</v>
      </c>
      <c r="L14" s="57">
        <f t="shared" si="0"/>
        <v>1817481</v>
      </c>
      <c r="M14" s="58">
        <f t="shared" si="1"/>
        <v>1</v>
      </c>
      <c r="N14" s="59">
        <f>'BASE PRESUPUESTO'!O12*SUM('PROGRAMA DE OBRA'!U14:Z14)</f>
        <v>1030878.9033396359</v>
      </c>
      <c r="O14" s="59">
        <f>'BASE PRESUPUESTO'!P12*SUM('PROGRAMA DE OBRA'!F14:K14)</f>
        <v>786094.53676078736</v>
      </c>
      <c r="P14" s="59">
        <f>'BASE PRESUPUESTO'!Q12*SUM('PROGRAMA DE OBRA'!F14:K14)</f>
        <v>507.55989957675581</v>
      </c>
      <c r="Q14" s="59">
        <f>'BASE PRESUPUESTO'!R12*SUM('PROGRAMA DE OBRA'!F14:K14)</f>
        <v>0</v>
      </c>
      <c r="R14" t="s">
        <v>99</v>
      </c>
      <c r="S14" t="s">
        <v>22</v>
      </c>
    </row>
    <row r="15" spans="1:19" x14ac:dyDescent="0.3">
      <c r="A15" s="52" t="str">
        <f>'BASE PRESUPUESTO'!C13</f>
        <v>2.6</v>
      </c>
      <c r="B15" s="53" t="str">
        <f>'BASE PRESUPUESTO'!D13</f>
        <v>ACARREO MATERIALES TRACCION ANIMAL</v>
      </c>
      <c r="C15" s="52" t="str">
        <f>'BASE PRESUPUESTO'!E13</f>
        <v>C-KM</v>
      </c>
      <c r="D15" s="54">
        <f>'BASE PRESUPUESTO'!F13</f>
        <v>9</v>
      </c>
      <c r="E15" s="55">
        <f>'BASE PRESUPUESTO'!H13</f>
        <v>84177</v>
      </c>
      <c r="F15" s="56">
        <f>'BASE PRESUPUESTO'!O13*'PROGRAMA DE OBRA'!U15+('BASE PRESUPUESTO'!P13+'BASE PRESUPUESTO'!Q13+'BASE PRESUPUESTO'!R13)*'PROGRAMA DE OBRA'!F15</f>
        <v>0</v>
      </c>
      <c r="G15" s="56">
        <f>'BASE PRESUPUESTO'!O13*'PROGRAMA DE OBRA'!V15+('BASE PRESUPUESTO'!P13+'BASE PRESUPUESTO'!Q13+'BASE PRESUPUESTO'!R13)*'PROGRAMA DE OBRA'!G15</f>
        <v>42088.5</v>
      </c>
      <c r="H15" s="56">
        <f>'BASE PRESUPUESTO'!O13*'PROGRAMA DE OBRA'!W15+('BASE PRESUPUESTO'!P13+'BASE PRESUPUESTO'!Q13+'BASE PRESUPUESTO'!R13)*'PROGRAMA DE OBRA'!H15</f>
        <v>42088.5</v>
      </c>
      <c r="I15" s="56">
        <f>'BASE PRESUPUESTO'!O13*'PROGRAMA DE OBRA'!X15+('BASE PRESUPUESTO'!P13+'BASE PRESUPUESTO'!Q13+'BASE PRESUPUESTO'!R13)*'PROGRAMA DE OBRA'!I15</f>
        <v>0</v>
      </c>
      <c r="J15" s="56">
        <f>'BASE PRESUPUESTO'!O13*'PROGRAMA DE OBRA'!Y15+('BASE PRESUPUESTO'!P13+'BASE PRESUPUESTO'!Q13+'BASE PRESUPUESTO'!R13)*'PROGRAMA DE OBRA'!J15</f>
        <v>0</v>
      </c>
      <c r="K15" s="56">
        <f>'BASE PRESUPUESTO'!O13*'PROGRAMA DE OBRA'!Z15+('BASE PRESUPUESTO'!P13+'BASE PRESUPUESTO'!Q13+'BASE PRESUPUESTO'!R13)*'PROGRAMA DE OBRA'!K15</f>
        <v>0</v>
      </c>
      <c r="L15" s="57">
        <f t="shared" si="0"/>
        <v>84177</v>
      </c>
      <c r="M15" s="58">
        <f t="shared" si="1"/>
        <v>1</v>
      </c>
      <c r="N15" s="59">
        <f>'BASE PRESUPUESTO'!O13*SUM('PROGRAMA DE OBRA'!U15:Z15)</f>
        <v>0</v>
      </c>
      <c r="O15" s="59">
        <f>'BASE PRESUPUESTO'!P13*SUM('PROGRAMA DE OBRA'!F15:K15)</f>
        <v>0</v>
      </c>
      <c r="P15" s="59">
        <f>'BASE PRESUPUESTO'!Q13*SUM('PROGRAMA DE OBRA'!F15:K15)</f>
        <v>0</v>
      </c>
      <c r="Q15" s="59">
        <f>'BASE PRESUPUESTO'!R13*SUM('PROGRAMA DE OBRA'!F15:K15)</f>
        <v>84177</v>
      </c>
      <c r="R15" t="s">
        <v>99</v>
      </c>
      <c r="S15" t="s">
        <v>22</v>
      </c>
    </row>
    <row r="16" spans="1:19" x14ac:dyDescent="0.3">
      <c r="A16" s="52" t="str">
        <f>'BASE PRESUPUESTO'!C14</f>
        <v>2.7</v>
      </c>
      <c r="B16" s="53" t="str">
        <f>'BASE PRESUPUESTO'!D14</f>
        <v>ACARREO MATERIALES DESDE O HACIA LA OBRA&lt;- 10 KM.</v>
      </c>
      <c r="C16" s="52" t="str">
        <f>'BASE PRESUPUESTO'!E14</f>
        <v>M3</v>
      </c>
      <c r="D16" s="54">
        <f>'BASE PRESUPUESTO'!F14</f>
        <v>2</v>
      </c>
      <c r="E16" s="55">
        <f>'BASE PRESUPUESTO'!H14</f>
        <v>55282</v>
      </c>
      <c r="F16" s="56">
        <f>'BASE PRESUPUESTO'!O14*'PROGRAMA DE OBRA'!U16+('BASE PRESUPUESTO'!P14+'BASE PRESUPUESTO'!Q14+'BASE PRESUPUESTO'!R14)*'PROGRAMA DE OBRA'!F16</f>
        <v>27641</v>
      </c>
      <c r="G16" s="56">
        <f>'BASE PRESUPUESTO'!O14*'PROGRAMA DE OBRA'!V16+('BASE PRESUPUESTO'!P14+'BASE PRESUPUESTO'!Q14+'BASE PRESUPUESTO'!R14)*'PROGRAMA DE OBRA'!G16</f>
        <v>27641</v>
      </c>
      <c r="H16" s="56">
        <f>'BASE PRESUPUESTO'!O14*'PROGRAMA DE OBRA'!W16+('BASE PRESUPUESTO'!P14+'BASE PRESUPUESTO'!Q14+'BASE PRESUPUESTO'!R14)*'PROGRAMA DE OBRA'!H16</f>
        <v>0</v>
      </c>
      <c r="I16" s="56">
        <f>'BASE PRESUPUESTO'!O14*'PROGRAMA DE OBRA'!X16+('BASE PRESUPUESTO'!P14+'BASE PRESUPUESTO'!Q14+'BASE PRESUPUESTO'!R14)*'PROGRAMA DE OBRA'!I16</f>
        <v>0</v>
      </c>
      <c r="J16" s="56">
        <f>'BASE PRESUPUESTO'!O14*'PROGRAMA DE OBRA'!Y16+('BASE PRESUPUESTO'!P14+'BASE PRESUPUESTO'!Q14+'BASE PRESUPUESTO'!R14)*'PROGRAMA DE OBRA'!J16</f>
        <v>0</v>
      </c>
      <c r="K16" s="56">
        <f>'BASE PRESUPUESTO'!O14*'PROGRAMA DE OBRA'!Z16+('BASE PRESUPUESTO'!P14+'BASE PRESUPUESTO'!Q14+'BASE PRESUPUESTO'!R14)*'PROGRAMA DE OBRA'!K16</f>
        <v>0</v>
      </c>
      <c r="L16" s="57">
        <f t="shared" si="0"/>
        <v>55282</v>
      </c>
      <c r="M16" s="58">
        <f t="shared" si="1"/>
        <v>1</v>
      </c>
      <c r="N16" s="59">
        <f>'BASE PRESUPUESTO'!O14*SUM('PROGRAMA DE OBRA'!U16:Z16)</f>
        <v>0</v>
      </c>
      <c r="O16" s="59">
        <f>'BASE PRESUPUESTO'!P14*SUM('PROGRAMA DE OBRA'!F16:K16)</f>
        <v>0</v>
      </c>
      <c r="P16" s="59">
        <f>'BASE PRESUPUESTO'!Q14*SUM('PROGRAMA DE OBRA'!F16:K16)</f>
        <v>0</v>
      </c>
      <c r="Q16" s="59">
        <f>'BASE PRESUPUESTO'!R14*SUM('PROGRAMA DE OBRA'!F16:K16)</f>
        <v>55282</v>
      </c>
      <c r="R16" t="s">
        <v>99</v>
      </c>
      <c r="S16" t="s">
        <v>22</v>
      </c>
    </row>
    <row r="17" spans="1:19" ht="26.4" x14ac:dyDescent="0.3">
      <c r="A17" s="52" t="str">
        <f>'BASE PRESUPUESTO'!C15</f>
        <v>2.8</v>
      </c>
      <c r="B17" s="53" t="str">
        <f>'BASE PRESUPUESTO'!D15</f>
        <v>ACARREO MATERIALES CAMPERO-CAMIONETA</v>
      </c>
      <c r="C17" s="52" t="str">
        <f>'BASE PRESUPUESTO'!E15</f>
        <v>M3-KM</v>
      </c>
      <c r="D17" s="54">
        <f>'BASE PRESUPUESTO'!F15</f>
        <v>60</v>
      </c>
      <c r="E17" s="55">
        <f>'BASE PRESUPUESTO'!H15</f>
        <v>785520</v>
      </c>
      <c r="F17" s="56">
        <f>'BASE PRESUPUESTO'!O15*'PROGRAMA DE OBRA'!U17+('BASE PRESUPUESTO'!P15+'BASE PRESUPUESTO'!Q15+'BASE PRESUPUESTO'!R15)*'PROGRAMA DE OBRA'!F17</f>
        <v>261839.99999999974</v>
      </c>
      <c r="G17" s="56">
        <f>'BASE PRESUPUESTO'!O15*'PROGRAMA DE OBRA'!V17+('BASE PRESUPUESTO'!P15+'BASE PRESUPUESTO'!Q15+'BASE PRESUPUESTO'!R15)*'PROGRAMA DE OBRA'!G17</f>
        <v>261839.99999999974</v>
      </c>
      <c r="H17" s="56">
        <f>'BASE PRESUPUESTO'!O15*'PROGRAMA DE OBRA'!W17+('BASE PRESUPUESTO'!P15+'BASE PRESUPUESTO'!Q15+'BASE PRESUPUESTO'!R15)*'PROGRAMA DE OBRA'!H17</f>
        <v>261839.99999999974</v>
      </c>
      <c r="I17" s="56">
        <f>'BASE PRESUPUESTO'!O15*'PROGRAMA DE OBRA'!X17+('BASE PRESUPUESTO'!P15+'BASE PRESUPUESTO'!Q15+'BASE PRESUPUESTO'!R15)*'PROGRAMA DE OBRA'!I17</f>
        <v>0</v>
      </c>
      <c r="J17" s="56">
        <f>'BASE PRESUPUESTO'!O15*'PROGRAMA DE OBRA'!Y17+('BASE PRESUPUESTO'!P15+'BASE PRESUPUESTO'!Q15+'BASE PRESUPUESTO'!R15)*'PROGRAMA DE OBRA'!J17</f>
        <v>0</v>
      </c>
      <c r="K17" s="56">
        <f>'BASE PRESUPUESTO'!O15*'PROGRAMA DE OBRA'!Z17+('BASE PRESUPUESTO'!P15+'BASE PRESUPUESTO'!Q15+'BASE PRESUPUESTO'!R15)*'PROGRAMA DE OBRA'!K17</f>
        <v>0</v>
      </c>
      <c r="L17" s="57">
        <f t="shared" si="0"/>
        <v>785519.99999999919</v>
      </c>
      <c r="M17" s="58">
        <f t="shared" si="1"/>
        <v>0.999999999999999</v>
      </c>
      <c r="N17" s="59">
        <f>'BASE PRESUPUESTO'!O15*SUM('PROGRAMA DE OBRA'!U17:Z17)</f>
        <v>0</v>
      </c>
      <c r="O17" s="59">
        <f>'BASE PRESUPUESTO'!P15*SUM('PROGRAMA DE OBRA'!F17:K17)</f>
        <v>0</v>
      </c>
      <c r="P17" s="59">
        <f>'BASE PRESUPUESTO'!Q15*SUM('PROGRAMA DE OBRA'!F17:K17)</f>
        <v>0</v>
      </c>
      <c r="Q17" s="59">
        <f>'BASE PRESUPUESTO'!R15*SUM('PROGRAMA DE OBRA'!F17:K17)</f>
        <v>785519.99999999919</v>
      </c>
      <c r="R17" t="s">
        <v>99</v>
      </c>
      <c r="S17" t="s">
        <v>22</v>
      </c>
    </row>
    <row r="18" spans="1:19" ht="19.5" customHeight="1" x14ac:dyDescent="0.3">
      <c r="A18" s="167" t="s">
        <v>100</v>
      </c>
      <c r="B18" s="167"/>
      <c r="C18" s="167"/>
      <c r="D18" s="167"/>
      <c r="E18" s="60">
        <f t="shared" ref="E18:L18" si="2">SUM(E7:E17)</f>
        <v>14792621</v>
      </c>
      <c r="F18" s="60">
        <f t="shared" si="2"/>
        <v>7206147.9653776558</v>
      </c>
      <c r="G18" s="60">
        <f t="shared" si="2"/>
        <v>4904988.8053868013</v>
      </c>
      <c r="H18" s="60">
        <f t="shared" si="2"/>
        <v>2241266.1809053593</v>
      </c>
      <c r="I18" s="60">
        <f t="shared" si="2"/>
        <v>440218.04833018203</v>
      </c>
      <c r="J18" s="60">
        <f t="shared" si="2"/>
        <v>0</v>
      </c>
      <c r="K18" s="60">
        <f t="shared" si="2"/>
        <v>0</v>
      </c>
      <c r="L18" s="60">
        <f t="shared" si="2"/>
        <v>14792621</v>
      </c>
      <c r="M18" s="61">
        <f t="shared" si="1"/>
        <v>1</v>
      </c>
      <c r="N18" s="60">
        <f>SUM(N7:N17)</f>
        <v>7710354.0635085423</v>
      </c>
      <c r="O18" s="60">
        <f>SUM(O7:O17)</f>
        <v>5600745.5252431827</v>
      </c>
      <c r="P18" s="60">
        <f>SUM(P7:P17)</f>
        <v>368874.41124827502</v>
      </c>
      <c r="Q18" s="60">
        <f>SUM(Q7:Q17)</f>
        <v>1112646.9999999991</v>
      </c>
      <c r="R18" t="s">
        <v>101</v>
      </c>
    </row>
    <row r="20" spans="1:19" ht="19.5" customHeight="1" x14ac:dyDescent="0.3">
      <c r="A20" s="168" t="s">
        <v>102</v>
      </c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  <c r="P20" s="168"/>
      <c r="Q20" s="168"/>
    </row>
    <row r="21" spans="1:19" x14ac:dyDescent="0.3">
      <c r="A21" s="52" t="str">
        <f>'BASE PRESUPUESTO'!C16</f>
        <v>1.1</v>
      </c>
      <c r="B21" s="53" t="str">
        <f>'BASE PRESUPUESTO'!D16</f>
        <v>LOCALIZACION-REPLANTEO CERRAMIENTO-VARIO</v>
      </c>
      <c r="C21" s="52" t="str">
        <f>'BASE PRESUPUESTO'!E16</f>
        <v>M</v>
      </c>
      <c r="D21" s="54">
        <f>'BASE PRESUPUESTO'!F16</f>
        <v>29</v>
      </c>
      <c r="E21" s="55">
        <f>'BASE PRESUPUESTO'!H16</f>
        <v>88276</v>
      </c>
      <c r="F21" s="56">
        <f>'BASE PRESUPUESTO'!O16*'PROGRAMA DE OBRA'!U19+('BASE PRESUPUESTO'!P16+'BASE PRESUPUESTO'!Q16+'BASE PRESUPUESTO'!R16)*'PROGRAMA DE OBRA'!F19</f>
        <v>12990.031245154065</v>
      </c>
      <c r="G21" s="56">
        <f>'BASE PRESUPUESTO'!O16*'PROGRAMA DE OBRA'!V19+('BASE PRESUPUESTO'!P16+'BASE PRESUPUESTO'!Q16+'BASE PRESUPUESTO'!R16)*'PROGRAMA DE OBRA'!G19</f>
        <v>75285.968754846021</v>
      </c>
      <c r="H21" s="56">
        <f>'BASE PRESUPUESTO'!O16*'PROGRAMA DE OBRA'!W19+('BASE PRESUPUESTO'!P16+'BASE PRESUPUESTO'!Q16+'BASE PRESUPUESTO'!R16)*'PROGRAMA DE OBRA'!H19</f>
        <v>0</v>
      </c>
      <c r="I21" s="56">
        <f>'BASE PRESUPUESTO'!O16*'PROGRAMA DE OBRA'!X19+('BASE PRESUPUESTO'!P16+'BASE PRESUPUESTO'!Q16+'BASE PRESUPUESTO'!R16)*'PROGRAMA DE OBRA'!I19</f>
        <v>0</v>
      </c>
      <c r="J21" s="56">
        <f>'BASE PRESUPUESTO'!O16*'PROGRAMA DE OBRA'!Y19+('BASE PRESUPUESTO'!P16+'BASE PRESUPUESTO'!Q16+'BASE PRESUPUESTO'!R16)*'PROGRAMA DE OBRA'!J19</f>
        <v>0</v>
      </c>
      <c r="K21" s="56">
        <f>'BASE PRESUPUESTO'!O16*'PROGRAMA DE OBRA'!Z19+('BASE PRESUPUESTO'!P16+'BASE PRESUPUESTO'!Q16+'BASE PRESUPUESTO'!R16)*'PROGRAMA DE OBRA'!K19</f>
        <v>0</v>
      </c>
      <c r="L21" s="57">
        <f t="shared" ref="L21:L42" si="3">SUM(F21:K21)</f>
        <v>88276.000000000087</v>
      </c>
      <c r="M21" s="58">
        <f t="shared" ref="M21:M43" si="4">IF(E21=0,0,L21/E21)</f>
        <v>1.0000000000000009</v>
      </c>
      <c r="N21" s="59">
        <f>'BASE PRESUPUESTO'!O16*SUM('PROGRAMA DE OBRA'!U19:Z19)</f>
        <v>12990.031245154065</v>
      </c>
      <c r="O21" s="59">
        <f>'BASE PRESUPUESTO'!P16*SUM('PROGRAMA DE OBRA'!F19:K19)</f>
        <v>64800.741740820304</v>
      </c>
      <c r="P21" s="59">
        <f>'BASE PRESUPUESTO'!Q16*SUM('PROGRAMA DE OBRA'!F19:K19)</f>
        <v>10485.227014025715</v>
      </c>
      <c r="Q21" s="59">
        <f>'BASE PRESUPUESTO'!R16*SUM('PROGRAMA DE OBRA'!F19:K19)</f>
        <v>0</v>
      </c>
      <c r="R21" t="s">
        <v>99</v>
      </c>
      <c r="S21" t="s">
        <v>23</v>
      </c>
    </row>
    <row r="22" spans="1:19" x14ac:dyDescent="0.3">
      <c r="A22" s="52" t="str">
        <f>'BASE PRESUPUESTO'!C17</f>
        <v>1.2</v>
      </c>
      <c r="B22" s="53" t="str">
        <f>'BASE PRESUPUESTO'!D17</f>
        <v>BODEGAJE</v>
      </c>
      <c r="C22" s="52" t="str">
        <f>'BASE PRESUPUESTO'!E17</f>
        <v>MES</v>
      </c>
      <c r="D22" s="54">
        <f>'BASE PRESUPUESTO'!F17</f>
        <v>2</v>
      </c>
      <c r="E22" s="55">
        <f>'BASE PRESUPUESTO'!H17</f>
        <v>375336</v>
      </c>
      <c r="F22" s="56">
        <f>'BASE PRESUPUESTO'!O17*'PROGRAMA DE OBRA'!U20+('BASE PRESUPUESTO'!P17+'BASE PRESUPUESTO'!Q17+'BASE PRESUPUESTO'!R17)*'PROGRAMA DE OBRA'!F20</f>
        <v>0</v>
      </c>
      <c r="G22" s="56">
        <f>'BASE PRESUPUESTO'!O17*'PROGRAMA DE OBRA'!V20+('BASE PRESUPUESTO'!P17+'BASE PRESUPUESTO'!Q17+'BASE PRESUPUESTO'!R17)*'PROGRAMA DE OBRA'!G20</f>
        <v>46917</v>
      </c>
      <c r="H22" s="56">
        <f>'BASE PRESUPUESTO'!O17*'PROGRAMA DE OBRA'!W20+('BASE PRESUPUESTO'!P17+'BASE PRESUPUESTO'!Q17+'BASE PRESUPUESTO'!R17)*'PROGRAMA DE OBRA'!H20</f>
        <v>46917</v>
      </c>
      <c r="I22" s="56">
        <f>'BASE PRESUPUESTO'!O17*'PROGRAMA DE OBRA'!X20+('BASE PRESUPUESTO'!P17+'BASE PRESUPUESTO'!Q17+'BASE PRESUPUESTO'!R17)*'PROGRAMA DE OBRA'!I20</f>
        <v>46917</v>
      </c>
      <c r="J22" s="56">
        <f>'BASE PRESUPUESTO'!O17*'PROGRAMA DE OBRA'!Y20+('BASE PRESUPUESTO'!P17+'BASE PRESUPUESTO'!Q17+'BASE PRESUPUESTO'!R17)*'PROGRAMA DE OBRA'!J20</f>
        <v>46917</v>
      </c>
      <c r="K22" s="56">
        <f>'BASE PRESUPUESTO'!O17*'PROGRAMA DE OBRA'!Z20+('BASE PRESUPUESTO'!P17+'BASE PRESUPUESTO'!Q17+'BASE PRESUPUESTO'!R17)*'PROGRAMA DE OBRA'!K20</f>
        <v>46917</v>
      </c>
      <c r="L22" s="57">
        <f t="shared" si="3"/>
        <v>234585</v>
      </c>
      <c r="M22" s="58">
        <f t="shared" si="4"/>
        <v>0.625</v>
      </c>
      <c r="N22" s="59">
        <f>'BASE PRESUPUESTO'!O17*SUM('PROGRAMA DE OBRA'!U20:Z20)</f>
        <v>0</v>
      </c>
      <c r="O22" s="59">
        <f>'BASE PRESUPUESTO'!P17*SUM('PROGRAMA DE OBRA'!F20:K20)</f>
        <v>0</v>
      </c>
      <c r="P22" s="59">
        <f>'BASE PRESUPUESTO'!Q17*SUM('PROGRAMA DE OBRA'!F20:K20)</f>
        <v>0</v>
      </c>
      <c r="Q22" s="59">
        <f>'BASE PRESUPUESTO'!R17*SUM('PROGRAMA DE OBRA'!F20:K20)</f>
        <v>234585</v>
      </c>
      <c r="R22" t="s">
        <v>99</v>
      </c>
      <c r="S22" t="s">
        <v>23</v>
      </c>
    </row>
    <row r="23" spans="1:19" x14ac:dyDescent="0.3">
      <c r="A23" s="52" t="str">
        <f>'BASE PRESUPUESTO'!C18</f>
        <v>1.3</v>
      </c>
      <c r="B23" s="53" t="str">
        <f>'BASE PRESUPUESTO'!D18</f>
        <v>EXCAVACION EN CONGLOMERADO (MANUAL)</v>
      </c>
      <c r="C23" s="52" t="str">
        <f>'BASE PRESUPUESTO'!E18</f>
        <v>M3</v>
      </c>
      <c r="D23" s="54">
        <f>'BASE PRESUPUESTO'!F18</f>
        <v>74.44</v>
      </c>
      <c r="E23" s="55">
        <f>'BASE PRESUPUESTO'!H18</f>
        <v>3481931</v>
      </c>
      <c r="F23" s="56">
        <f>'BASE PRESUPUESTO'!O18*'PROGRAMA DE OBRA'!U21+('BASE PRESUPUESTO'!P18+'BASE PRESUPUESTO'!Q18+'BASE PRESUPUESTO'!R18)*'PROGRAMA DE OBRA'!F21</f>
        <v>0</v>
      </c>
      <c r="G23" s="56">
        <f>'BASE PRESUPUESTO'!O18*'PROGRAMA DE OBRA'!V21+('BASE PRESUPUESTO'!P18+'BASE PRESUPUESTO'!Q18+'BASE PRESUPUESTO'!R18)*'PROGRAMA DE OBRA'!G21</f>
        <v>1740965.4999999998</v>
      </c>
      <c r="H23" s="56">
        <f>'BASE PRESUPUESTO'!O18*'PROGRAMA DE OBRA'!W21+('BASE PRESUPUESTO'!P18+'BASE PRESUPUESTO'!Q18+'BASE PRESUPUESTO'!R18)*'PROGRAMA DE OBRA'!H21</f>
        <v>1740965.4999999998</v>
      </c>
      <c r="I23" s="56">
        <f>'BASE PRESUPUESTO'!O18*'PROGRAMA DE OBRA'!X21+('BASE PRESUPUESTO'!P18+'BASE PRESUPUESTO'!Q18+'BASE PRESUPUESTO'!R18)*'PROGRAMA DE OBRA'!I21</f>
        <v>0</v>
      </c>
      <c r="J23" s="56">
        <f>'BASE PRESUPUESTO'!O18*'PROGRAMA DE OBRA'!Y21+('BASE PRESUPUESTO'!P18+'BASE PRESUPUESTO'!Q18+'BASE PRESUPUESTO'!R18)*'PROGRAMA DE OBRA'!J21</f>
        <v>0</v>
      </c>
      <c r="K23" s="56">
        <f>'BASE PRESUPUESTO'!O18*'PROGRAMA DE OBRA'!Z21+('BASE PRESUPUESTO'!P18+'BASE PRESUPUESTO'!Q18+'BASE PRESUPUESTO'!R18)*'PROGRAMA DE OBRA'!K21</f>
        <v>0</v>
      </c>
      <c r="L23" s="57">
        <f t="shared" si="3"/>
        <v>3481930.9999999995</v>
      </c>
      <c r="M23" s="58">
        <f t="shared" si="4"/>
        <v>0.99999999999999989</v>
      </c>
      <c r="N23" s="59">
        <f>'BASE PRESUPUESTO'!O18*SUM('PROGRAMA DE OBRA'!U21:Z21)</f>
        <v>0</v>
      </c>
      <c r="O23" s="59">
        <f>'BASE PRESUPUESTO'!P18*SUM('PROGRAMA DE OBRA'!F21:K21)</f>
        <v>3364238.0794598036</v>
      </c>
      <c r="P23" s="59">
        <f>'BASE PRESUPUESTO'!Q18*SUM('PROGRAMA DE OBRA'!F21:K21)</f>
        <v>117692.92054019593</v>
      </c>
      <c r="Q23" s="59">
        <f>'BASE PRESUPUESTO'!R18*SUM('PROGRAMA DE OBRA'!F21:K21)</f>
        <v>0</v>
      </c>
      <c r="R23" t="s">
        <v>99</v>
      </c>
      <c r="S23" t="s">
        <v>23</v>
      </c>
    </row>
    <row r="24" spans="1:19" x14ac:dyDescent="0.3">
      <c r="A24" s="52" t="str">
        <f>'BASE PRESUPUESTO'!C19</f>
        <v>2.1</v>
      </c>
      <c r="B24" s="53" t="str">
        <f>'BASE PRESUPUESTO'!D19</f>
        <v>SOLADO ESPESOR E=0.05M 3000 PSI 210 MPA</v>
      </c>
      <c r="C24" s="52" t="str">
        <f>'BASE PRESUPUESTO'!E19</f>
        <v>M2</v>
      </c>
      <c r="D24" s="54">
        <f>'BASE PRESUPUESTO'!F19</f>
        <v>5.82</v>
      </c>
      <c r="E24" s="55">
        <f>'BASE PRESUPUESTO'!H19</f>
        <v>226706</v>
      </c>
      <c r="F24" s="56">
        <f>'BASE PRESUPUESTO'!O19*'PROGRAMA DE OBRA'!U22+('BASE PRESUPUESTO'!P19+'BASE PRESUPUESTO'!Q19+'BASE PRESUPUESTO'!R19)*'PROGRAMA DE OBRA'!F22</f>
        <v>0</v>
      </c>
      <c r="G24" s="56">
        <f>'BASE PRESUPUESTO'!O19*'PROGRAMA DE OBRA'!V22+('BASE PRESUPUESTO'!P19+'BASE PRESUPUESTO'!Q19+'BASE PRESUPUESTO'!R19)*'PROGRAMA DE OBRA'!G22</f>
        <v>0</v>
      </c>
      <c r="H24" s="56">
        <f>'BASE PRESUPUESTO'!O19*'PROGRAMA DE OBRA'!W22+('BASE PRESUPUESTO'!P19+'BASE PRESUPUESTO'!Q19+'BASE PRESUPUESTO'!R19)*'PROGRAMA DE OBRA'!H22</f>
        <v>139582.09332643388</v>
      </c>
      <c r="I24" s="56">
        <f>'BASE PRESUPUESTO'!O19*'PROGRAMA DE OBRA'!X22+('BASE PRESUPUESTO'!P19+'BASE PRESUPUESTO'!Q19+'BASE PRESUPUESTO'!R19)*'PROGRAMA DE OBRA'!I22</f>
        <v>87123.906673566104</v>
      </c>
      <c r="J24" s="56">
        <f>'BASE PRESUPUESTO'!O19*'PROGRAMA DE OBRA'!Y22+('BASE PRESUPUESTO'!P19+'BASE PRESUPUESTO'!Q19+'BASE PRESUPUESTO'!R19)*'PROGRAMA DE OBRA'!J22</f>
        <v>0</v>
      </c>
      <c r="K24" s="56">
        <f>'BASE PRESUPUESTO'!O19*'PROGRAMA DE OBRA'!Z22+('BASE PRESUPUESTO'!P19+'BASE PRESUPUESTO'!Q19+'BASE PRESUPUESTO'!R19)*'PROGRAMA DE OBRA'!K22</f>
        <v>0</v>
      </c>
      <c r="L24" s="57">
        <f t="shared" si="3"/>
        <v>226706</v>
      </c>
      <c r="M24" s="58">
        <f t="shared" si="4"/>
        <v>1</v>
      </c>
      <c r="N24" s="59">
        <f>'BASE PRESUPUESTO'!O19*SUM('PROGRAMA DE OBRA'!U22:Z22)</f>
        <v>139582.09332643388</v>
      </c>
      <c r="O24" s="59">
        <f>'BASE PRESUPUESTO'!P19*SUM('PROGRAMA DE OBRA'!F22:K22)</f>
        <v>86137.576272451915</v>
      </c>
      <c r="P24" s="59">
        <f>'BASE PRESUPUESTO'!Q19*SUM('PROGRAMA DE OBRA'!F22:K22)</f>
        <v>986.33040111419268</v>
      </c>
      <c r="Q24" s="59">
        <f>'BASE PRESUPUESTO'!R19*SUM('PROGRAMA DE OBRA'!F22:K22)</f>
        <v>0</v>
      </c>
      <c r="R24" t="s">
        <v>99</v>
      </c>
      <c r="S24" t="s">
        <v>23</v>
      </c>
    </row>
    <row r="25" spans="1:19" x14ac:dyDescent="0.3">
      <c r="A25" s="52" t="str">
        <f>'BASE PRESUPUESTO'!C20</f>
        <v>2.2</v>
      </c>
      <c r="B25" s="53" t="str">
        <f>'BASE PRESUPUESTO'!D20</f>
        <v>VIGA CIMIENTO ENLACE H-20-40CM 3100 PSI</v>
      </c>
      <c r="C25" s="52" t="str">
        <f>'BASE PRESUPUESTO'!E20</f>
        <v>M3</v>
      </c>
      <c r="D25" s="54">
        <f>'BASE PRESUPUESTO'!F20</f>
        <v>2.7124999999999999</v>
      </c>
      <c r="E25" s="55">
        <f>'BASE PRESUPUESTO'!H20</f>
        <v>2791721</v>
      </c>
      <c r="F25" s="56">
        <f>'BASE PRESUPUESTO'!O20*'PROGRAMA DE OBRA'!U23+('BASE PRESUPUESTO'!P20+'BASE PRESUPUESTO'!Q20+'BASE PRESUPUESTO'!R20)*'PROGRAMA DE OBRA'!F23</f>
        <v>0</v>
      </c>
      <c r="G25" s="56">
        <f>'BASE PRESUPUESTO'!O20*'PROGRAMA DE OBRA'!V23+('BASE PRESUPUESTO'!P20+'BASE PRESUPUESTO'!Q20+'BASE PRESUPUESTO'!R20)*'PROGRAMA DE OBRA'!G23</f>
        <v>0</v>
      </c>
      <c r="H25" s="56">
        <f>'BASE PRESUPUESTO'!O20*'PROGRAMA DE OBRA'!W23+('BASE PRESUPUESTO'!P20+'BASE PRESUPUESTO'!Q20+'BASE PRESUPUESTO'!R20)*'PROGRAMA DE OBRA'!H23</f>
        <v>1755483.8525108234</v>
      </c>
      <c r="I25" s="56">
        <f>'BASE PRESUPUESTO'!O20*'PROGRAMA DE OBRA'!X23+('BASE PRESUPUESTO'!P20+'BASE PRESUPUESTO'!Q20+'BASE PRESUPUESTO'!R20)*'PROGRAMA DE OBRA'!I23</f>
        <v>518118.57374458807</v>
      </c>
      <c r="J25" s="56">
        <f>'BASE PRESUPUESTO'!O20*'PROGRAMA DE OBRA'!Y23+('BASE PRESUPUESTO'!P20+'BASE PRESUPUESTO'!Q20+'BASE PRESUPUESTO'!R20)*'PROGRAMA DE OBRA'!J23</f>
        <v>518118.57374458807</v>
      </c>
      <c r="K25" s="56">
        <f>'BASE PRESUPUESTO'!O20*'PROGRAMA DE OBRA'!Z23+('BASE PRESUPUESTO'!P20+'BASE PRESUPUESTO'!Q20+'BASE PRESUPUESTO'!R20)*'PROGRAMA DE OBRA'!K23</f>
        <v>0</v>
      </c>
      <c r="L25" s="57">
        <f t="shared" si="3"/>
        <v>2791720.9999999995</v>
      </c>
      <c r="M25" s="58">
        <f t="shared" si="4"/>
        <v>0.99999999999999978</v>
      </c>
      <c r="N25" s="59">
        <f>'BASE PRESUPUESTO'!O20*SUM('PROGRAMA DE OBRA'!U23:Z23)</f>
        <v>1755483.8525108234</v>
      </c>
      <c r="O25" s="59">
        <f>'BASE PRESUPUESTO'!P20*SUM('PROGRAMA DE OBRA'!F23:K23)</f>
        <v>1022880.3207227837</v>
      </c>
      <c r="P25" s="59">
        <f>'BASE PRESUPUESTO'!Q20*SUM('PROGRAMA DE OBRA'!F23:K23)</f>
        <v>13356.826766392467</v>
      </c>
      <c r="Q25" s="59">
        <f>'BASE PRESUPUESTO'!R20*SUM('PROGRAMA DE OBRA'!F23:K23)</f>
        <v>0</v>
      </c>
      <c r="R25" t="s">
        <v>99</v>
      </c>
      <c r="S25" t="s">
        <v>23</v>
      </c>
    </row>
    <row r="26" spans="1:19" x14ac:dyDescent="0.3">
      <c r="A26" s="52" t="str">
        <f>'BASE PRESUPUESTO'!C21</f>
        <v>2.3</v>
      </c>
      <c r="B26" s="53" t="str">
        <f>'BASE PRESUPUESTO'!D21</f>
        <v>COLUMNA AMARRE MURO</v>
      </c>
      <c r="C26" s="52" t="str">
        <f>'BASE PRESUPUESTO'!E21</f>
        <v>ML</v>
      </c>
      <c r="D26" s="54">
        <f>'BASE PRESUPUESTO'!F21</f>
        <v>6</v>
      </c>
      <c r="E26" s="55">
        <f>'BASE PRESUPUESTO'!H21</f>
        <v>462402</v>
      </c>
      <c r="F26" s="56">
        <f>'BASE PRESUPUESTO'!O21*'PROGRAMA DE OBRA'!U24+('BASE PRESUPUESTO'!P21+'BASE PRESUPUESTO'!Q21+'BASE PRESUPUESTO'!R21)*'PROGRAMA DE OBRA'!F24</f>
        <v>0</v>
      </c>
      <c r="G26" s="56">
        <f>'BASE PRESUPUESTO'!O21*'PROGRAMA DE OBRA'!V24+('BASE PRESUPUESTO'!P21+'BASE PRESUPUESTO'!Q21+'BASE PRESUPUESTO'!R21)*'PROGRAMA DE OBRA'!G24</f>
        <v>0</v>
      </c>
      <c r="H26" s="56">
        <f>'BASE PRESUPUESTO'!O21*'PROGRAMA DE OBRA'!W24+('BASE PRESUPUESTO'!P21+'BASE PRESUPUESTO'!Q21+'BASE PRESUPUESTO'!R21)*'PROGRAMA DE OBRA'!H24</f>
        <v>0</v>
      </c>
      <c r="I26" s="56">
        <f>'BASE PRESUPUESTO'!O21*'PROGRAMA DE OBRA'!X24+('BASE PRESUPUESTO'!P21+'BASE PRESUPUESTO'!Q21+'BASE PRESUPUESTO'!R21)*'PROGRAMA DE OBRA'!I24</f>
        <v>146249.86026749251</v>
      </c>
      <c r="J26" s="56">
        <f>'BASE PRESUPUESTO'!O21*'PROGRAMA DE OBRA'!Y24+('BASE PRESUPUESTO'!P21+'BASE PRESUPUESTO'!Q21+'BASE PRESUPUESTO'!R21)*'PROGRAMA DE OBRA'!J24</f>
        <v>316152.1397325077</v>
      </c>
      <c r="K26" s="56">
        <f>'BASE PRESUPUESTO'!O21*'PROGRAMA DE OBRA'!Z24+('BASE PRESUPUESTO'!P21+'BASE PRESUPUESTO'!Q21+'BASE PRESUPUESTO'!R21)*'PROGRAMA DE OBRA'!K24</f>
        <v>0</v>
      </c>
      <c r="L26" s="57">
        <f t="shared" si="3"/>
        <v>462402.00000000023</v>
      </c>
      <c r="M26" s="58">
        <f t="shared" si="4"/>
        <v>1.0000000000000004</v>
      </c>
      <c r="N26" s="59">
        <f>'BASE PRESUPUESTO'!O21*SUM('PROGRAMA DE OBRA'!U24:Z24)</f>
        <v>146249.86026749251</v>
      </c>
      <c r="O26" s="59">
        <f>'BASE PRESUPUESTO'!P21*SUM('PROGRAMA DE OBRA'!F24:K24)</f>
        <v>307898.55448969913</v>
      </c>
      <c r="P26" s="59">
        <f>'BASE PRESUPUESTO'!Q21*SUM('PROGRAMA DE OBRA'!F24:K24)</f>
        <v>8253.5852428085436</v>
      </c>
      <c r="Q26" s="59">
        <f>'BASE PRESUPUESTO'!R21*SUM('PROGRAMA DE OBRA'!F24:K24)</f>
        <v>0</v>
      </c>
      <c r="R26" t="s">
        <v>99</v>
      </c>
      <c r="S26" t="s">
        <v>23</v>
      </c>
    </row>
    <row r="27" spans="1:19" x14ac:dyDescent="0.3">
      <c r="A27" s="52" t="str">
        <f>'BASE PRESUPUESTO'!C22</f>
        <v>2.4</v>
      </c>
      <c r="B27" s="53" t="str">
        <f>'BASE PRESUPUESTO'!D22</f>
        <v>MURO LADRILLO SOGA LIMPIO 2C</v>
      </c>
      <c r="C27" s="52" t="str">
        <f>'BASE PRESUPUESTO'!E22</f>
        <v>M2</v>
      </c>
      <c r="D27" s="54">
        <f>'BASE PRESUPUESTO'!F22</f>
        <v>14</v>
      </c>
      <c r="E27" s="55">
        <f>'BASE PRESUPUESTO'!H22</f>
        <v>1639428</v>
      </c>
      <c r="F27" s="56">
        <f>'BASE PRESUPUESTO'!O22*'PROGRAMA DE OBRA'!U25+('BASE PRESUPUESTO'!P22+'BASE PRESUPUESTO'!Q22+'BASE PRESUPUESTO'!R22)*'PROGRAMA DE OBRA'!F25</f>
        <v>0</v>
      </c>
      <c r="G27" s="56">
        <f>'BASE PRESUPUESTO'!O22*'PROGRAMA DE OBRA'!V25+('BASE PRESUPUESTO'!P22+'BASE PRESUPUESTO'!Q22+'BASE PRESUPUESTO'!R22)*'PROGRAMA DE OBRA'!G25</f>
        <v>0</v>
      </c>
      <c r="H27" s="56">
        <f>'BASE PRESUPUESTO'!O22*'PROGRAMA DE OBRA'!W25+('BASE PRESUPUESTO'!P22+'BASE PRESUPUESTO'!Q22+'BASE PRESUPUESTO'!R22)*'PROGRAMA DE OBRA'!H25</f>
        <v>0</v>
      </c>
      <c r="I27" s="56">
        <f>'BASE PRESUPUESTO'!O22*'PROGRAMA DE OBRA'!X25+('BASE PRESUPUESTO'!P22+'BASE PRESUPUESTO'!Q22+'BASE PRESUPUESTO'!R22)*'PROGRAMA DE OBRA'!I25</f>
        <v>907153.26339126658</v>
      </c>
      <c r="J27" s="56">
        <f>'BASE PRESUPUESTO'!O22*'PROGRAMA DE OBRA'!Y25+('BASE PRESUPUESTO'!P22+'BASE PRESUPUESTO'!Q22+'BASE PRESUPUESTO'!R22)*'PROGRAMA DE OBRA'!J25</f>
        <v>732274.73660873331</v>
      </c>
      <c r="K27" s="56">
        <f>'BASE PRESUPUESTO'!O22*'PROGRAMA DE OBRA'!Z25+('BASE PRESUPUESTO'!P22+'BASE PRESUPUESTO'!Q22+'BASE PRESUPUESTO'!R22)*'PROGRAMA DE OBRA'!K25</f>
        <v>0</v>
      </c>
      <c r="L27" s="57">
        <f t="shared" si="3"/>
        <v>1639428</v>
      </c>
      <c r="M27" s="58">
        <f t="shared" si="4"/>
        <v>1</v>
      </c>
      <c r="N27" s="59">
        <f>'BASE PRESUPUESTO'!O22*SUM('PROGRAMA DE OBRA'!U25:Z25)</f>
        <v>907153.26339126658</v>
      </c>
      <c r="O27" s="59">
        <f>'BASE PRESUPUESTO'!P22*SUM('PROGRAMA DE OBRA'!F25:K25)</f>
        <v>496359.50072037836</v>
      </c>
      <c r="P27" s="59">
        <f>'BASE PRESUPUESTO'!Q22*SUM('PROGRAMA DE OBRA'!F25:K25)</f>
        <v>235915.23588835492</v>
      </c>
      <c r="Q27" s="59">
        <f>'BASE PRESUPUESTO'!R22*SUM('PROGRAMA DE OBRA'!F25:K25)</f>
        <v>0</v>
      </c>
      <c r="R27" t="s">
        <v>99</v>
      </c>
      <c r="S27" t="s">
        <v>23</v>
      </c>
    </row>
    <row r="28" spans="1:19" x14ac:dyDescent="0.3">
      <c r="A28" s="52" t="str">
        <f>'BASE PRESUPUESTO'!C23</f>
        <v>2.5</v>
      </c>
      <c r="B28" s="53" t="str">
        <f>'BASE PRESUPUESTO'!D23</f>
        <v>CINTA CONFINAMIENTO MURO</v>
      </c>
      <c r="C28" s="52" t="str">
        <f>'BASE PRESUPUESTO'!E23</f>
        <v>ML</v>
      </c>
      <c r="D28" s="54">
        <f>'BASE PRESUPUESTO'!F23</f>
        <v>28</v>
      </c>
      <c r="E28" s="55">
        <f>'BASE PRESUPUESTO'!H23</f>
        <v>1509004</v>
      </c>
      <c r="F28" s="56">
        <f>'BASE PRESUPUESTO'!O23*'PROGRAMA DE OBRA'!U26+('BASE PRESUPUESTO'!P23+'BASE PRESUPUESTO'!Q23+'BASE PRESUPUESTO'!R23)*'PROGRAMA DE OBRA'!F26</f>
        <v>0</v>
      </c>
      <c r="G28" s="56">
        <f>'BASE PRESUPUESTO'!O23*'PROGRAMA DE OBRA'!V26+('BASE PRESUPUESTO'!P23+'BASE PRESUPUESTO'!Q23+'BASE PRESUPUESTO'!R23)*'PROGRAMA DE OBRA'!G26</f>
        <v>0</v>
      </c>
      <c r="H28" s="56">
        <f>'BASE PRESUPUESTO'!O23*'PROGRAMA DE OBRA'!W26+('BASE PRESUPUESTO'!P23+'BASE PRESUPUESTO'!Q23+'BASE PRESUPUESTO'!R23)*'PROGRAMA DE OBRA'!H26</f>
        <v>0</v>
      </c>
      <c r="I28" s="56">
        <f>'BASE PRESUPUESTO'!O23*'PROGRAMA DE OBRA'!X26+('BASE PRESUPUESTO'!P23+'BASE PRESUPUESTO'!Q23+'BASE PRESUPUESTO'!R23)*'PROGRAMA DE OBRA'!I26</f>
        <v>0</v>
      </c>
      <c r="J28" s="56">
        <f>'BASE PRESUPUESTO'!O23*'PROGRAMA DE OBRA'!Y26+('BASE PRESUPUESTO'!P23+'BASE PRESUPUESTO'!Q23+'BASE PRESUPUESTO'!R23)*'PROGRAMA DE OBRA'!J26</f>
        <v>303122.20324049646</v>
      </c>
      <c r="K28" s="56">
        <f>'BASE PRESUPUESTO'!O23*'PROGRAMA DE OBRA'!Z26+('BASE PRESUPUESTO'!P23+'BASE PRESUPUESTO'!Q23+'BASE PRESUPUESTO'!R23)*'PROGRAMA DE OBRA'!K26</f>
        <v>1205881.7967595039</v>
      </c>
      <c r="L28" s="57">
        <f t="shared" si="3"/>
        <v>1509004.0000000005</v>
      </c>
      <c r="M28" s="58">
        <f t="shared" si="4"/>
        <v>1.0000000000000002</v>
      </c>
      <c r="N28" s="59">
        <f>'BASE PRESUPUESTO'!O23*SUM('PROGRAMA DE OBRA'!U26:Z26)</f>
        <v>303122.20324049646</v>
      </c>
      <c r="O28" s="59">
        <f>'BASE PRESUPUESTO'!P23*SUM('PROGRAMA DE OBRA'!F26:K26)</f>
        <v>1182877.5192359602</v>
      </c>
      <c r="P28" s="59">
        <f>'BASE PRESUPUESTO'!Q23*SUM('PROGRAMA DE OBRA'!F26:K26)</f>
        <v>23004.277523543711</v>
      </c>
      <c r="Q28" s="59">
        <f>'BASE PRESUPUESTO'!R23*SUM('PROGRAMA DE OBRA'!F26:K26)</f>
        <v>0</v>
      </c>
      <c r="R28" t="s">
        <v>99</v>
      </c>
      <c r="S28" t="s">
        <v>23</v>
      </c>
    </row>
    <row r="29" spans="1:19" x14ac:dyDescent="0.3">
      <c r="A29" s="52" t="str">
        <f>'BASE PRESUPUESTO'!C24</f>
        <v>2.6</v>
      </c>
      <c r="B29" s="53" t="str">
        <f>'BASE PRESUPUESTO'!D24</f>
        <v>ACERO REFUERZO FLEJADO 60000 PSI 420 Mpa</v>
      </c>
      <c r="C29" s="52" t="str">
        <f>'BASE PRESUPUESTO'!E24</f>
        <v>KLS</v>
      </c>
      <c r="D29" s="54">
        <f>'BASE PRESUPUESTO'!F24</f>
        <v>250</v>
      </c>
      <c r="E29" s="55">
        <f>'BASE PRESUPUESTO'!H24</f>
        <v>1524500</v>
      </c>
      <c r="F29" s="56">
        <f>'BASE PRESUPUESTO'!O24*'PROGRAMA DE OBRA'!U27+('BASE PRESUPUESTO'!P24+'BASE PRESUPUESTO'!Q24+'BASE PRESUPUESTO'!R24)*'PROGRAMA DE OBRA'!F27</f>
        <v>0</v>
      </c>
      <c r="G29" s="56">
        <f>'BASE PRESUPUESTO'!O24*'PROGRAMA DE OBRA'!V27+('BASE PRESUPUESTO'!P24+'BASE PRESUPUESTO'!Q24+'BASE PRESUPUESTO'!R24)*'PROGRAMA DE OBRA'!G27</f>
        <v>0</v>
      </c>
      <c r="H29" s="56">
        <f>'BASE PRESUPUESTO'!O24*'PROGRAMA DE OBRA'!W27+('BASE PRESUPUESTO'!P24+'BASE PRESUPUESTO'!Q24+'BASE PRESUPUESTO'!R24)*'PROGRAMA DE OBRA'!H27</f>
        <v>1231350.9635096353</v>
      </c>
      <c r="I29" s="56">
        <f>'BASE PRESUPUESTO'!O24*'PROGRAMA DE OBRA'!X27+('BASE PRESUPUESTO'!P24+'BASE PRESUPUESTO'!Q24+'BASE PRESUPUESTO'!R24)*'PROGRAMA DE OBRA'!I27</f>
        <v>293149.03649036464</v>
      </c>
      <c r="J29" s="56">
        <f>'BASE PRESUPUESTO'!O24*'PROGRAMA DE OBRA'!Y27+('BASE PRESUPUESTO'!P24+'BASE PRESUPUESTO'!Q24+'BASE PRESUPUESTO'!R24)*'PROGRAMA DE OBRA'!J27</f>
        <v>0</v>
      </c>
      <c r="K29" s="56">
        <f>'BASE PRESUPUESTO'!O24*'PROGRAMA DE OBRA'!Z27+('BASE PRESUPUESTO'!P24+'BASE PRESUPUESTO'!Q24+'BASE PRESUPUESTO'!R24)*'PROGRAMA DE OBRA'!K27</f>
        <v>0</v>
      </c>
      <c r="L29" s="57">
        <f t="shared" si="3"/>
        <v>1524500</v>
      </c>
      <c r="M29" s="58">
        <f t="shared" si="4"/>
        <v>1</v>
      </c>
      <c r="N29" s="59">
        <f>'BASE PRESUPUESTO'!O24*SUM('PROGRAMA DE OBRA'!U27:Z27)</f>
        <v>1231350.9635096353</v>
      </c>
      <c r="O29" s="59">
        <f>'BASE PRESUPUESTO'!P24*SUM('PROGRAMA DE OBRA'!F27:K27)</f>
        <v>293149.03649036464</v>
      </c>
      <c r="P29" s="59">
        <f>'BASE PRESUPUESTO'!Q24*SUM('PROGRAMA DE OBRA'!F27:K27)</f>
        <v>0</v>
      </c>
      <c r="Q29" s="59">
        <f>'BASE PRESUPUESTO'!R24*SUM('PROGRAMA DE OBRA'!F27:K27)</f>
        <v>0</v>
      </c>
      <c r="R29" t="s">
        <v>99</v>
      </c>
      <c r="S29" t="s">
        <v>23</v>
      </c>
    </row>
    <row r="30" spans="1:19" x14ac:dyDescent="0.3">
      <c r="A30" s="52" t="str">
        <f>'BASE PRESUPUESTO'!C25</f>
        <v>2.7</v>
      </c>
      <c r="B30" s="53" t="str">
        <f>'BASE PRESUPUESTO'!D25</f>
        <v>POSTE TUBO GALV. 1 1/2"X3.0MM C.11</v>
      </c>
      <c r="C30" s="52" t="str">
        <f>'BASE PRESUPUESTO'!E25</f>
        <v>ML</v>
      </c>
      <c r="D30" s="54">
        <f>'BASE PRESUPUESTO'!F25</f>
        <v>36</v>
      </c>
      <c r="E30" s="55">
        <f>'BASE PRESUPUESTO'!H25</f>
        <v>1952352</v>
      </c>
      <c r="F30" s="56">
        <f>'BASE PRESUPUESTO'!O25*'PROGRAMA DE OBRA'!U28+('BASE PRESUPUESTO'!P25+'BASE PRESUPUESTO'!Q25+'BASE PRESUPUESTO'!R25)*'PROGRAMA DE OBRA'!F28</f>
        <v>0</v>
      </c>
      <c r="G30" s="56">
        <f>'BASE PRESUPUESTO'!O25*'PROGRAMA DE OBRA'!V28+('BASE PRESUPUESTO'!P25+'BASE PRESUPUESTO'!Q25+'BASE PRESUPUESTO'!R25)*'PROGRAMA DE OBRA'!G28</f>
        <v>0</v>
      </c>
      <c r="H30" s="56">
        <f>'BASE PRESUPUESTO'!O25*'PROGRAMA DE OBRA'!W28+('BASE PRESUPUESTO'!P25+'BASE PRESUPUESTO'!Q25+'BASE PRESUPUESTO'!R25)*'PROGRAMA DE OBRA'!H28</f>
        <v>0</v>
      </c>
      <c r="I30" s="56">
        <f>'BASE PRESUPUESTO'!O25*'PROGRAMA DE OBRA'!X28+('BASE PRESUPUESTO'!P25+'BASE PRESUPUESTO'!Q25+'BASE PRESUPUESTO'!R25)*'PROGRAMA DE OBRA'!I28</f>
        <v>0</v>
      </c>
      <c r="J30" s="56">
        <f>'BASE PRESUPUESTO'!O25*'PROGRAMA DE OBRA'!Y28+('BASE PRESUPUESTO'!P25+'BASE PRESUPUESTO'!Q25+'BASE PRESUPUESTO'!R25)*'PROGRAMA DE OBRA'!J28</f>
        <v>840057.75544332294</v>
      </c>
      <c r="K30" s="56">
        <f>'BASE PRESUPUESTO'!O25*'PROGRAMA DE OBRA'!Z28+('BASE PRESUPUESTO'!P25+'BASE PRESUPUESTO'!Q25+'BASE PRESUPUESTO'!R25)*'PROGRAMA DE OBRA'!K28</f>
        <v>1112294.2445566789</v>
      </c>
      <c r="L30" s="57">
        <f t="shared" si="3"/>
        <v>1952352.0000000019</v>
      </c>
      <c r="M30" s="58">
        <f t="shared" si="4"/>
        <v>1.0000000000000009</v>
      </c>
      <c r="N30" s="59">
        <f>'BASE PRESUPUESTO'!O25*SUM('PROGRAMA DE OBRA'!U28:Z28)</f>
        <v>840057.75544332294</v>
      </c>
      <c r="O30" s="59">
        <f>'BASE PRESUPUESTO'!P25*SUM('PROGRAMA DE OBRA'!F28:K28)</f>
        <v>721022.84147052339</v>
      </c>
      <c r="P30" s="59">
        <f>'BASE PRESUPUESTO'!Q25*SUM('PROGRAMA DE OBRA'!F28:K28)</f>
        <v>391271.40308615559</v>
      </c>
      <c r="Q30" s="59">
        <f>'BASE PRESUPUESTO'!R25*SUM('PROGRAMA DE OBRA'!F28:K28)</f>
        <v>0</v>
      </c>
      <c r="R30" t="s">
        <v>99</v>
      </c>
      <c r="S30" t="s">
        <v>23</v>
      </c>
    </row>
    <row r="31" spans="1:19" x14ac:dyDescent="0.3">
      <c r="A31" s="52" t="str">
        <f>'BASE PRESUPUESTO'!C26</f>
        <v>2.8</v>
      </c>
      <c r="B31" s="53" t="str">
        <f>'BASE PRESUPUESTO'!D26</f>
        <v>ESMALTE SOBRE TUBERIA METALICA-PVC</v>
      </c>
      <c r="C31" s="52" t="str">
        <f>'BASE PRESUPUESTO'!E26</f>
        <v>ML</v>
      </c>
      <c r="D31" s="54">
        <f>'BASE PRESUPUESTO'!F26</f>
        <v>36</v>
      </c>
      <c r="E31" s="55">
        <f>'BASE PRESUPUESTO'!H26</f>
        <v>741636</v>
      </c>
      <c r="F31" s="56">
        <f>'BASE PRESUPUESTO'!O26*'PROGRAMA DE OBRA'!U29+('BASE PRESUPUESTO'!P26+'BASE PRESUPUESTO'!Q26+'BASE PRESUPUESTO'!R26)*'PROGRAMA DE OBRA'!F29</f>
        <v>0</v>
      </c>
      <c r="G31" s="56">
        <f>'BASE PRESUPUESTO'!O26*'PROGRAMA DE OBRA'!V29+('BASE PRESUPUESTO'!P26+'BASE PRESUPUESTO'!Q26+'BASE PRESUPUESTO'!R26)*'PROGRAMA DE OBRA'!G29</f>
        <v>0</v>
      </c>
      <c r="H31" s="56">
        <f>'BASE PRESUPUESTO'!O26*'PROGRAMA DE OBRA'!W29+('BASE PRESUPUESTO'!P26+'BASE PRESUPUESTO'!Q26+'BASE PRESUPUESTO'!R26)*'PROGRAMA DE OBRA'!H29</f>
        <v>0</v>
      </c>
      <c r="I31" s="56">
        <f>'BASE PRESUPUESTO'!O26*'PROGRAMA DE OBRA'!X29+('BASE PRESUPUESTO'!P26+'BASE PRESUPUESTO'!Q26+'BASE PRESUPUESTO'!R26)*'PROGRAMA DE OBRA'!I29</f>
        <v>0</v>
      </c>
      <c r="J31" s="56">
        <f>'BASE PRESUPUESTO'!O26*'PROGRAMA DE OBRA'!Y29+('BASE PRESUPUESTO'!P26+'BASE PRESUPUESTO'!Q26+'BASE PRESUPUESTO'!R26)*'PROGRAMA DE OBRA'!J29</f>
        <v>0</v>
      </c>
      <c r="K31" s="56">
        <f>'BASE PRESUPUESTO'!O26*'PROGRAMA DE OBRA'!Z29+('BASE PRESUPUESTO'!P26+'BASE PRESUPUESTO'!Q26+'BASE PRESUPUESTO'!R26)*'PROGRAMA DE OBRA'!K29</f>
        <v>0</v>
      </c>
      <c r="L31" s="57">
        <f t="shared" si="3"/>
        <v>0</v>
      </c>
      <c r="M31" s="58">
        <f t="shared" si="4"/>
        <v>0</v>
      </c>
      <c r="N31" s="59">
        <f>'BASE PRESUPUESTO'!O26*SUM('PROGRAMA DE OBRA'!U29:Z29)</f>
        <v>0</v>
      </c>
      <c r="O31" s="59">
        <f>'BASE PRESUPUESTO'!P26*SUM('PROGRAMA DE OBRA'!F29:K29)</f>
        <v>0</v>
      </c>
      <c r="P31" s="59">
        <f>'BASE PRESUPUESTO'!Q26*SUM('PROGRAMA DE OBRA'!F29:K29)</f>
        <v>0</v>
      </c>
      <c r="Q31" s="59">
        <f>'BASE PRESUPUESTO'!R26*SUM('PROGRAMA DE OBRA'!F29:K29)</f>
        <v>0</v>
      </c>
      <c r="R31" t="s">
        <v>99</v>
      </c>
      <c r="S31" t="s">
        <v>23</v>
      </c>
    </row>
    <row r="32" spans="1:19" x14ac:dyDescent="0.3">
      <c r="A32" s="52" t="str">
        <f>'BASE PRESUPUESTO'!C27</f>
        <v>2.9</v>
      </c>
      <c r="B32" s="53" t="str">
        <f>'BASE PRESUPUESTO'!D27</f>
        <v>MALLA ESLABONADA GALV# 10 ROMBO 2"</v>
      </c>
      <c r="C32" s="52" t="str">
        <f>'BASE PRESUPUESTO'!E27</f>
        <v>M2</v>
      </c>
      <c r="D32" s="54">
        <f>'BASE PRESUPUESTO'!F27</f>
        <v>56</v>
      </c>
      <c r="E32" s="55">
        <f>'BASE PRESUPUESTO'!H27</f>
        <v>2696904</v>
      </c>
      <c r="F32" s="56">
        <f>'BASE PRESUPUESTO'!O27*'PROGRAMA DE OBRA'!U30+('BASE PRESUPUESTO'!P27+'BASE PRESUPUESTO'!Q27+'BASE PRESUPUESTO'!R27)*'PROGRAMA DE OBRA'!F30</f>
        <v>0</v>
      </c>
      <c r="G32" s="56">
        <f>'BASE PRESUPUESTO'!O27*'PROGRAMA DE OBRA'!V30+('BASE PRESUPUESTO'!P27+'BASE PRESUPUESTO'!Q27+'BASE PRESUPUESTO'!R27)*'PROGRAMA DE OBRA'!G30</f>
        <v>0</v>
      </c>
      <c r="H32" s="56">
        <f>'BASE PRESUPUESTO'!O27*'PROGRAMA DE OBRA'!W30+('BASE PRESUPUESTO'!P27+'BASE PRESUPUESTO'!Q27+'BASE PRESUPUESTO'!R27)*'PROGRAMA DE OBRA'!H30</f>
        <v>0</v>
      </c>
      <c r="I32" s="56">
        <f>'BASE PRESUPUESTO'!O27*'PROGRAMA DE OBRA'!X30+('BASE PRESUPUESTO'!P27+'BASE PRESUPUESTO'!Q27+'BASE PRESUPUESTO'!R27)*'PROGRAMA DE OBRA'!I30</f>
        <v>0</v>
      </c>
      <c r="J32" s="56">
        <f>'BASE PRESUPUESTO'!O27*'PROGRAMA DE OBRA'!Y30+('BASE PRESUPUESTO'!P27+'BASE PRESUPUESTO'!Q27+'BASE PRESUPUESTO'!R27)*'PROGRAMA DE OBRA'!J30</f>
        <v>0</v>
      </c>
      <c r="K32" s="56">
        <f>'BASE PRESUPUESTO'!O27*'PROGRAMA DE OBRA'!Z30+('BASE PRESUPUESTO'!P27+'BASE PRESUPUESTO'!Q27+'BASE PRESUPUESTO'!R27)*'PROGRAMA DE OBRA'!K30</f>
        <v>1573340.6555250089</v>
      </c>
      <c r="L32" s="57">
        <f t="shared" si="3"/>
        <v>1573340.6555250089</v>
      </c>
      <c r="M32" s="58">
        <f t="shared" si="4"/>
        <v>0.58338771254928201</v>
      </c>
      <c r="N32" s="59">
        <f>'BASE PRESUPUESTO'!O27*SUM('PROGRAMA DE OBRA'!U30:Z30)</f>
        <v>1573340.6555250089</v>
      </c>
      <c r="O32" s="59">
        <f>'BASE PRESUPUESTO'!P27*SUM('PROGRAMA DE OBRA'!F30:K30)</f>
        <v>0</v>
      </c>
      <c r="P32" s="59">
        <f>'BASE PRESUPUESTO'!Q27*SUM('PROGRAMA DE OBRA'!F30:K30)</f>
        <v>0</v>
      </c>
      <c r="Q32" s="59">
        <f>'BASE PRESUPUESTO'!R27*SUM('PROGRAMA DE OBRA'!F30:K30)</f>
        <v>0</v>
      </c>
      <c r="R32" t="s">
        <v>99</v>
      </c>
      <c r="S32" t="s">
        <v>23</v>
      </c>
    </row>
    <row r="33" spans="1:19" x14ac:dyDescent="0.3">
      <c r="A33" s="52" t="str">
        <f>'BASE PRESUPUESTO'!C28</f>
        <v>2.10</v>
      </c>
      <c r="B33" s="53" t="str">
        <f>'BASE PRESUPUESTO'!D28</f>
        <v>ESMALTE MALLA ESLABONADA 2,1/2"-2"</v>
      </c>
      <c r="C33" s="52" t="str">
        <f>'BASE PRESUPUESTO'!E28</f>
        <v>M2</v>
      </c>
      <c r="D33" s="54">
        <f>'BASE PRESUPUESTO'!F28</f>
        <v>56</v>
      </c>
      <c r="E33" s="55">
        <f>'BASE PRESUPUESTO'!H28</f>
        <v>408128</v>
      </c>
      <c r="F33" s="56">
        <f>'BASE PRESUPUESTO'!O28*'PROGRAMA DE OBRA'!U31+('BASE PRESUPUESTO'!P28+'BASE PRESUPUESTO'!Q28+'BASE PRESUPUESTO'!R28)*'PROGRAMA DE OBRA'!F31</f>
        <v>0</v>
      </c>
      <c r="G33" s="56">
        <f>'BASE PRESUPUESTO'!O28*'PROGRAMA DE OBRA'!V31+('BASE PRESUPUESTO'!P28+'BASE PRESUPUESTO'!Q28+'BASE PRESUPUESTO'!R28)*'PROGRAMA DE OBRA'!G31</f>
        <v>0</v>
      </c>
      <c r="H33" s="56">
        <f>'BASE PRESUPUESTO'!O28*'PROGRAMA DE OBRA'!W31+('BASE PRESUPUESTO'!P28+'BASE PRESUPUESTO'!Q28+'BASE PRESUPUESTO'!R28)*'PROGRAMA DE OBRA'!H31</f>
        <v>0</v>
      </c>
      <c r="I33" s="56">
        <f>'BASE PRESUPUESTO'!O28*'PROGRAMA DE OBRA'!X31+('BASE PRESUPUESTO'!P28+'BASE PRESUPUESTO'!Q28+'BASE PRESUPUESTO'!R28)*'PROGRAMA DE OBRA'!I31</f>
        <v>0</v>
      </c>
      <c r="J33" s="56">
        <f>'BASE PRESUPUESTO'!O28*'PROGRAMA DE OBRA'!Y31+('BASE PRESUPUESTO'!P28+'BASE PRESUPUESTO'!Q28+'BASE PRESUPUESTO'!R28)*'PROGRAMA DE OBRA'!J31</f>
        <v>0</v>
      </c>
      <c r="K33" s="56">
        <f>'BASE PRESUPUESTO'!O28*'PROGRAMA DE OBRA'!Z31+('BASE PRESUPUESTO'!P28+'BASE PRESUPUESTO'!Q28+'BASE PRESUPUESTO'!R28)*'PROGRAMA DE OBRA'!K31</f>
        <v>0</v>
      </c>
      <c r="L33" s="57">
        <f t="shared" si="3"/>
        <v>0</v>
      </c>
      <c r="M33" s="58">
        <f t="shared" si="4"/>
        <v>0</v>
      </c>
      <c r="N33" s="59">
        <f>'BASE PRESUPUESTO'!O28*SUM('PROGRAMA DE OBRA'!U31:Z31)</f>
        <v>0</v>
      </c>
      <c r="O33" s="59">
        <f>'BASE PRESUPUESTO'!P28*SUM('PROGRAMA DE OBRA'!F31:K31)</f>
        <v>0</v>
      </c>
      <c r="P33" s="59">
        <f>'BASE PRESUPUESTO'!Q28*SUM('PROGRAMA DE OBRA'!F31:K31)</f>
        <v>0</v>
      </c>
      <c r="Q33" s="59">
        <f>'BASE PRESUPUESTO'!R28*SUM('PROGRAMA DE OBRA'!F31:K31)</f>
        <v>0</v>
      </c>
      <c r="R33" t="s">
        <v>99</v>
      </c>
      <c r="S33" t="s">
        <v>23</v>
      </c>
    </row>
    <row r="34" spans="1:19" x14ac:dyDescent="0.3">
      <c r="A34" s="52" t="str">
        <f>'BASE PRESUPUESTO'!C29</f>
        <v>2.11</v>
      </c>
      <c r="B34" s="53" t="str">
        <f>'BASE PRESUPUESTO'!D29</f>
        <v>DIAGONAL-HORIZ.TUBO GALV ACUEDUCTO 1 1/2"</v>
      </c>
      <c r="C34" s="52" t="str">
        <f>'BASE PRESUPUESTO'!E29</f>
        <v>ML</v>
      </c>
      <c r="D34" s="54">
        <f>'BASE PRESUPUESTO'!F29</f>
        <v>20</v>
      </c>
      <c r="E34" s="55">
        <f>'BASE PRESUPUESTO'!H29</f>
        <v>975040</v>
      </c>
      <c r="F34" s="56">
        <f>'BASE PRESUPUESTO'!O29*'PROGRAMA DE OBRA'!U32+('BASE PRESUPUESTO'!P29+'BASE PRESUPUESTO'!Q29+'BASE PRESUPUESTO'!R29)*'PROGRAMA DE OBRA'!F32</f>
        <v>0</v>
      </c>
      <c r="G34" s="56">
        <f>'BASE PRESUPUESTO'!O29*'PROGRAMA DE OBRA'!V32+('BASE PRESUPUESTO'!P29+'BASE PRESUPUESTO'!Q29+'BASE PRESUPUESTO'!R29)*'PROGRAMA DE OBRA'!G32</f>
        <v>0</v>
      </c>
      <c r="H34" s="56">
        <f>'BASE PRESUPUESTO'!O29*'PROGRAMA DE OBRA'!W32+('BASE PRESUPUESTO'!P29+'BASE PRESUPUESTO'!Q29+'BASE PRESUPUESTO'!R29)*'PROGRAMA DE OBRA'!H32</f>
        <v>0</v>
      </c>
      <c r="I34" s="56">
        <f>'BASE PRESUPUESTO'!O29*'PROGRAMA DE OBRA'!X32+('BASE PRESUPUESTO'!P29+'BASE PRESUPUESTO'!Q29+'BASE PRESUPUESTO'!R29)*'PROGRAMA DE OBRA'!I32</f>
        <v>0</v>
      </c>
      <c r="J34" s="56">
        <f>'BASE PRESUPUESTO'!O29*'PROGRAMA DE OBRA'!Y32+('BASE PRESUPUESTO'!P29+'BASE PRESUPUESTO'!Q29+'BASE PRESUPUESTO'!R29)*'PROGRAMA DE OBRA'!J32</f>
        <v>401225.93609288638</v>
      </c>
      <c r="K34" s="56">
        <f>'BASE PRESUPUESTO'!O29*'PROGRAMA DE OBRA'!Z32+('BASE PRESUPUESTO'!P29+'BASE PRESUPUESTO'!Q29+'BASE PRESUPUESTO'!R29)*'PROGRAMA DE OBRA'!K32</f>
        <v>286907.03195355681</v>
      </c>
      <c r="L34" s="57">
        <f t="shared" si="3"/>
        <v>688132.96804644319</v>
      </c>
      <c r="M34" s="58">
        <f t="shared" si="4"/>
        <v>0.70574844934201997</v>
      </c>
      <c r="N34" s="59">
        <f>'BASE PRESUPUESTO'!O29*SUM('PROGRAMA DE OBRA'!U32:Z32)</f>
        <v>401225.93609288638</v>
      </c>
      <c r="O34" s="59">
        <f>'BASE PRESUPUESTO'!P29*SUM('PROGRAMA DE OBRA'!F32:K32)</f>
        <v>197530.52529213697</v>
      </c>
      <c r="P34" s="59">
        <f>'BASE PRESUPUESTO'!Q29*SUM('PROGRAMA DE OBRA'!F32:K32)</f>
        <v>89376.506661419844</v>
      </c>
      <c r="Q34" s="59">
        <f>'BASE PRESUPUESTO'!R29*SUM('PROGRAMA DE OBRA'!F32:K32)</f>
        <v>0</v>
      </c>
      <c r="R34" t="s">
        <v>99</v>
      </c>
      <c r="S34" t="s">
        <v>23</v>
      </c>
    </row>
    <row r="35" spans="1:19" x14ac:dyDescent="0.3">
      <c r="A35" s="52" t="str">
        <f>'BASE PRESUPUESTO'!C30</f>
        <v>2.12</v>
      </c>
      <c r="B35" s="53" t="str">
        <f>'BASE PRESUPUESTO'!D30</f>
        <v>WASH - PRIMER</v>
      </c>
      <c r="C35" s="52" t="str">
        <f>'BASE PRESUPUESTO'!E30</f>
        <v>M2</v>
      </c>
      <c r="D35" s="54">
        <f>'BASE PRESUPUESTO'!F30</f>
        <v>56</v>
      </c>
      <c r="E35" s="55">
        <f>'BASE PRESUPUESTO'!H30</f>
        <v>897064</v>
      </c>
      <c r="F35" s="56">
        <f>'BASE PRESUPUESTO'!O30*'PROGRAMA DE OBRA'!U33+('BASE PRESUPUESTO'!P30+'BASE PRESUPUESTO'!Q30+'BASE PRESUPUESTO'!R30)*'PROGRAMA DE OBRA'!F33</f>
        <v>0</v>
      </c>
      <c r="G35" s="56">
        <f>'BASE PRESUPUESTO'!O30*'PROGRAMA DE OBRA'!V33+('BASE PRESUPUESTO'!P30+'BASE PRESUPUESTO'!Q30+'BASE PRESUPUESTO'!R30)*'PROGRAMA DE OBRA'!G33</f>
        <v>0</v>
      </c>
      <c r="H35" s="56">
        <f>'BASE PRESUPUESTO'!O30*'PROGRAMA DE OBRA'!W33+('BASE PRESUPUESTO'!P30+'BASE PRESUPUESTO'!Q30+'BASE PRESUPUESTO'!R30)*'PROGRAMA DE OBRA'!H33</f>
        <v>0</v>
      </c>
      <c r="I35" s="56">
        <f>'BASE PRESUPUESTO'!O30*'PROGRAMA DE OBRA'!X33+('BASE PRESUPUESTO'!P30+'BASE PRESUPUESTO'!Q30+'BASE PRESUPUESTO'!R30)*'PROGRAMA DE OBRA'!I33</f>
        <v>0</v>
      </c>
      <c r="J35" s="56">
        <f>'BASE PRESUPUESTO'!O30*'PROGRAMA DE OBRA'!Y33+('BASE PRESUPUESTO'!P30+'BASE PRESUPUESTO'!Q30+'BASE PRESUPUESTO'!R30)*'PROGRAMA DE OBRA'!J33</f>
        <v>0</v>
      </c>
      <c r="K35" s="56">
        <f>'BASE PRESUPUESTO'!O30*'PROGRAMA DE OBRA'!Z33+('BASE PRESUPUESTO'!P30+'BASE PRESUPUESTO'!Q30+'BASE PRESUPUESTO'!R30)*'PROGRAMA DE OBRA'!K33</f>
        <v>412951.35338510328</v>
      </c>
      <c r="L35" s="57">
        <f t="shared" si="3"/>
        <v>412951.35338510328</v>
      </c>
      <c r="M35" s="58">
        <f t="shared" si="4"/>
        <v>0.46033655724129302</v>
      </c>
      <c r="N35" s="59">
        <f>'BASE PRESUPUESTO'!O30*SUM('PROGRAMA DE OBRA'!U33:Z33)</f>
        <v>412951.35338510328</v>
      </c>
      <c r="O35" s="59">
        <f>'BASE PRESUPUESTO'!P30*SUM('PROGRAMA DE OBRA'!F33:K33)</f>
        <v>0</v>
      </c>
      <c r="P35" s="59">
        <f>'BASE PRESUPUESTO'!Q30*SUM('PROGRAMA DE OBRA'!F33:K33)</f>
        <v>0</v>
      </c>
      <c r="Q35" s="59">
        <f>'BASE PRESUPUESTO'!R30*SUM('PROGRAMA DE OBRA'!F33:K33)</f>
        <v>0</v>
      </c>
      <c r="R35" t="s">
        <v>99</v>
      </c>
      <c r="S35" t="s">
        <v>23</v>
      </c>
    </row>
    <row r="36" spans="1:19" x14ac:dyDescent="0.3">
      <c r="A36" s="52" t="str">
        <f>'BASE PRESUPUESTO'!C31</f>
        <v>2.13</v>
      </c>
      <c r="B36" s="53" t="str">
        <f>'BASE PRESUPUESTO'!D31</f>
        <v>ALAMBRE DE PUAS # 12.5 - 3 HILOS</v>
      </c>
      <c r="C36" s="52" t="str">
        <f>'BASE PRESUPUESTO'!E31</f>
        <v>ML</v>
      </c>
      <c r="D36" s="54">
        <f>'BASE PRESUPUESTO'!F31</f>
        <v>29</v>
      </c>
      <c r="E36" s="55">
        <f>'BASE PRESUPUESTO'!H31</f>
        <v>123801</v>
      </c>
      <c r="F36" s="56">
        <f>'BASE PRESUPUESTO'!O31*'PROGRAMA DE OBRA'!U34+('BASE PRESUPUESTO'!P31+'BASE PRESUPUESTO'!Q31+'BASE PRESUPUESTO'!R31)*'PROGRAMA DE OBRA'!F34</f>
        <v>0</v>
      </c>
      <c r="G36" s="56">
        <f>'BASE PRESUPUESTO'!O31*'PROGRAMA DE OBRA'!V34+('BASE PRESUPUESTO'!P31+'BASE PRESUPUESTO'!Q31+'BASE PRESUPUESTO'!R31)*'PROGRAMA DE OBRA'!G34</f>
        <v>0</v>
      </c>
      <c r="H36" s="56">
        <f>'BASE PRESUPUESTO'!O31*'PROGRAMA DE OBRA'!W34+('BASE PRESUPUESTO'!P31+'BASE PRESUPUESTO'!Q31+'BASE PRESUPUESTO'!R31)*'PROGRAMA DE OBRA'!H34</f>
        <v>0</v>
      </c>
      <c r="I36" s="56">
        <f>'BASE PRESUPUESTO'!O31*'PROGRAMA DE OBRA'!X34+('BASE PRESUPUESTO'!P31+'BASE PRESUPUESTO'!Q31+'BASE PRESUPUESTO'!R31)*'PROGRAMA DE OBRA'!I34</f>
        <v>0</v>
      </c>
      <c r="J36" s="56">
        <f>'BASE PRESUPUESTO'!O31*'PROGRAMA DE OBRA'!Y34+('BASE PRESUPUESTO'!P31+'BASE PRESUPUESTO'!Q31+'BASE PRESUPUESTO'!R31)*'PROGRAMA DE OBRA'!J34</f>
        <v>0</v>
      </c>
      <c r="K36" s="56">
        <f>'BASE PRESUPUESTO'!O31*'PROGRAMA DE OBRA'!Z34+('BASE PRESUPUESTO'!P31+'BASE PRESUPUESTO'!Q31+'BASE PRESUPUESTO'!R31)*'PROGRAMA DE OBRA'!K34</f>
        <v>0</v>
      </c>
      <c r="L36" s="57">
        <f t="shared" si="3"/>
        <v>0</v>
      </c>
      <c r="M36" s="58">
        <f t="shared" si="4"/>
        <v>0</v>
      </c>
      <c r="N36" s="59">
        <f>'BASE PRESUPUESTO'!O31*SUM('PROGRAMA DE OBRA'!U34:Z34)</f>
        <v>0</v>
      </c>
      <c r="O36" s="59">
        <f>'BASE PRESUPUESTO'!P31*SUM('PROGRAMA DE OBRA'!F34:K34)</f>
        <v>0</v>
      </c>
      <c r="P36" s="59">
        <f>'BASE PRESUPUESTO'!Q31*SUM('PROGRAMA DE OBRA'!F34:K34)</f>
        <v>0</v>
      </c>
      <c r="Q36" s="59">
        <f>'BASE PRESUPUESTO'!R31*SUM('PROGRAMA DE OBRA'!F34:K34)</f>
        <v>0</v>
      </c>
      <c r="R36" t="s">
        <v>99</v>
      </c>
      <c r="S36" t="s">
        <v>23</v>
      </c>
    </row>
    <row r="37" spans="1:19" x14ac:dyDescent="0.3">
      <c r="A37" s="52" t="str">
        <f>'BASE PRESUPUESTO'!C32</f>
        <v>2.14</v>
      </c>
      <c r="B37" s="53" t="str">
        <f>'BASE PRESUPUESTO'!D32</f>
        <v>PUERTA EN TUBERIA GALVANIZADA 11/2" Y MALLA ESLABONADA (0,8x2,0)</v>
      </c>
      <c r="C37" s="52" t="str">
        <f>'BASE PRESUPUESTO'!E32</f>
        <v>UND</v>
      </c>
      <c r="D37" s="54">
        <f>'BASE PRESUPUESTO'!F32</f>
        <v>1</v>
      </c>
      <c r="E37" s="55">
        <f>'BASE PRESUPUESTO'!H32</f>
        <v>1107371</v>
      </c>
      <c r="F37" s="56">
        <f>'BASE PRESUPUESTO'!O32*'PROGRAMA DE OBRA'!U35+('BASE PRESUPUESTO'!P32+'BASE PRESUPUESTO'!Q32+'BASE PRESUPUESTO'!R32)*'PROGRAMA DE OBRA'!F35</f>
        <v>0</v>
      </c>
      <c r="G37" s="56">
        <f>'BASE PRESUPUESTO'!O32*'PROGRAMA DE OBRA'!V35+('BASE PRESUPUESTO'!P32+'BASE PRESUPUESTO'!Q32+'BASE PRESUPUESTO'!R32)*'PROGRAMA DE OBRA'!G35</f>
        <v>0</v>
      </c>
      <c r="H37" s="56">
        <f>'BASE PRESUPUESTO'!O32*'PROGRAMA DE OBRA'!W35+('BASE PRESUPUESTO'!P32+'BASE PRESUPUESTO'!Q32+'BASE PRESUPUESTO'!R32)*'PROGRAMA DE OBRA'!H35</f>
        <v>0</v>
      </c>
      <c r="I37" s="56">
        <f>'BASE PRESUPUESTO'!O32*'PROGRAMA DE OBRA'!X35+('BASE PRESUPUESTO'!P32+'BASE PRESUPUESTO'!Q32+'BASE PRESUPUESTO'!R32)*'PROGRAMA DE OBRA'!I35</f>
        <v>0</v>
      </c>
      <c r="J37" s="56">
        <f>'BASE PRESUPUESTO'!O32*'PROGRAMA DE OBRA'!Y35+('BASE PRESUPUESTO'!P32+'BASE PRESUPUESTO'!Q32+'BASE PRESUPUESTO'!R32)*'PROGRAMA DE OBRA'!J35</f>
        <v>0</v>
      </c>
      <c r="K37" s="56">
        <f>'BASE PRESUPUESTO'!O32*'PROGRAMA DE OBRA'!Z35+('BASE PRESUPUESTO'!P32+'BASE PRESUPUESTO'!Q32+'BASE PRESUPUESTO'!R32)*'PROGRAMA DE OBRA'!K35</f>
        <v>465375.78366800537</v>
      </c>
      <c r="L37" s="57">
        <f t="shared" si="3"/>
        <v>465375.78366800537</v>
      </c>
      <c r="M37" s="58">
        <f t="shared" si="4"/>
        <v>0.42025281831292799</v>
      </c>
      <c r="N37" s="59">
        <f>'BASE PRESUPUESTO'!O32*SUM('PROGRAMA DE OBRA'!U35:Z35)</f>
        <v>465375.78366800537</v>
      </c>
      <c r="O37" s="59">
        <f>'BASE PRESUPUESTO'!P32*SUM('PROGRAMA DE OBRA'!F35:K35)</f>
        <v>0</v>
      </c>
      <c r="P37" s="59">
        <f>'BASE PRESUPUESTO'!Q32*SUM('PROGRAMA DE OBRA'!F35:K35)</f>
        <v>0</v>
      </c>
      <c r="Q37" s="59">
        <f>'BASE PRESUPUESTO'!R32*SUM('PROGRAMA DE OBRA'!F35:K35)</f>
        <v>0</v>
      </c>
      <c r="R37" t="s">
        <v>99</v>
      </c>
      <c r="S37" t="s">
        <v>23</v>
      </c>
    </row>
    <row r="38" spans="1:19" x14ac:dyDescent="0.3">
      <c r="A38" s="52" t="str">
        <f>'BASE PRESUPUESTO'!C33</f>
        <v>2.15</v>
      </c>
      <c r="B38" s="53" t="str">
        <f>'BASE PRESUPUESTO'!D33</f>
        <v>ACARREO MATERIALES-ESCOMBROS 10 PERS</v>
      </c>
      <c r="C38" s="52" t="str">
        <f>'BASE PRESUPUESTO'!E33</f>
        <v>HC</v>
      </c>
      <c r="D38" s="54">
        <f>'BASE PRESUPUESTO'!F33</f>
        <v>4</v>
      </c>
      <c r="E38" s="55">
        <f>'BASE PRESUPUESTO'!H33</f>
        <v>1415132</v>
      </c>
      <c r="F38" s="56">
        <f>'BASE PRESUPUESTO'!O33*'PROGRAMA DE OBRA'!U36+('BASE PRESUPUESTO'!P33+'BASE PRESUPUESTO'!Q33+'BASE PRESUPUESTO'!R33)*'PROGRAMA DE OBRA'!F36</f>
        <v>0</v>
      </c>
      <c r="G38" s="56">
        <f>'BASE PRESUPUESTO'!O33*'PROGRAMA DE OBRA'!V36+('BASE PRESUPUESTO'!P33+'BASE PRESUPUESTO'!Q33+'BASE PRESUPUESTO'!R33)*'PROGRAMA DE OBRA'!G36</f>
        <v>0</v>
      </c>
      <c r="H38" s="56">
        <f>'BASE PRESUPUESTO'!O33*'PROGRAMA DE OBRA'!W36+('BASE PRESUPUESTO'!P33+'BASE PRESUPUESTO'!Q33+'BASE PRESUPUESTO'!R33)*'PROGRAMA DE OBRA'!H36</f>
        <v>0</v>
      </c>
      <c r="I38" s="56">
        <f>'BASE PRESUPUESTO'!O33*'PROGRAMA DE OBRA'!X36+('BASE PRESUPUESTO'!P33+'BASE PRESUPUESTO'!Q33+'BASE PRESUPUESTO'!R33)*'PROGRAMA DE OBRA'!I36</f>
        <v>707566</v>
      </c>
      <c r="J38" s="56">
        <f>'BASE PRESUPUESTO'!O33*'PROGRAMA DE OBRA'!Y36+('BASE PRESUPUESTO'!P33+'BASE PRESUPUESTO'!Q33+'BASE PRESUPUESTO'!R33)*'PROGRAMA DE OBRA'!J36</f>
        <v>0</v>
      </c>
      <c r="K38" s="56">
        <f>'BASE PRESUPUESTO'!O33*'PROGRAMA DE OBRA'!Z36+('BASE PRESUPUESTO'!P33+'BASE PRESUPUESTO'!Q33+'BASE PRESUPUESTO'!R33)*'PROGRAMA DE OBRA'!K36</f>
        <v>0</v>
      </c>
      <c r="L38" s="57">
        <f t="shared" si="3"/>
        <v>707566</v>
      </c>
      <c r="M38" s="58">
        <f t="shared" si="4"/>
        <v>0.5</v>
      </c>
      <c r="N38" s="59">
        <f>'BASE PRESUPUESTO'!O33*SUM('PROGRAMA DE OBRA'!U36:Z36)</f>
        <v>0</v>
      </c>
      <c r="O38" s="59">
        <f>'BASE PRESUPUESTO'!P33*SUM('PROGRAMA DE OBRA'!F36:K36)</f>
        <v>0</v>
      </c>
      <c r="P38" s="59">
        <f>'BASE PRESUPUESTO'!Q33*SUM('PROGRAMA DE OBRA'!F36:K36)</f>
        <v>0</v>
      </c>
      <c r="Q38" s="59">
        <f>'BASE PRESUPUESTO'!R33*SUM('PROGRAMA DE OBRA'!F36:K36)</f>
        <v>707566</v>
      </c>
      <c r="R38" t="s">
        <v>99</v>
      </c>
      <c r="S38" t="s">
        <v>23</v>
      </c>
    </row>
    <row r="39" spans="1:19" ht="26.4" x14ac:dyDescent="0.3">
      <c r="A39" s="52" t="str">
        <f>'BASE PRESUPUESTO'!C34</f>
        <v>2.16</v>
      </c>
      <c r="B39" s="53" t="str">
        <f>'BASE PRESUPUESTO'!D34</f>
        <v>ACARREO MATERIALES CAMPERO-CAMIONETA</v>
      </c>
      <c r="C39" s="52" t="str">
        <f>'BASE PRESUPUESTO'!E34</f>
        <v>M3-KM</v>
      </c>
      <c r="D39" s="54">
        <f>'BASE PRESUPUESTO'!F34</f>
        <v>223.78118699999999</v>
      </c>
      <c r="E39" s="55">
        <f>'BASE PRESUPUESTO'!H34</f>
        <v>2929743</v>
      </c>
      <c r="F39" s="56">
        <f>'BASE PRESUPUESTO'!O34*'PROGRAMA DE OBRA'!U37+('BASE PRESUPUESTO'!P34+'BASE PRESUPUESTO'!Q34+'BASE PRESUPUESTO'!R34)*'PROGRAMA DE OBRA'!F37</f>
        <v>0</v>
      </c>
      <c r="G39" s="56">
        <f>'BASE PRESUPUESTO'!O34*'PROGRAMA DE OBRA'!V37+('BASE PRESUPUESTO'!P34+'BASE PRESUPUESTO'!Q34+'BASE PRESUPUESTO'!R34)*'PROGRAMA DE OBRA'!G37</f>
        <v>488290.50000000093</v>
      </c>
      <c r="H39" s="56">
        <f>'BASE PRESUPUESTO'!O34*'PROGRAMA DE OBRA'!W37+('BASE PRESUPUESTO'!P34+'BASE PRESUPUESTO'!Q34+'BASE PRESUPUESTO'!R34)*'PROGRAMA DE OBRA'!H37</f>
        <v>488290.50000000093</v>
      </c>
      <c r="I39" s="56">
        <f>'BASE PRESUPUESTO'!O34*'PROGRAMA DE OBRA'!X37+('BASE PRESUPUESTO'!P34+'BASE PRESUPUESTO'!Q34+'BASE PRESUPUESTO'!R34)*'PROGRAMA DE OBRA'!I37</f>
        <v>488290.50000000093</v>
      </c>
      <c r="J39" s="56">
        <f>'BASE PRESUPUESTO'!O34*'PROGRAMA DE OBRA'!Y37+('BASE PRESUPUESTO'!P34+'BASE PRESUPUESTO'!Q34+'BASE PRESUPUESTO'!R34)*'PROGRAMA DE OBRA'!J37</f>
        <v>488290.50000000093</v>
      </c>
      <c r="K39" s="56">
        <f>'BASE PRESUPUESTO'!O34*'PROGRAMA DE OBRA'!Z37+('BASE PRESUPUESTO'!P34+'BASE PRESUPUESTO'!Q34+'BASE PRESUPUESTO'!R34)*'PROGRAMA DE OBRA'!K37</f>
        <v>488290.50000000093</v>
      </c>
      <c r="L39" s="57">
        <f t="shared" si="3"/>
        <v>2441452.5000000047</v>
      </c>
      <c r="M39" s="58">
        <f t="shared" si="4"/>
        <v>0.83333333333333492</v>
      </c>
      <c r="N39" s="59">
        <f>'BASE PRESUPUESTO'!O34*SUM('PROGRAMA DE OBRA'!U37:Z37)</f>
        <v>0</v>
      </c>
      <c r="O39" s="59">
        <f>'BASE PRESUPUESTO'!P34*SUM('PROGRAMA DE OBRA'!F37:K37)</f>
        <v>0</v>
      </c>
      <c r="P39" s="59">
        <f>'BASE PRESUPUESTO'!Q34*SUM('PROGRAMA DE OBRA'!F37:K37)</f>
        <v>0</v>
      </c>
      <c r="Q39" s="59">
        <f>'BASE PRESUPUESTO'!R34*SUM('PROGRAMA DE OBRA'!F37:K37)</f>
        <v>2441452.5000000047</v>
      </c>
      <c r="R39" t="s">
        <v>99</v>
      </c>
      <c r="S39" t="s">
        <v>23</v>
      </c>
    </row>
    <row r="40" spans="1:19" x14ac:dyDescent="0.3">
      <c r="A40" s="52" t="str">
        <f>'BASE PRESUPUESTO'!C35</f>
        <v>2.17</v>
      </c>
      <c r="B40" s="53" t="str">
        <f>'BASE PRESUPUESTO'!D35</f>
        <v>DESVIACION CAUCE ANCHOS ENTRE 0 Y 1 ML</v>
      </c>
      <c r="C40" s="52" t="str">
        <f>'BASE PRESUPUESTO'!E35</f>
        <v>M</v>
      </c>
      <c r="D40" s="54">
        <f>'BASE PRESUPUESTO'!F35</f>
        <v>5</v>
      </c>
      <c r="E40" s="55">
        <f>'BASE PRESUPUESTO'!H35</f>
        <v>935295</v>
      </c>
      <c r="F40" s="56">
        <f>'BASE PRESUPUESTO'!O35*'PROGRAMA DE OBRA'!U38+('BASE PRESUPUESTO'!P35+'BASE PRESUPUESTO'!Q35+'BASE PRESUPUESTO'!R35)*'PROGRAMA DE OBRA'!F38</f>
        <v>0</v>
      </c>
      <c r="G40" s="56">
        <f>'BASE PRESUPUESTO'!O35*'PROGRAMA DE OBRA'!V38+('BASE PRESUPUESTO'!P35+'BASE PRESUPUESTO'!Q35+'BASE PRESUPUESTO'!R35)*'PROGRAMA DE OBRA'!G38</f>
        <v>0</v>
      </c>
      <c r="H40" s="56">
        <f>'BASE PRESUPUESTO'!O35*'PROGRAMA DE OBRA'!W38+('BASE PRESUPUESTO'!P35+'BASE PRESUPUESTO'!Q35+'BASE PRESUPUESTO'!R35)*'PROGRAMA DE OBRA'!H38</f>
        <v>935295.00000000012</v>
      </c>
      <c r="I40" s="56">
        <f>'BASE PRESUPUESTO'!O35*'PROGRAMA DE OBRA'!X38+('BASE PRESUPUESTO'!P35+'BASE PRESUPUESTO'!Q35+'BASE PRESUPUESTO'!R35)*'PROGRAMA DE OBRA'!I38</f>
        <v>0</v>
      </c>
      <c r="J40" s="56">
        <f>'BASE PRESUPUESTO'!O35*'PROGRAMA DE OBRA'!Y38+('BASE PRESUPUESTO'!P35+'BASE PRESUPUESTO'!Q35+'BASE PRESUPUESTO'!R35)*'PROGRAMA DE OBRA'!J38</f>
        <v>0</v>
      </c>
      <c r="K40" s="56">
        <f>'BASE PRESUPUESTO'!O35*'PROGRAMA DE OBRA'!Z38+('BASE PRESUPUESTO'!P35+'BASE PRESUPUESTO'!Q35+'BASE PRESUPUESTO'!R35)*'PROGRAMA DE OBRA'!K38</f>
        <v>0</v>
      </c>
      <c r="L40" s="57">
        <f t="shared" si="3"/>
        <v>935295.00000000012</v>
      </c>
      <c r="M40" s="58">
        <f t="shared" si="4"/>
        <v>1.0000000000000002</v>
      </c>
      <c r="N40" s="59">
        <f>'BASE PRESUPUESTO'!O35*SUM('PROGRAMA DE OBRA'!U38:Z38)</f>
        <v>0</v>
      </c>
      <c r="O40" s="59">
        <f>'BASE PRESUPUESTO'!P35*SUM('PROGRAMA DE OBRA'!F38:K38)</f>
        <v>925961.67967296997</v>
      </c>
      <c r="P40" s="59">
        <f>'BASE PRESUPUESTO'!Q35*SUM('PROGRAMA DE OBRA'!F38:K38)</f>
        <v>9333.3203270301401</v>
      </c>
      <c r="Q40" s="59">
        <f>'BASE PRESUPUESTO'!R35*SUM('PROGRAMA DE OBRA'!F38:K38)</f>
        <v>0</v>
      </c>
      <c r="R40" t="s">
        <v>99</v>
      </c>
      <c r="S40" t="s">
        <v>23</v>
      </c>
    </row>
    <row r="41" spans="1:19" x14ac:dyDescent="0.3">
      <c r="A41" s="52" t="str">
        <f>'BASE PRESUPUESTO'!C36</f>
        <v>2.18</v>
      </c>
      <c r="B41" s="53" t="str">
        <f>'BASE PRESUPUESTO'!D36</f>
        <v>REJILLA HIERRO D=1/2" E=1/2" 0.8x0.40MTS</v>
      </c>
      <c r="C41" s="52" t="str">
        <f>'BASE PRESUPUESTO'!E36</f>
        <v>UND</v>
      </c>
      <c r="D41" s="54">
        <f>'BASE PRESUPUESTO'!F36</f>
        <v>1</v>
      </c>
      <c r="E41" s="55">
        <f>'BASE PRESUPUESTO'!H36</f>
        <v>135450</v>
      </c>
      <c r="F41" s="56">
        <f>'BASE PRESUPUESTO'!O36*'PROGRAMA DE OBRA'!U39+('BASE PRESUPUESTO'!P36+'BASE PRESUPUESTO'!Q36+'BASE PRESUPUESTO'!R36)*'PROGRAMA DE OBRA'!F39</f>
        <v>0</v>
      </c>
      <c r="G41" s="56">
        <f>'BASE PRESUPUESTO'!O36*'PROGRAMA DE OBRA'!V39+('BASE PRESUPUESTO'!P36+'BASE PRESUPUESTO'!Q36+'BASE PRESUPUESTO'!R36)*'PROGRAMA DE OBRA'!G39</f>
        <v>100095.0905412869</v>
      </c>
      <c r="H41" s="56">
        <f>'BASE PRESUPUESTO'!O36*'PROGRAMA DE OBRA'!W39+('BASE PRESUPUESTO'!P36+'BASE PRESUPUESTO'!Q36+'BASE PRESUPUESTO'!R36)*'PROGRAMA DE OBRA'!H39</f>
        <v>35354.909458713097</v>
      </c>
      <c r="I41" s="56">
        <f>'BASE PRESUPUESTO'!O36*'PROGRAMA DE OBRA'!X39+('BASE PRESUPUESTO'!P36+'BASE PRESUPUESTO'!Q36+'BASE PRESUPUESTO'!R36)*'PROGRAMA DE OBRA'!I39</f>
        <v>0</v>
      </c>
      <c r="J41" s="56">
        <f>'BASE PRESUPUESTO'!O36*'PROGRAMA DE OBRA'!Y39+('BASE PRESUPUESTO'!P36+'BASE PRESUPUESTO'!Q36+'BASE PRESUPUESTO'!R36)*'PROGRAMA DE OBRA'!J39</f>
        <v>0</v>
      </c>
      <c r="K41" s="56">
        <f>'BASE PRESUPUESTO'!O36*'PROGRAMA DE OBRA'!Z39+('BASE PRESUPUESTO'!P36+'BASE PRESUPUESTO'!Q36+'BASE PRESUPUESTO'!R36)*'PROGRAMA DE OBRA'!K39</f>
        <v>0</v>
      </c>
      <c r="L41" s="57">
        <f t="shared" si="3"/>
        <v>135450</v>
      </c>
      <c r="M41" s="58">
        <f t="shared" si="4"/>
        <v>1</v>
      </c>
      <c r="N41" s="59">
        <f>'BASE PRESUPUESTO'!O36*SUM('PROGRAMA DE OBRA'!U39:Z39)</f>
        <v>100095.0905412869</v>
      </c>
      <c r="O41" s="59">
        <f>'BASE PRESUPUESTO'!P36*SUM('PROGRAMA DE OBRA'!F39:K39)</f>
        <v>34883.139053638559</v>
      </c>
      <c r="P41" s="59">
        <f>'BASE PRESUPUESTO'!Q36*SUM('PROGRAMA DE OBRA'!F39:K39)</f>
        <v>471.77040507453904</v>
      </c>
      <c r="Q41" s="59">
        <f>'BASE PRESUPUESTO'!R36*SUM('PROGRAMA DE OBRA'!F39:K39)</f>
        <v>0</v>
      </c>
      <c r="R41" t="s">
        <v>99</v>
      </c>
      <c r="S41" t="s">
        <v>23</v>
      </c>
    </row>
    <row r="42" spans="1:19" x14ac:dyDescent="0.3">
      <c r="A42" s="52" t="str">
        <f>'BASE PRESUPUESTO'!C37</f>
        <v>2.19</v>
      </c>
      <c r="B42" s="53" t="str">
        <f>'BASE PRESUPUESTO'!D37</f>
        <v>ADECUACION DESARENADOR, CONSTRUCCION PANTALLA DEFLECTORA, CANAL RECOLECTOR SALIDA</v>
      </c>
      <c r="C42" s="52" t="str">
        <f>'BASE PRESUPUESTO'!E37</f>
        <v>GLB</v>
      </c>
      <c r="D42" s="54">
        <f>'BASE PRESUPUESTO'!F37</f>
        <v>1</v>
      </c>
      <c r="E42" s="55">
        <f>'BASE PRESUPUESTO'!H37</f>
        <v>1538871</v>
      </c>
      <c r="F42" s="56">
        <f>'BASE PRESUPUESTO'!O37*'PROGRAMA DE OBRA'!U40+('BASE PRESUPUESTO'!P37+'BASE PRESUPUESTO'!Q37+'BASE PRESUPUESTO'!R37)*'PROGRAMA DE OBRA'!F40</f>
        <v>0</v>
      </c>
      <c r="G42" s="56">
        <f>'BASE PRESUPUESTO'!O37*'PROGRAMA DE OBRA'!V40+('BASE PRESUPUESTO'!P37+'BASE PRESUPUESTO'!Q37+'BASE PRESUPUESTO'!R37)*'PROGRAMA DE OBRA'!G40</f>
        <v>357305.62377156044</v>
      </c>
      <c r="H42" s="56">
        <f>'BASE PRESUPUESTO'!O37*'PROGRAMA DE OBRA'!W40+('BASE PRESUPUESTO'!P37+'BASE PRESUPUESTO'!Q37+'BASE PRESUPUESTO'!R37)*'PROGRAMA DE OBRA'!H40</f>
        <v>590782.68811421969</v>
      </c>
      <c r="I42" s="56">
        <f>'BASE PRESUPUESTO'!O37*'PROGRAMA DE OBRA'!X40+('BASE PRESUPUESTO'!P37+'BASE PRESUPUESTO'!Q37+'BASE PRESUPUESTO'!R37)*'PROGRAMA DE OBRA'!I40</f>
        <v>590782.68811421969</v>
      </c>
      <c r="J42" s="56">
        <f>'BASE PRESUPUESTO'!O37*'PROGRAMA DE OBRA'!Y40+('BASE PRESUPUESTO'!P37+'BASE PRESUPUESTO'!Q37+'BASE PRESUPUESTO'!R37)*'PROGRAMA DE OBRA'!J40</f>
        <v>0</v>
      </c>
      <c r="K42" s="56">
        <f>'BASE PRESUPUESTO'!O37*'PROGRAMA DE OBRA'!Z40+('BASE PRESUPUESTO'!P37+'BASE PRESUPUESTO'!Q37+'BASE PRESUPUESTO'!R37)*'PROGRAMA DE OBRA'!K40</f>
        <v>0</v>
      </c>
      <c r="L42" s="57">
        <f t="shared" si="3"/>
        <v>1538871</v>
      </c>
      <c r="M42" s="58">
        <f t="shared" si="4"/>
        <v>1</v>
      </c>
      <c r="N42" s="59">
        <f>'BASE PRESUPUESTO'!O37*SUM('PROGRAMA DE OBRA'!U40:Z40)</f>
        <v>357305.62377156044</v>
      </c>
      <c r="O42" s="59">
        <f>'BASE PRESUPUESTO'!P37*SUM('PROGRAMA DE OBRA'!F40:K40)</f>
        <v>1180720.3759593784</v>
      </c>
      <c r="P42" s="59">
        <f>'BASE PRESUPUESTO'!Q37*SUM('PROGRAMA DE OBRA'!F40:K40)</f>
        <v>845.0002690609756</v>
      </c>
      <c r="Q42" s="59">
        <f>'BASE PRESUPUESTO'!R37*SUM('PROGRAMA DE OBRA'!F40:K40)</f>
        <v>0</v>
      </c>
      <c r="R42" t="s">
        <v>99</v>
      </c>
      <c r="S42" t="s">
        <v>23</v>
      </c>
    </row>
    <row r="43" spans="1:19" ht="19.5" customHeight="1" x14ac:dyDescent="0.3">
      <c r="A43" s="169" t="s">
        <v>103</v>
      </c>
      <c r="B43" s="169"/>
      <c r="C43" s="169"/>
      <c r="D43" s="169"/>
      <c r="E43" s="62">
        <f t="shared" ref="E43:L43" si="5">SUM(E21:E42)</f>
        <v>27956091</v>
      </c>
      <c r="F43" s="62">
        <f t="shared" si="5"/>
        <v>12990.031245154065</v>
      </c>
      <c r="G43" s="62">
        <f t="shared" si="5"/>
        <v>2808859.6830676938</v>
      </c>
      <c r="H43" s="62">
        <f t="shared" si="5"/>
        <v>6964022.5069198254</v>
      </c>
      <c r="I43" s="62">
        <f t="shared" si="5"/>
        <v>3785350.8286814983</v>
      </c>
      <c r="J43" s="62">
        <f t="shared" si="5"/>
        <v>3646158.8448625356</v>
      </c>
      <c r="K43" s="62">
        <f t="shared" si="5"/>
        <v>5591958.3658478567</v>
      </c>
      <c r="L43" s="62">
        <f t="shared" si="5"/>
        <v>22809340.260624565</v>
      </c>
      <c r="M43" s="63">
        <f t="shared" si="4"/>
        <v>0.81589876998985889</v>
      </c>
      <c r="N43" s="62">
        <f>SUM(N21:N42)</f>
        <v>8646284.4659184758</v>
      </c>
      <c r="O43" s="62">
        <f>SUM(O21:O42)</f>
        <v>9878459.8905809093</v>
      </c>
      <c r="P43" s="62">
        <f>SUM(P21:P42)</f>
        <v>900992.4041251766</v>
      </c>
      <c r="Q43" s="62">
        <f>SUM(Q21:Q42)</f>
        <v>3383603.5000000047</v>
      </c>
      <c r="R43" t="s">
        <v>101</v>
      </c>
    </row>
    <row r="45" spans="1:19" ht="19.5" customHeight="1" x14ac:dyDescent="0.3">
      <c r="A45" s="170" t="s">
        <v>104</v>
      </c>
      <c r="B45" s="170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</row>
    <row r="46" spans="1:19" x14ac:dyDescent="0.3">
      <c r="A46" s="52" t="str">
        <f>'BASE PRESUPUESTO'!C38</f>
        <v>1.1</v>
      </c>
      <c r="B46" s="53" t="str">
        <f>'BASE PRESUPUESTO'!D38</f>
        <v>LOCALIZACION-REPLANTEO CERRAMIENTO-VARIO</v>
      </c>
      <c r="C46" s="52" t="str">
        <f>'BASE PRESUPUESTO'!E38</f>
        <v>ML</v>
      </c>
      <c r="D46" s="54">
        <f>'BASE PRESUPUESTO'!F38</f>
        <v>26.2</v>
      </c>
      <c r="E46" s="55">
        <f>'BASE PRESUPUESTO'!H38</f>
        <v>79753</v>
      </c>
      <c r="F46" s="56">
        <f>'BASE PRESUPUESTO'!O38*'PROGRAMA DE OBRA'!U42+('BASE PRESUPUESTO'!P38+'BASE PRESUPUESTO'!Q38+'BASE PRESUPUESTO'!R38)*'PROGRAMA DE OBRA'!F42</f>
        <v>0</v>
      </c>
      <c r="G46" s="56">
        <f>'BASE PRESUPUESTO'!O38*'PROGRAMA DE OBRA'!V42+('BASE PRESUPUESTO'!P38+'BASE PRESUPUESTO'!Q38+'BASE PRESUPUESTO'!R38)*'PROGRAMA DE OBRA'!G42</f>
        <v>11735.8507623224</v>
      </c>
      <c r="H46" s="56">
        <f>'BASE PRESUPUESTO'!O38*'PROGRAMA DE OBRA'!W42+('BASE PRESUPUESTO'!P38+'BASE PRESUPUESTO'!Q38+'BASE PRESUPUESTO'!R38)*'PROGRAMA DE OBRA'!H42</f>
        <v>68017.149237677673</v>
      </c>
      <c r="I46" s="56">
        <f>'BASE PRESUPUESTO'!O38*'PROGRAMA DE OBRA'!X42+('BASE PRESUPUESTO'!P38+'BASE PRESUPUESTO'!Q38+'BASE PRESUPUESTO'!R38)*'PROGRAMA DE OBRA'!I42</f>
        <v>0</v>
      </c>
      <c r="J46" s="56">
        <f>'BASE PRESUPUESTO'!O38*'PROGRAMA DE OBRA'!Y42+('BASE PRESUPUESTO'!P38+'BASE PRESUPUESTO'!Q38+'BASE PRESUPUESTO'!R38)*'PROGRAMA DE OBRA'!J42</f>
        <v>0</v>
      </c>
      <c r="K46" s="56">
        <f>'BASE PRESUPUESTO'!O38*'PROGRAMA DE OBRA'!Z42+('BASE PRESUPUESTO'!P38+'BASE PRESUPUESTO'!Q38+'BASE PRESUPUESTO'!R38)*'PROGRAMA DE OBRA'!K42</f>
        <v>0</v>
      </c>
      <c r="L46" s="57">
        <f t="shared" ref="L46:L68" si="6">SUM(F46:K46)</f>
        <v>79753.000000000073</v>
      </c>
      <c r="M46" s="58">
        <f t="shared" ref="M46:M69" si="7">IF(E46=0,0,L46/E46)</f>
        <v>1.0000000000000009</v>
      </c>
      <c r="N46" s="59">
        <f>'BASE PRESUPUESTO'!O38*SUM('PROGRAMA DE OBRA'!U42:Z42)</f>
        <v>11735.8507623224</v>
      </c>
      <c r="O46" s="59">
        <f>'BASE PRESUPUESTO'!P38*SUM('PROGRAMA DE OBRA'!F42:K42)</f>
        <v>58544.265214278421</v>
      </c>
      <c r="P46" s="59">
        <f>'BASE PRESUPUESTO'!Q38*SUM('PROGRAMA DE OBRA'!F42:K42)</f>
        <v>9472.8840233992578</v>
      </c>
      <c r="Q46" s="59">
        <f>'BASE PRESUPUESTO'!R38*SUM('PROGRAMA DE OBRA'!F42:K42)</f>
        <v>0</v>
      </c>
      <c r="R46" t="s">
        <v>99</v>
      </c>
      <c r="S46" t="s">
        <v>24</v>
      </c>
    </row>
    <row r="47" spans="1:19" x14ac:dyDescent="0.3">
      <c r="A47" s="52" t="str">
        <f>'BASE PRESUPUESTO'!C39</f>
        <v>1.2</v>
      </c>
      <c r="B47" s="53" t="str">
        <f>'BASE PRESUPUESTO'!D39</f>
        <v>EXCAVACION EN CONGLOMERADO (MANUAL)</v>
      </c>
      <c r="C47" s="52" t="str">
        <f>'BASE PRESUPUESTO'!E39</f>
        <v>M3</v>
      </c>
      <c r="D47" s="54">
        <f>'BASE PRESUPUESTO'!F39</f>
        <v>6.7649999999999997</v>
      </c>
      <c r="E47" s="55">
        <f>'BASE PRESUPUESTO'!H39</f>
        <v>316433</v>
      </c>
      <c r="F47" s="56">
        <f>'BASE PRESUPUESTO'!O39*'PROGRAMA DE OBRA'!U43+('BASE PRESUPUESTO'!P39+'BASE PRESUPUESTO'!Q39+'BASE PRESUPUESTO'!R39)*'PROGRAMA DE OBRA'!F43</f>
        <v>0</v>
      </c>
      <c r="G47" s="56">
        <f>'BASE PRESUPUESTO'!O39*'PROGRAMA DE OBRA'!V43+('BASE PRESUPUESTO'!P39+'BASE PRESUPUESTO'!Q39+'BASE PRESUPUESTO'!R39)*'PROGRAMA DE OBRA'!G43</f>
        <v>0</v>
      </c>
      <c r="H47" s="56">
        <f>'BASE PRESUPUESTO'!O39*'PROGRAMA DE OBRA'!W43+('BASE PRESUPUESTO'!P39+'BASE PRESUPUESTO'!Q39+'BASE PRESUPUESTO'!R39)*'PROGRAMA DE OBRA'!H43</f>
        <v>316432.99999999994</v>
      </c>
      <c r="I47" s="56">
        <f>'BASE PRESUPUESTO'!O39*'PROGRAMA DE OBRA'!X43+('BASE PRESUPUESTO'!P39+'BASE PRESUPUESTO'!Q39+'BASE PRESUPUESTO'!R39)*'PROGRAMA DE OBRA'!I43</f>
        <v>0</v>
      </c>
      <c r="J47" s="56">
        <f>'BASE PRESUPUESTO'!O39*'PROGRAMA DE OBRA'!Y43+('BASE PRESUPUESTO'!P39+'BASE PRESUPUESTO'!Q39+'BASE PRESUPUESTO'!R39)*'PROGRAMA DE OBRA'!J43</f>
        <v>0</v>
      </c>
      <c r="K47" s="56">
        <f>'BASE PRESUPUESTO'!O39*'PROGRAMA DE OBRA'!Z43+('BASE PRESUPUESTO'!P39+'BASE PRESUPUESTO'!Q39+'BASE PRESUPUESTO'!R39)*'PROGRAMA DE OBRA'!K43</f>
        <v>0</v>
      </c>
      <c r="L47" s="57">
        <f t="shared" si="6"/>
        <v>316432.99999999994</v>
      </c>
      <c r="M47" s="58">
        <f t="shared" si="7"/>
        <v>0.99999999999999978</v>
      </c>
      <c r="N47" s="59">
        <f>'BASE PRESUPUESTO'!O39*SUM('PROGRAMA DE OBRA'!U43:Z43)</f>
        <v>0</v>
      </c>
      <c r="O47" s="59">
        <f>'BASE PRESUPUESTO'!P39*SUM('PROGRAMA DE OBRA'!F43:K43)</f>
        <v>305737.23264410009</v>
      </c>
      <c r="P47" s="59">
        <f>'BASE PRESUPUESTO'!Q39*SUM('PROGRAMA DE OBRA'!F43:K43)</f>
        <v>10695.767355899878</v>
      </c>
      <c r="Q47" s="59">
        <f>'BASE PRESUPUESTO'!R39*SUM('PROGRAMA DE OBRA'!F43:K43)</f>
        <v>0</v>
      </c>
      <c r="R47" t="s">
        <v>99</v>
      </c>
      <c r="S47" t="s">
        <v>24</v>
      </c>
    </row>
    <row r="48" spans="1:19" x14ac:dyDescent="0.3">
      <c r="A48" s="52" t="str">
        <f>'BASE PRESUPUESTO'!C40</f>
        <v>2.1</v>
      </c>
      <c r="B48" s="53" t="str">
        <f>'BASE PRESUPUESTO'!D40</f>
        <v>NIVELACION PISO Y GRAVA E=0,10 MTS</v>
      </c>
      <c r="C48" s="52" t="str">
        <f>'BASE PRESUPUESTO'!E40</f>
        <v>M2</v>
      </c>
      <c r="D48" s="54">
        <f>'BASE PRESUPUESTO'!F40</f>
        <v>45.1</v>
      </c>
      <c r="E48" s="55">
        <f>'BASE PRESUPUESTO'!H40</f>
        <v>1476114</v>
      </c>
      <c r="F48" s="56">
        <f>'BASE PRESUPUESTO'!O40*'PROGRAMA DE OBRA'!U44+('BASE PRESUPUESTO'!P40+'BASE PRESUPUESTO'!Q40+'BASE PRESUPUESTO'!R40)*'PROGRAMA DE OBRA'!F44</f>
        <v>0</v>
      </c>
      <c r="G48" s="56">
        <f>'BASE PRESUPUESTO'!O40*'PROGRAMA DE OBRA'!V44+('BASE PRESUPUESTO'!P40+'BASE PRESUPUESTO'!Q40+'BASE PRESUPUESTO'!R40)*'PROGRAMA DE OBRA'!G44</f>
        <v>0</v>
      </c>
      <c r="H48" s="56">
        <f>'BASE PRESUPUESTO'!O40*'PROGRAMA DE OBRA'!W44+('BASE PRESUPUESTO'!P40+'BASE PRESUPUESTO'!Q40+'BASE PRESUPUESTO'!R40)*'PROGRAMA DE OBRA'!H44</f>
        <v>669735.0090742989</v>
      </c>
      <c r="I48" s="56">
        <f>'BASE PRESUPUESTO'!O40*'PROGRAMA DE OBRA'!X44+('BASE PRESUPUESTO'!P40+'BASE PRESUPUESTO'!Q40+'BASE PRESUPUESTO'!R40)*'PROGRAMA DE OBRA'!I44</f>
        <v>806378.99092570099</v>
      </c>
      <c r="J48" s="56">
        <f>'BASE PRESUPUESTO'!O40*'PROGRAMA DE OBRA'!Y44+('BASE PRESUPUESTO'!P40+'BASE PRESUPUESTO'!Q40+'BASE PRESUPUESTO'!R40)*'PROGRAMA DE OBRA'!J44</f>
        <v>0</v>
      </c>
      <c r="K48" s="56">
        <f>'BASE PRESUPUESTO'!O40*'PROGRAMA DE OBRA'!Z44+('BASE PRESUPUESTO'!P40+'BASE PRESUPUESTO'!Q40+'BASE PRESUPUESTO'!R40)*'PROGRAMA DE OBRA'!K44</f>
        <v>0</v>
      </c>
      <c r="L48" s="57">
        <f t="shared" si="6"/>
        <v>1476114</v>
      </c>
      <c r="M48" s="58">
        <f t="shared" si="7"/>
        <v>1</v>
      </c>
      <c r="N48" s="59">
        <f>'BASE PRESUPUESTO'!O40*SUM('PROGRAMA DE OBRA'!U44:Z44)</f>
        <v>669735.0090742989</v>
      </c>
      <c r="O48" s="59">
        <f>'BASE PRESUPUESTO'!P40*SUM('PROGRAMA DE OBRA'!F44:K44)</f>
        <v>798757.09082243114</v>
      </c>
      <c r="P48" s="59">
        <f>'BASE PRESUPUESTO'!Q40*SUM('PROGRAMA DE OBRA'!F44:K44)</f>
        <v>7621.9001032698106</v>
      </c>
      <c r="Q48" s="59">
        <f>'BASE PRESUPUESTO'!R40*SUM('PROGRAMA DE OBRA'!F44:K44)</f>
        <v>0</v>
      </c>
      <c r="R48" t="s">
        <v>99</v>
      </c>
      <c r="S48" t="s">
        <v>24</v>
      </c>
    </row>
    <row r="49" spans="1:19" x14ac:dyDescent="0.3">
      <c r="A49" s="52" t="str">
        <f>'BASE PRESUPUESTO'!C41</f>
        <v>2.2</v>
      </c>
      <c r="B49" s="53" t="str">
        <f>'BASE PRESUPUESTO'!D41</f>
        <v>TANQUE PLASTICO 5.000 LTS</v>
      </c>
      <c r="C49" s="52" t="str">
        <f>'BASE PRESUPUESTO'!E41</f>
        <v>UND</v>
      </c>
      <c r="D49" s="54">
        <f>'BASE PRESUPUESTO'!F41</f>
        <v>2</v>
      </c>
      <c r="E49" s="55">
        <f>'BASE PRESUPUESTO'!H41</f>
        <v>9197064</v>
      </c>
      <c r="F49" s="56">
        <f>'BASE PRESUPUESTO'!O41*'PROGRAMA DE OBRA'!U45+('BASE PRESUPUESTO'!P41+'BASE PRESUPUESTO'!Q41+'BASE PRESUPUESTO'!R41)*'PROGRAMA DE OBRA'!F45</f>
        <v>0</v>
      </c>
      <c r="G49" s="56">
        <f>'BASE PRESUPUESTO'!O41*'PROGRAMA DE OBRA'!V45+('BASE PRESUPUESTO'!P41+'BASE PRESUPUESTO'!Q41+'BASE PRESUPUESTO'!R41)*'PROGRAMA DE OBRA'!G45</f>
        <v>0</v>
      </c>
      <c r="H49" s="56">
        <f>'BASE PRESUPUESTO'!O41*'PROGRAMA DE OBRA'!W45+('BASE PRESUPUESTO'!P41+'BASE PRESUPUESTO'!Q41+'BASE PRESUPUESTO'!R41)*'PROGRAMA DE OBRA'!H45</f>
        <v>0</v>
      </c>
      <c r="I49" s="56">
        <f>'BASE PRESUPUESTO'!O41*'PROGRAMA DE OBRA'!X45+('BASE PRESUPUESTO'!P41+'BASE PRESUPUESTO'!Q41+'BASE PRESUPUESTO'!R41)*'PROGRAMA DE OBRA'!I45</f>
        <v>0</v>
      </c>
      <c r="J49" s="56">
        <f>'BASE PRESUPUESTO'!O41*'PROGRAMA DE OBRA'!Y45+('BASE PRESUPUESTO'!P41+'BASE PRESUPUESTO'!Q41+'BASE PRESUPUESTO'!R41)*'PROGRAMA DE OBRA'!J45</f>
        <v>8620264.8390870094</v>
      </c>
      <c r="K49" s="56">
        <f>'BASE PRESUPUESTO'!O41*'PROGRAMA DE OBRA'!Z45+('BASE PRESUPUESTO'!P41+'BASE PRESUPUESTO'!Q41+'BASE PRESUPUESTO'!R41)*'PROGRAMA DE OBRA'!K45</f>
        <v>576799.16091298964</v>
      </c>
      <c r="L49" s="57">
        <f t="shared" si="6"/>
        <v>9197064</v>
      </c>
      <c r="M49" s="58">
        <f t="shared" si="7"/>
        <v>1</v>
      </c>
      <c r="N49" s="59">
        <f>'BASE PRESUPUESTO'!O41*SUM('PROGRAMA DE OBRA'!U45:Z45)</f>
        <v>8620264.8390870094</v>
      </c>
      <c r="O49" s="59">
        <f>'BASE PRESUPUESTO'!P41*SUM('PROGRAMA DE OBRA'!F45:K45)</f>
        <v>576799.16091298964</v>
      </c>
      <c r="P49" s="59">
        <f>'BASE PRESUPUESTO'!Q41*SUM('PROGRAMA DE OBRA'!F45:K45)</f>
        <v>0</v>
      </c>
      <c r="Q49" s="59">
        <f>'BASE PRESUPUESTO'!R41*SUM('PROGRAMA DE OBRA'!F45:K45)</f>
        <v>0</v>
      </c>
      <c r="R49" t="s">
        <v>99</v>
      </c>
      <c r="S49" t="s">
        <v>24</v>
      </c>
    </row>
    <row r="50" spans="1:19" x14ac:dyDescent="0.3">
      <c r="A50" s="52" t="str">
        <f>'BASE PRESUPUESTO'!C42</f>
        <v>2.3</v>
      </c>
      <c r="B50" s="53" t="str">
        <f>'BASE PRESUPUESTO'!D42</f>
        <v>FLOTADOR DE 1" PARA TANQUE 5,000 LTS, INCLUYE ACCESORIOS INSTALACION</v>
      </c>
      <c r="C50" s="52" t="str">
        <f>'BASE PRESUPUESTO'!E42</f>
        <v>UND</v>
      </c>
      <c r="D50" s="54">
        <f>'BASE PRESUPUESTO'!F42</f>
        <v>2</v>
      </c>
      <c r="E50" s="55">
        <f>'BASE PRESUPUESTO'!H42</f>
        <v>409298</v>
      </c>
      <c r="F50" s="56">
        <f>'BASE PRESUPUESTO'!O42*'PROGRAMA DE OBRA'!U46+('BASE PRESUPUESTO'!P42+'BASE PRESUPUESTO'!Q42+'BASE PRESUPUESTO'!R42)*'PROGRAMA DE OBRA'!F46</f>
        <v>0</v>
      </c>
      <c r="G50" s="56">
        <f>'BASE PRESUPUESTO'!O42*'PROGRAMA DE OBRA'!V46+('BASE PRESUPUESTO'!P42+'BASE PRESUPUESTO'!Q42+'BASE PRESUPUESTO'!R42)*'PROGRAMA DE OBRA'!G46</f>
        <v>0</v>
      </c>
      <c r="H50" s="56">
        <f>'BASE PRESUPUESTO'!O42*'PROGRAMA DE OBRA'!W46+('BASE PRESUPUESTO'!P42+'BASE PRESUPUESTO'!Q42+'BASE PRESUPUESTO'!R42)*'PROGRAMA DE OBRA'!H46</f>
        <v>0</v>
      </c>
      <c r="I50" s="56">
        <f>'BASE PRESUPUESTO'!O42*'PROGRAMA DE OBRA'!X46+('BASE PRESUPUESTO'!P42+'BASE PRESUPUESTO'!Q42+'BASE PRESUPUESTO'!R42)*'PROGRAMA DE OBRA'!I46</f>
        <v>0</v>
      </c>
      <c r="J50" s="56">
        <f>'BASE PRESUPUESTO'!O42*'PROGRAMA DE OBRA'!Y46+('BASE PRESUPUESTO'!P42+'BASE PRESUPUESTO'!Q42+'BASE PRESUPUESTO'!R42)*'PROGRAMA DE OBRA'!J46</f>
        <v>283499.99999999988</v>
      </c>
      <c r="K50" s="56">
        <f>'BASE PRESUPUESTO'!O42*'PROGRAMA DE OBRA'!Z46+('BASE PRESUPUESTO'!P42+'BASE PRESUPUESTO'!Q42+'BASE PRESUPUESTO'!R42)*'PROGRAMA DE OBRA'!K46</f>
        <v>125798.0000000002</v>
      </c>
      <c r="L50" s="57">
        <f t="shared" si="6"/>
        <v>409298.00000000012</v>
      </c>
      <c r="M50" s="58">
        <f t="shared" si="7"/>
        <v>1.0000000000000002</v>
      </c>
      <c r="N50" s="59">
        <f>'BASE PRESUPUESTO'!O42*SUM('PROGRAMA DE OBRA'!U46:Z46)</f>
        <v>283499.99999999988</v>
      </c>
      <c r="O50" s="59">
        <f>'BASE PRESUPUESTO'!P42*SUM('PROGRAMA DE OBRA'!F46:K46)</f>
        <v>125460.0000000002</v>
      </c>
      <c r="P50" s="59">
        <f>'BASE PRESUPUESTO'!Q42*SUM('PROGRAMA DE OBRA'!F46:K46)</f>
        <v>338.00000000000006</v>
      </c>
      <c r="Q50" s="59">
        <f>'BASE PRESUPUESTO'!R42*SUM('PROGRAMA DE OBRA'!F46:K46)</f>
        <v>0</v>
      </c>
      <c r="R50" t="s">
        <v>99</v>
      </c>
      <c r="S50" t="s">
        <v>24</v>
      </c>
    </row>
    <row r="51" spans="1:19" x14ac:dyDescent="0.3">
      <c r="A51" s="52" t="str">
        <f>'BASE PRESUPUESTO'!C43</f>
        <v>2.4</v>
      </c>
      <c r="B51" s="53" t="str">
        <f>'BASE PRESUPUESTO'!D43</f>
        <v>CONEXIÓNES EN 2" TANQUE PLASTICOS CON LA RED DE DISTRIBUCION, BY - PASS, LAVADO Y REBOSE</v>
      </c>
      <c r="C51" s="52" t="str">
        <f>'BASE PRESUPUESTO'!E43</f>
        <v>GLB</v>
      </c>
      <c r="D51" s="54">
        <f>'BASE PRESUPUESTO'!F43</f>
        <v>1</v>
      </c>
      <c r="E51" s="55">
        <f>'BASE PRESUPUESTO'!H43</f>
        <v>2636586</v>
      </c>
      <c r="F51" s="56">
        <f>'BASE PRESUPUESTO'!O43*'PROGRAMA DE OBRA'!U47+('BASE PRESUPUESTO'!P43+'BASE PRESUPUESTO'!Q43+'BASE PRESUPUESTO'!R43)*'PROGRAMA DE OBRA'!F47</f>
        <v>0</v>
      </c>
      <c r="G51" s="56">
        <f>'BASE PRESUPUESTO'!O43*'PROGRAMA DE OBRA'!V47+('BASE PRESUPUESTO'!P43+'BASE PRESUPUESTO'!Q43+'BASE PRESUPUESTO'!R43)*'PROGRAMA DE OBRA'!G47</f>
        <v>0</v>
      </c>
      <c r="H51" s="56">
        <f>'BASE PRESUPUESTO'!O43*'PROGRAMA DE OBRA'!W47+('BASE PRESUPUESTO'!P43+'BASE PRESUPUESTO'!Q43+'BASE PRESUPUESTO'!R43)*'PROGRAMA DE OBRA'!H47</f>
        <v>0</v>
      </c>
      <c r="I51" s="56">
        <f>'BASE PRESUPUESTO'!O43*'PROGRAMA DE OBRA'!X47+('BASE PRESUPUESTO'!P43+'BASE PRESUPUESTO'!Q43+'BASE PRESUPUESTO'!R43)*'PROGRAMA DE OBRA'!I47</f>
        <v>0</v>
      </c>
      <c r="J51" s="56">
        <f>'BASE PRESUPUESTO'!O43*'PROGRAMA DE OBRA'!Y47+('BASE PRESUPUESTO'!P43+'BASE PRESUPUESTO'!Q43+'BASE PRESUPUESTO'!R43)*'PROGRAMA DE OBRA'!J47</f>
        <v>1375226.1865785259</v>
      </c>
      <c r="K51" s="56">
        <f>'BASE PRESUPUESTO'!O43*'PROGRAMA DE OBRA'!Z47+('BASE PRESUPUESTO'!P43+'BASE PRESUPUESTO'!Q43+'BASE PRESUPUESTO'!R43)*'PROGRAMA DE OBRA'!K47</f>
        <v>630679.90671073704</v>
      </c>
      <c r="L51" s="57">
        <f t="shared" si="6"/>
        <v>2005906.0932892631</v>
      </c>
      <c r="M51" s="58">
        <f t="shared" si="7"/>
        <v>0.76079676266553153</v>
      </c>
      <c r="N51" s="59">
        <f>'BASE PRESUPUESTO'!O43*SUM('PROGRAMA DE OBRA'!U47:Z47)</f>
        <v>1375226.1865785259</v>
      </c>
      <c r="O51" s="59">
        <f>'BASE PRESUPUESTO'!P43*SUM('PROGRAMA DE OBRA'!F47:K47)</f>
        <v>627299.90721070173</v>
      </c>
      <c r="P51" s="59">
        <f>'BASE PRESUPUESTO'!Q43*SUM('PROGRAMA DE OBRA'!F47:K47)</f>
        <v>3379.9995000353501</v>
      </c>
      <c r="Q51" s="59">
        <f>'BASE PRESUPUESTO'!R43*SUM('PROGRAMA DE OBRA'!F47:K47)</f>
        <v>0</v>
      </c>
      <c r="R51" t="s">
        <v>99</v>
      </c>
      <c r="S51" t="s">
        <v>24</v>
      </c>
    </row>
    <row r="52" spans="1:19" x14ac:dyDescent="0.3">
      <c r="A52" s="52" t="str">
        <f>'BASE PRESUPUESTO'!C44</f>
        <v>2.5</v>
      </c>
      <c r="B52" s="53" t="str">
        <f>'BASE PRESUPUESTO'!D44</f>
        <v>SOLADO ESPESOR E=0.05M 3000 PSI 210 MPA</v>
      </c>
      <c r="C52" s="52" t="str">
        <f>'BASE PRESUPUESTO'!E44</f>
        <v>M2</v>
      </c>
      <c r="D52" s="54">
        <f>'BASE PRESUPUESTO'!F44</f>
        <v>5.22</v>
      </c>
      <c r="E52" s="55">
        <f>'BASE PRESUPUESTO'!H44</f>
        <v>203335</v>
      </c>
      <c r="F52" s="56">
        <f>'BASE PRESUPUESTO'!O44*'PROGRAMA DE OBRA'!U48+('BASE PRESUPUESTO'!P44+'BASE PRESUPUESTO'!Q44+'BASE PRESUPUESTO'!R44)*'PROGRAMA DE OBRA'!F48</f>
        <v>0</v>
      </c>
      <c r="G52" s="56">
        <f>'BASE PRESUPUESTO'!O44*'PROGRAMA DE OBRA'!V48+('BASE PRESUPUESTO'!P44+'BASE PRESUPUESTO'!Q44+'BASE PRESUPUESTO'!R44)*'PROGRAMA DE OBRA'!G48</f>
        <v>0</v>
      </c>
      <c r="H52" s="56">
        <f>'BASE PRESUPUESTO'!O44*'PROGRAMA DE OBRA'!W48+('BASE PRESUPUESTO'!P44+'BASE PRESUPUESTO'!Q44+'BASE PRESUPUESTO'!R44)*'PROGRAMA DE OBRA'!H48</f>
        <v>125192.65015716583</v>
      </c>
      <c r="I52" s="56">
        <f>'BASE PRESUPUESTO'!O44*'PROGRAMA DE OBRA'!X48+('BASE PRESUPUESTO'!P44+'BASE PRESUPUESTO'!Q44+'BASE PRESUPUESTO'!R44)*'PROGRAMA DE OBRA'!I48</f>
        <v>78142.349842834185</v>
      </c>
      <c r="J52" s="56">
        <f>'BASE PRESUPUESTO'!O44*'PROGRAMA DE OBRA'!Y48+('BASE PRESUPUESTO'!P44+'BASE PRESUPUESTO'!Q44+'BASE PRESUPUESTO'!R44)*'PROGRAMA DE OBRA'!J48</f>
        <v>0</v>
      </c>
      <c r="K52" s="56">
        <f>'BASE PRESUPUESTO'!O44*'PROGRAMA DE OBRA'!Z48+('BASE PRESUPUESTO'!P44+'BASE PRESUPUESTO'!Q44+'BASE PRESUPUESTO'!R44)*'PROGRAMA DE OBRA'!K48</f>
        <v>0</v>
      </c>
      <c r="L52" s="57">
        <f t="shared" si="6"/>
        <v>203335</v>
      </c>
      <c r="M52" s="58">
        <f t="shared" si="7"/>
        <v>1</v>
      </c>
      <c r="N52" s="59">
        <f>'BASE PRESUPUESTO'!O44*SUM('PROGRAMA DE OBRA'!U48:Z48)</f>
        <v>125192.65015716583</v>
      </c>
      <c r="O52" s="59">
        <f>'BASE PRESUPUESTO'!P44*SUM('PROGRAMA DE OBRA'!F48:K48)</f>
        <v>77257.699713986454</v>
      </c>
      <c r="P52" s="59">
        <f>'BASE PRESUPUESTO'!Q44*SUM('PROGRAMA DE OBRA'!F48:K48)</f>
        <v>884.65012884773398</v>
      </c>
      <c r="Q52" s="59">
        <f>'BASE PRESUPUESTO'!R44*SUM('PROGRAMA DE OBRA'!F48:K48)</f>
        <v>0</v>
      </c>
      <c r="R52" t="s">
        <v>99</v>
      </c>
      <c r="S52" t="s">
        <v>24</v>
      </c>
    </row>
    <row r="53" spans="1:19" x14ac:dyDescent="0.3">
      <c r="A53" s="52" t="str">
        <f>'BASE PRESUPUESTO'!C45</f>
        <v>2.6</v>
      </c>
      <c r="B53" s="53" t="str">
        <f>'BASE PRESUPUESTO'!D45</f>
        <v>VIGA CIMIENTO ENLACE H-20-40CM 3100 PSI</v>
      </c>
      <c r="C53" s="52" t="str">
        <f>'BASE PRESUPUESTO'!E45</f>
        <v>M3</v>
      </c>
      <c r="D53" s="54">
        <f>'BASE PRESUPUESTO'!F45</f>
        <v>2.3875000000000002</v>
      </c>
      <c r="E53" s="55">
        <f>'BASE PRESUPUESTO'!H45</f>
        <v>2457229</v>
      </c>
      <c r="F53" s="56">
        <f>'BASE PRESUPUESTO'!O45*'PROGRAMA DE OBRA'!U49+('BASE PRESUPUESTO'!P45+'BASE PRESUPUESTO'!Q45+'BASE PRESUPUESTO'!R45)*'PROGRAMA DE OBRA'!F49</f>
        <v>0</v>
      </c>
      <c r="G53" s="56">
        <f>'BASE PRESUPUESTO'!O45*'PROGRAMA DE OBRA'!V49+('BASE PRESUPUESTO'!P45+'BASE PRESUPUESTO'!Q45+'BASE PRESUPUESTO'!R45)*'PROGRAMA DE OBRA'!G49</f>
        <v>0</v>
      </c>
      <c r="H53" s="56">
        <f>'BASE PRESUPUESTO'!O45*'PROGRAMA DE OBRA'!W49+('BASE PRESUPUESTO'!P45+'BASE PRESUPUESTO'!Q45+'BASE PRESUPUESTO'!R45)*'PROGRAMA DE OBRA'!H49</f>
        <v>1545149.3295430732</v>
      </c>
      <c r="I53" s="56">
        <f>'BASE PRESUPUESTO'!O45*'PROGRAMA DE OBRA'!X49+('BASE PRESUPUESTO'!P45+'BASE PRESUPUESTO'!Q45+'BASE PRESUPUESTO'!R45)*'PROGRAMA DE OBRA'!I49</f>
        <v>456039.83522846317</v>
      </c>
      <c r="J53" s="56">
        <f>'BASE PRESUPUESTO'!O45*'PROGRAMA DE OBRA'!Y49+('BASE PRESUPUESTO'!P45+'BASE PRESUPUESTO'!Q45+'BASE PRESUPUESTO'!R45)*'PROGRAMA DE OBRA'!J49</f>
        <v>456039.83522846317</v>
      </c>
      <c r="K53" s="56">
        <f>'BASE PRESUPUESTO'!O45*'PROGRAMA DE OBRA'!Z49+('BASE PRESUPUESTO'!P45+'BASE PRESUPUESTO'!Q45+'BASE PRESUPUESTO'!R45)*'PROGRAMA DE OBRA'!K49</f>
        <v>0</v>
      </c>
      <c r="L53" s="57">
        <f t="shared" si="6"/>
        <v>2457228.9999999995</v>
      </c>
      <c r="M53" s="58">
        <f t="shared" si="7"/>
        <v>0.99999999999999978</v>
      </c>
      <c r="N53" s="59">
        <f>'BASE PRESUPUESTO'!O45*SUM('PROGRAMA DE OBRA'!U49:Z49)</f>
        <v>1545149.3295430732</v>
      </c>
      <c r="O53" s="59">
        <f>'BASE PRESUPUESTO'!P45*SUM('PROGRAMA DE OBRA'!F49:K49)</f>
        <v>900323.20121148392</v>
      </c>
      <c r="P53" s="59">
        <f>'BASE PRESUPUESTO'!Q45*SUM('PROGRAMA DE OBRA'!F49:K49)</f>
        <v>11756.469245442433</v>
      </c>
      <c r="Q53" s="59">
        <f>'BASE PRESUPUESTO'!R45*SUM('PROGRAMA DE OBRA'!F49:K49)</f>
        <v>0</v>
      </c>
      <c r="R53" t="s">
        <v>99</v>
      </c>
      <c r="S53" t="s">
        <v>24</v>
      </c>
    </row>
    <row r="54" spans="1:19" x14ac:dyDescent="0.3">
      <c r="A54" s="52" t="str">
        <f>'BASE PRESUPUESTO'!C46</f>
        <v>2.7</v>
      </c>
      <c r="B54" s="53" t="str">
        <f>'BASE PRESUPUESTO'!D46</f>
        <v>COLUMNA AMARRE MURO</v>
      </c>
      <c r="C54" s="52" t="str">
        <f>'BASE PRESUPUESTO'!E46</f>
        <v>ML</v>
      </c>
      <c r="D54" s="54">
        <f>'BASE PRESUPUESTO'!F46</f>
        <v>5.5</v>
      </c>
      <c r="E54" s="55">
        <f>'BASE PRESUPUESTO'!H46</f>
        <v>423869</v>
      </c>
      <c r="F54" s="56">
        <f>'BASE PRESUPUESTO'!O46*'PROGRAMA DE OBRA'!U50+('BASE PRESUPUESTO'!P46+'BASE PRESUPUESTO'!Q46+'BASE PRESUPUESTO'!R46)*'PROGRAMA DE OBRA'!F50</f>
        <v>0</v>
      </c>
      <c r="G54" s="56">
        <f>'BASE PRESUPUESTO'!O46*'PROGRAMA DE OBRA'!V50+('BASE PRESUPUESTO'!P46+'BASE PRESUPUESTO'!Q46+'BASE PRESUPUESTO'!R46)*'PROGRAMA DE OBRA'!G50</f>
        <v>0</v>
      </c>
      <c r="H54" s="56">
        <f>'BASE PRESUPUESTO'!O46*'PROGRAMA DE OBRA'!W50+('BASE PRESUPUESTO'!P46+'BASE PRESUPUESTO'!Q46+'BASE PRESUPUESTO'!R46)*'PROGRAMA DE OBRA'!H50</f>
        <v>0</v>
      </c>
      <c r="I54" s="56">
        <f>'BASE PRESUPUESTO'!O46*'PROGRAMA DE OBRA'!X50+('BASE PRESUPUESTO'!P46+'BASE PRESUPUESTO'!Q46+'BASE PRESUPUESTO'!R46)*'PROGRAMA DE OBRA'!I50</f>
        <v>134062.53005333408</v>
      </c>
      <c r="J54" s="56">
        <f>'BASE PRESUPUESTO'!O46*'PROGRAMA DE OBRA'!Y50+('BASE PRESUPUESTO'!P46+'BASE PRESUPUESTO'!Q46+'BASE PRESUPUESTO'!R46)*'PROGRAMA DE OBRA'!J50</f>
        <v>289806.46994666604</v>
      </c>
      <c r="K54" s="56">
        <f>'BASE PRESUPUESTO'!O46*'PROGRAMA DE OBRA'!Z50+('BASE PRESUPUESTO'!P46+'BASE PRESUPUESTO'!Q46+'BASE PRESUPUESTO'!R46)*'PROGRAMA DE OBRA'!K50</f>
        <v>0</v>
      </c>
      <c r="L54" s="57">
        <f t="shared" si="6"/>
        <v>423869.00000000012</v>
      </c>
      <c r="M54" s="58">
        <f t="shared" si="7"/>
        <v>1.0000000000000002</v>
      </c>
      <c r="N54" s="59">
        <f>'BASE PRESUPUESTO'!O46*SUM('PROGRAMA DE OBRA'!U50:Z50)</f>
        <v>134062.53005333408</v>
      </c>
      <c r="O54" s="59">
        <f>'BASE PRESUPUESTO'!P46*SUM('PROGRAMA DE OBRA'!F50:K50)</f>
        <v>282240.67454940564</v>
      </c>
      <c r="P54" s="59">
        <f>'BASE PRESUPUESTO'!Q46*SUM('PROGRAMA DE OBRA'!F50:K50)</f>
        <v>7565.7953972604246</v>
      </c>
      <c r="Q54" s="59">
        <f>'BASE PRESUPUESTO'!R46*SUM('PROGRAMA DE OBRA'!F50:K50)</f>
        <v>0</v>
      </c>
      <c r="R54" t="s">
        <v>99</v>
      </c>
      <c r="S54" t="s">
        <v>24</v>
      </c>
    </row>
    <row r="55" spans="1:19" x14ac:dyDescent="0.3">
      <c r="A55" s="52" t="str">
        <f>'BASE PRESUPUESTO'!C47</f>
        <v>2.8</v>
      </c>
      <c r="B55" s="53" t="str">
        <f>'BASE PRESUPUESTO'!D47</f>
        <v>MURO LADRILLO SOGA LIMPIO 2C</v>
      </c>
      <c r="C55" s="52" t="str">
        <f>'BASE PRESUPUESTO'!E47</f>
        <v>M2</v>
      </c>
      <c r="D55" s="54">
        <f>'BASE PRESUPUESTO'!F47</f>
        <v>12.6</v>
      </c>
      <c r="E55" s="55">
        <f>'BASE PRESUPUESTO'!H47</f>
        <v>1475485</v>
      </c>
      <c r="F55" s="56">
        <f>'BASE PRESUPUESTO'!O47*'PROGRAMA DE OBRA'!U51+('BASE PRESUPUESTO'!P47+'BASE PRESUPUESTO'!Q47+'BASE PRESUPUESTO'!R47)*'PROGRAMA DE OBRA'!F51</f>
        <v>0</v>
      </c>
      <c r="G55" s="56">
        <f>'BASE PRESUPUESTO'!O47*'PROGRAMA DE OBRA'!V51+('BASE PRESUPUESTO'!P47+'BASE PRESUPUESTO'!Q47+'BASE PRESUPUESTO'!R47)*'PROGRAMA DE OBRA'!G51</f>
        <v>0</v>
      </c>
      <c r="H55" s="56">
        <f>'BASE PRESUPUESTO'!O47*'PROGRAMA DE OBRA'!W51+('BASE PRESUPUESTO'!P47+'BASE PRESUPUESTO'!Q47+'BASE PRESUPUESTO'!R47)*'PROGRAMA DE OBRA'!H51</f>
        <v>0</v>
      </c>
      <c r="I55" s="56">
        <f>'BASE PRESUPUESTO'!O47*'PROGRAMA DE OBRA'!X51+('BASE PRESUPUESTO'!P47+'BASE PRESUPUESTO'!Q47+'BASE PRESUPUESTO'!R47)*'PROGRAMA DE OBRA'!I51</f>
        <v>816437.82638509467</v>
      </c>
      <c r="J55" s="56">
        <f>'BASE PRESUPUESTO'!O47*'PROGRAMA DE OBRA'!Y51+('BASE PRESUPUESTO'!P47+'BASE PRESUPUESTO'!Q47+'BASE PRESUPUESTO'!R47)*'PROGRAMA DE OBRA'!J51</f>
        <v>659047.17361490522</v>
      </c>
      <c r="K55" s="56">
        <f>'BASE PRESUPUESTO'!O47*'PROGRAMA DE OBRA'!Z51+('BASE PRESUPUESTO'!P47+'BASE PRESUPUESTO'!Q47+'BASE PRESUPUESTO'!R47)*'PROGRAMA DE OBRA'!K51</f>
        <v>0</v>
      </c>
      <c r="L55" s="57">
        <f t="shared" si="6"/>
        <v>1475485</v>
      </c>
      <c r="M55" s="58">
        <f t="shared" si="7"/>
        <v>1</v>
      </c>
      <c r="N55" s="59">
        <f>'BASE PRESUPUESTO'!O47*SUM('PROGRAMA DE OBRA'!U51:Z51)</f>
        <v>816437.82638509467</v>
      </c>
      <c r="O55" s="59">
        <f>'BASE PRESUPUESTO'!P47*SUM('PROGRAMA DE OBRA'!F51:K51)</f>
        <v>446723.49009557447</v>
      </c>
      <c r="P55" s="59">
        <f>'BASE PRESUPUESTO'!Q47*SUM('PROGRAMA DE OBRA'!F51:K51)</f>
        <v>212323.68351933075</v>
      </c>
      <c r="Q55" s="59">
        <f>'BASE PRESUPUESTO'!R47*SUM('PROGRAMA DE OBRA'!F51:K51)</f>
        <v>0</v>
      </c>
      <c r="R55" t="s">
        <v>99</v>
      </c>
      <c r="S55" t="s">
        <v>24</v>
      </c>
    </row>
    <row r="56" spans="1:19" x14ac:dyDescent="0.3">
      <c r="A56" s="52" t="str">
        <f>'BASE PRESUPUESTO'!C48</f>
        <v>2.9</v>
      </c>
      <c r="B56" s="53" t="str">
        <f>'BASE PRESUPUESTO'!D48</f>
        <v>CINTA CONFINAMIENTO MURO</v>
      </c>
      <c r="C56" s="52" t="str">
        <f>'BASE PRESUPUESTO'!E48</f>
        <v>ML</v>
      </c>
      <c r="D56" s="54">
        <f>'BASE PRESUPUESTO'!F48</f>
        <v>25.2</v>
      </c>
      <c r="E56" s="55">
        <f>'BASE PRESUPUESTO'!H48</f>
        <v>1358104</v>
      </c>
      <c r="F56" s="56">
        <f>'BASE PRESUPUESTO'!O48*'PROGRAMA DE OBRA'!U52+('BASE PRESUPUESTO'!P48+'BASE PRESUPUESTO'!Q48+'BASE PRESUPUESTO'!R48)*'PROGRAMA DE OBRA'!F52</f>
        <v>0</v>
      </c>
      <c r="G56" s="56">
        <f>'BASE PRESUPUESTO'!O48*'PROGRAMA DE OBRA'!V52+('BASE PRESUPUESTO'!P48+'BASE PRESUPUESTO'!Q48+'BASE PRESUPUESTO'!R48)*'PROGRAMA DE OBRA'!G52</f>
        <v>0</v>
      </c>
      <c r="H56" s="56">
        <f>'BASE PRESUPUESTO'!O48*'PROGRAMA DE OBRA'!W52+('BASE PRESUPUESTO'!P48+'BASE PRESUPUESTO'!Q48+'BASE PRESUPUESTO'!R48)*'PROGRAMA DE OBRA'!H52</f>
        <v>0</v>
      </c>
      <c r="I56" s="56">
        <f>'BASE PRESUPUESTO'!O48*'PROGRAMA DE OBRA'!X52+('BASE PRESUPUESTO'!P48+'BASE PRESUPUESTO'!Q48+'BASE PRESUPUESTO'!R48)*'PROGRAMA DE OBRA'!I52</f>
        <v>0</v>
      </c>
      <c r="J56" s="56">
        <f>'BASE PRESUPUESTO'!O48*'PROGRAMA DE OBRA'!Y52+('BASE PRESUPUESTO'!P48+'BASE PRESUPUESTO'!Q48+'BASE PRESUPUESTO'!R48)*'PROGRAMA DE OBRA'!J52</f>
        <v>272810.06326671847</v>
      </c>
      <c r="K56" s="56">
        <f>'BASE PRESUPUESTO'!O48*'PROGRAMA DE OBRA'!Z52+('BASE PRESUPUESTO'!P48+'BASE PRESUPUESTO'!Q48+'BASE PRESUPUESTO'!R48)*'PROGRAMA DE OBRA'!K52</f>
        <v>1085293.9367332819</v>
      </c>
      <c r="L56" s="57">
        <f t="shared" si="6"/>
        <v>1358104.0000000005</v>
      </c>
      <c r="M56" s="58">
        <f t="shared" si="7"/>
        <v>1.0000000000000004</v>
      </c>
      <c r="N56" s="59">
        <f>'BASE PRESUPUESTO'!O48*SUM('PROGRAMA DE OBRA'!U52:Z52)</f>
        <v>272810.06326671847</v>
      </c>
      <c r="O56" s="59">
        <f>'BASE PRESUPUESTO'!P48*SUM('PROGRAMA DE OBRA'!F52:K52)</f>
        <v>1064590.080864222</v>
      </c>
      <c r="P56" s="59">
        <f>'BASE PRESUPUESTO'!Q48*SUM('PROGRAMA DE OBRA'!F52:K52)</f>
        <v>20703.855869059862</v>
      </c>
      <c r="Q56" s="59">
        <f>'BASE PRESUPUESTO'!R48*SUM('PROGRAMA DE OBRA'!F52:K52)</f>
        <v>0</v>
      </c>
      <c r="R56" t="s">
        <v>99</v>
      </c>
      <c r="S56" t="s">
        <v>24</v>
      </c>
    </row>
    <row r="57" spans="1:19" x14ac:dyDescent="0.3">
      <c r="A57" s="52" t="str">
        <f>'BASE PRESUPUESTO'!C49</f>
        <v>2.10</v>
      </c>
      <c r="B57" s="53" t="str">
        <f>'BASE PRESUPUESTO'!D49</f>
        <v>ACERO REFUERZO FLEJADO 60000 PSI 420 Mpa</v>
      </c>
      <c r="C57" s="52" t="str">
        <f>'BASE PRESUPUESTO'!E49</f>
        <v>KLS</v>
      </c>
      <c r="D57" s="54">
        <f>'BASE PRESUPUESTO'!F49</f>
        <v>220</v>
      </c>
      <c r="E57" s="55">
        <f>'BASE PRESUPUESTO'!H49</f>
        <v>1341560</v>
      </c>
      <c r="F57" s="56">
        <f>'BASE PRESUPUESTO'!O49*'PROGRAMA DE OBRA'!U53+('BASE PRESUPUESTO'!P49+'BASE PRESUPUESTO'!Q49+'BASE PRESUPUESTO'!R49)*'PROGRAMA DE OBRA'!F53</f>
        <v>0</v>
      </c>
      <c r="G57" s="56">
        <f>'BASE PRESUPUESTO'!O49*'PROGRAMA DE OBRA'!V53+('BASE PRESUPUESTO'!P49+'BASE PRESUPUESTO'!Q49+'BASE PRESUPUESTO'!R49)*'PROGRAMA DE OBRA'!G53</f>
        <v>0</v>
      </c>
      <c r="H57" s="56">
        <f>'BASE PRESUPUESTO'!O49*'PROGRAMA DE OBRA'!W53+('BASE PRESUPUESTO'!P49+'BASE PRESUPUESTO'!Q49+'BASE PRESUPUESTO'!R49)*'PROGRAMA DE OBRA'!H53</f>
        <v>1083588.847888479</v>
      </c>
      <c r="I57" s="56">
        <f>'BASE PRESUPUESTO'!O49*'PROGRAMA DE OBRA'!X53+('BASE PRESUPUESTO'!P49+'BASE PRESUPUESTO'!Q49+'BASE PRESUPUESTO'!R49)*'PROGRAMA DE OBRA'!I53</f>
        <v>257971.15211152087</v>
      </c>
      <c r="J57" s="56">
        <f>'BASE PRESUPUESTO'!O49*'PROGRAMA DE OBRA'!Y53+('BASE PRESUPUESTO'!P49+'BASE PRESUPUESTO'!Q49+'BASE PRESUPUESTO'!R49)*'PROGRAMA DE OBRA'!J53</f>
        <v>0</v>
      </c>
      <c r="K57" s="56">
        <f>'BASE PRESUPUESTO'!O49*'PROGRAMA DE OBRA'!Z53+('BASE PRESUPUESTO'!P49+'BASE PRESUPUESTO'!Q49+'BASE PRESUPUESTO'!R49)*'PROGRAMA DE OBRA'!K53</f>
        <v>0</v>
      </c>
      <c r="L57" s="57">
        <f t="shared" si="6"/>
        <v>1341560</v>
      </c>
      <c r="M57" s="58">
        <f t="shared" si="7"/>
        <v>1</v>
      </c>
      <c r="N57" s="59">
        <f>'BASE PRESUPUESTO'!O49*SUM('PROGRAMA DE OBRA'!U53:Z53)</f>
        <v>1083588.847888479</v>
      </c>
      <c r="O57" s="59">
        <f>'BASE PRESUPUESTO'!P49*SUM('PROGRAMA DE OBRA'!F53:K53)</f>
        <v>257971.15211152087</v>
      </c>
      <c r="P57" s="59">
        <f>'BASE PRESUPUESTO'!Q49*SUM('PROGRAMA DE OBRA'!F53:K53)</f>
        <v>0</v>
      </c>
      <c r="Q57" s="59">
        <f>'BASE PRESUPUESTO'!R49*SUM('PROGRAMA DE OBRA'!F53:K53)</f>
        <v>0</v>
      </c>
      <c r="R57" t="s">
        <v>99</v>
      </c>
      <c r="S57" t="s">
        <v>24</v>
      </c>
    </row>
    <row r="58" spans="1:19" x14ac:dyDescent="0.3">
      <c r="A58" s="52" t="str">
        <f>'BASE PRESUPUESTO'!C50</f>
        <v>2.11</v>
      </c>
      <c r="B58" s="53" t="str">
        <f>'BASE PRESUPUESTO'!D50</f>
        <v>POSTE TUBO GALV. 1 1/2"X3.0MM C.11</v>
      </c>
      <c r="C58" s="52" t="str">
        <f>'BASE PRESUPUESTO'!E50</f>
        <v>ML</v>
      </c>
      <c r="D58" s="54">
        <f>'BASE PRESUPUESTO'!F50</f>
        <v>33</v>
      </c>
      <c r="E58" s="55">
        <f>'BASE PRESUPUESTO'!H50</f>
        <v>1789656</v>
      </c>
      <c r="F58" s="56">
        <f>'BASE PRESUPUESTO'!O50*'PROGRAMA DE OBRA'!U54+('BASE PRESUPUESTO'!P50+'BASE PRESUPUESTO'!Q50+'BASE PRESUPUESTO'!R50)*'PROGRAMA DE OBRA'!F54</f>
        <v>0</v>
      </c>
      <c r="G58" s="56">
        <f>'BASE PRESUPUESTO'!O50*'PROGRAMA DE OBRA'!V54+('BASE PRESUPUESTO'!P50+'BASE PRESUPUESTO'!Q50+'BASE PRESUPUESTO'!R50)*'PROGRAMA DE OBRA'!G54</f>
        <v>0</v>
      </c>
      <c r="H58" s="56">
        <f>'BASE PRESUPUESTO'!O50*'PROGRAMA DE OBRA'!W54+('BASE PRESUPUESTO'!P50+'BASE PRESUPUESTO'!Q50+'BASE PRESUPUESTO'!R50)*'PROGRAMA DE OBRA'!H54</f>
        <v>0</v>
      </c>
      <c r="I58" s="56">
        <f>'BASE PRESUPUESTO'!O50*'PROGRAMA DE OBRA'!X54+('BASE PRESUPUESTO'!P50+'BASE PRESUPUESTO'!Q50+'BASE PRESUPUESTO'!R50)*'PROGRAMA DE OBRA'!I54</f>
        <v>0</v>
      </c>
      <c r="J58" s="56">
        <f>'BASE PRESUPUESTO'!O50*'PROGRAMA DE OBRA'!Y54+('BASE PRESUPUESTO'!P50+'BASE PRESUPUESTO'!Q50+'BASE PRESUPUESTO'!R50)*'PROGRAMA DE OBRA'!J54</f>
        <v>0</v>
      </c>
      <c r="K58" s="56">
        <f>'BASE PRESUPUESTO'!O50*'PROGRAMA DE OBRA'!Z54+('BASE PRESUPUESTO'!P50+'BASE PRESUPUESTO'!Q50+'BASE PRESUPUESTO'!R50)*'PROGRAMA DE OBRA'!K54</f>
        <v>770052.94248971273</v>
      </c>
      <c r="L58" s="57">
        <f t="shared" si="6"/>
        <v>770052.94248971273</v>
      </c>
      <c r="M58" s="58">
        <f t="shared" si="7"/>
        <v>0.43027986523092299</v>
      </c>
      <c r="N58" s="59">
        <f>'BASE PRESUPUESTO'!O50*SUM('PROGRAMA DE OBRA'!U54:Z54)</f>
        <v>770052.94248971273</v>
      </c>
      <c r="O58" s="59">
        <f>'BASE PRESUPUESTO'!P50*SUM('PROGRAMA DE OBRA'!F54:K54)</f>
        <v>0</v>
      </c>
      <c r="P58" s="59">
        <f>'BASE PRESUPUESTO'!Q50*SUM('PROGRAMA DE OBRA'!F54:K54)</f>
        <v>0</v>
      </c>
      <c r="Q58" s="59">
        <f>'BASE PRESUPUESTO'!R50*SUM('PROGRAMA DE OBRA'!F54:K54)</f>
        <v>0</v>
      </c>
      <c r="R58" t="s">
        <v>99</v>
      </c>
      <c r="S58" t="s">
        <v>24</v>
      </c>
    </row>
    <row r="59" spans="1:19" x14ac:dyDescent="0.3">
      <c r="A59" s="52" t="str">
        <f>'BASE PRESUPUESTO'!C51</f>
        <v>2.12</v>
      </c>
      <c r="B59" s="53" t="str">
        <f>'BASE PRESUPUESTO'!D51</f>
        <v>ESMALTE SOBRE TUBERIA METALICA-PVC</v>
      </c>
      <c r="C59" s="52" t="str">
        <f>'BASE PRESUPUESTO'!E51</f>
        <v>ML</v>
      </c>
      <c r="D59" s="54">
        <f>'BASE PRESUPUESTO'!F51</f>
        <v>33</v>
      </c>
      <c r="E59" s="55">
        <f>'BASE PRESUPUESTO'!H51</f>
        <v>679833</v>
      </c>
      <c r="F59" s="56">
        <f>'BASE PRESUPUESTO'!O51*'PROGRAMA DE OBRA'!U55+('BASE PRESUPUESTO'!P51+'BASE PRESUPUESTO'!Q51+'BASE PRESUPUESTO'!R51)*'PROGRAMA DE OBRA'!F55</f>
        <v>0</v>
      </c>
      <c r="G59" s="56">
        <f>'BASE PRESUPUESTO'!O51*'PROGRAMA DE OBRA'!V55+('BASE PRESUPUESTO'!P51+'BASE PRESUPUESTO'!Q51+'BASE PRESUPUESTO'!R51)*'PROGRAMA DE OBRA'!G55</f>
        <v>0</v>
      </c>
      <c r="H59" s="56">
        <f>'BASE PRESUPUESTO'!O51*'PROGRAMA DE OBRA'!W55+('BASE PRESUPUESTO'!P51+'BASE PRESUPUESTO'!Q51+'BASE PRESUPUESTO'!R51)*'PROGRAMA DE OBRA'!H55</f>
        <v>0</v>
      </c>
      <c r="I59" s="56">
        <f>'BASE PRESUPUESTO'!O51*'PROGRAMA DE OBRA'!X55+('BASE PRESUPUESTO'!P51+'BASE PRESUPUESTO'!Q51+'BASE PRESUPUESTO'!R51)*'PROGRAMA DE OBRA'!I55</f>
        <v>0</v>
      </c>
      <c r="J59" s="56">
        <f>'BASE PRESUPUESTO'!O51*'PROGRAMA DE OBRA'!Y55+('BASE PRESUPUESTO'!P51+'BASE PRESUPUESTO'!Q51+'BASE PRESUPUESTO'!R51)*'PROGRAMA DE OBRA'!J55</f>
        <v>0</v>
      </c>
      <c r="K59" s="56">
        <f>'BASE PRESUPUESTO'!O51*'PROGRAMA DE OBRA'!Z55+('BASE PRESUPUESTO'!P51+'BASE PRESUPUESTO'!Q51+'BASE PRESUPUESTO'!R51)*'PROGRAMA DE OBRA'!K55</f>
        <v>0</v>
      </c>
      <c r="L59" s="57">
        <f t="shared" si="6"/>
        <v>0</v>
      </c>
      <c r="M59" s="58">
        <f t="shared" si="7"/>
        <v>0</v>
      </c>
      <c r="N59" s="59">
        <f>'BASE PRESUPUESTO'!O51*SUM('PROGRAMA DE OBRA'!U55:Z55)</f>
        <v>0</v>
      </c>
      <c r="O59" s="59">
        <f>'BASE PRESUPUESTO'!P51*SUM('PROGRAMA DE OBRA'!F55:K55)</f>
        <v>0</v>
      </c>
      <c r="P59" s="59">
        <f>'BASE PRESUPUESTO'!Q51*SUM('PROGRAMA DE OBRA'!F55:K55)</f>
        <v>0</v>
      </c>
      <c r="Q59" s="59">
        <f>'BASE PRESUPUESTO'!R51*SUM('PROGRAMA DE OBRA'!F55:K55)</f>
        <v>0</v>
      </c>
      <c r="R59" t="s">
        <v>99</v>
      </c>
      <c r="S59" t="s">
        <v>24</v>
      </c>
    </row>
    <row r="60" spans="1:19" x14ac:dyDescent="0.3">
      <c r="A60" s="52" t="str">
        <f>'BASE PRESUPUESTO'!C52</f>
        <v>2.13</v>
      </c>
      <c r="B60" s="53" t="str">
        <f>'BASE PRESUPUESTO'!D52</f>
        <v>MALLA ESLABONADA GALV# 10 ROMBO 2"</v>
      </c>
      <c r="C60" s="52" t="str">
        <f>'BASE PRESUPUESTO'!E52</f>
        <v>M2</v>
      </c>
      <c r="D60" s="54">
        <f>'BASE PRESUPUESTO'!F52</f>
        <v>50.4</v>
      </c>
      <c r="E60" s="55">
        <f>'BASE PRESUPUESTO'!H52</f>
        <v>2427214</v>
      </c>
      <c r="F60" s="56">
        <f>'BASE PRESUPUESTO'!O52*'PROGRAMA DE OBRA'!U56+('BASE PRESUPUESTO'!P52+'BASE PRESUPUESTO'!Q52+'BASE PRESUPUESTO'!R52)*'PROGRAMA DE OBRA'!F56</f>
        <v>0</v>
      </c>
      <c r="G60" s="56">
        <f>'BASE PRESUPUESTO'!O52*'PROGRAMA DE OBRA'!V56+('BASE PRESUPUESTO'!P52+'BASE PRESUPUESTO'!Q52+'BASE PRESUPUESTO'!R52)*'PROGRAMA DE OBRA'!G56</f>
        <v>0</v>
      </c>
      <c r="H60" s="56">
        <f>'BASE PRESUPUESTO'!O52*'PROGRAMA DE OBRA'!W56+('BASE PRESUPUESTO'!P52+'BASE PRESUPUESTO'!Q52+'BASE PRESUPUESTO'!R52)*'PROGRAMA DE OBRA'!H56</f>
        <v>0</v>
      </c>
      <c r="I60" s="56">
        <f>'BASE PRESUPUESTO'!O52*'PROGRAMA DE OBRA'!X56+('BASE PRESUPUESTO'!P52+'BASE PRESUPUESTO'!Q52+'BASE PRESUPUESTO'!R52)*'PROGRAMA DE OBRA'!I56</f>
        <v>0</v>
      </c>
      <c r="J60" s="56">
        <f>'BASE PRESUPUESTO'!O52*'PROGRAMA DE OBRA'!Y56+('BASE PRESUPUESTO'!P52+'BASE PRESUPUESTO'!Q52+'BASE PRESUPUESTO'!R52)*'PROGRAMA DE OBRA'!J56</f>
        <v>0</v>
      </c>
      <c r="K60" s="56">
        <f>'BASE PRESUPUESTO'!O52*'PROGRAMA DE OBRA'!Z56+('BASE PRESUPUESTO'!P52+'BASE PRESUPUESTO'!Q52+'BASE PRESUPUESTO'!R52)*'PROGRAMA DE OBRA'!K56</f>
        <v>0</v>
      </c>
      <c r="L60" s="57">
        <f t="shared" si="6"/>
        <v>0</v>
      </c>
      <c r="M60" s="58">
        <f t="shared" si="7"/>
        <v>0</v>
      </c>
      <c r="N60" s="59">
        <f>'BASE PRESUPUESTO'!O52*SUM('PROGRAMA DE OBRA'!U56:Z56)</f>
        <v>0</v>
      </c>
      <c r="O60" s="59">
        <f>'BASE PRESUPUESTO'!P52*SUM('PROGRAMA DE OBRA'!F56:K56)</f>
        <v>0</v>
      </c>
      <c r="P60" s="59">
        <f>'BASE PRESUPUESTO'!Q52*SUM('PROGRAMA DE OBRA'!F56:K56)</f>
        <v>0</v>
      </c>
      <c r="Q60" s="59">
        <f>'BASE PRESUPUESTO'!R52*SUM('PROGRAMA DE OBRA'!F56:K56)</f>
        <v>0</v>
      </c>
      <c r="R60" t="s">
        <v>99</v>
      </c>
      <c r="S60" t="s">
        <v>24</v>
      </c>
    </row>
    <row r="61" spans="1:19" x14ac:dyDescent="0.3">
      <c r="A61" s="52" t="str">
        <f>'BASE PRESUPUESTO'!C53</f>
        <v>2.14</v>
      </c>
      <c r="B61" s="53" t="str">
        <f>'BASE PRESUPUESTO'!D53</f>
        <v>ESMALTE MALLA ESLABONADA 2,1/2"-2"</v>
      </c>
      <c r="C61" s="52" t="str">
        <f>'BASE PRESUPUESTO'!E53</f>
        <v>M2</v>
      </c>
      <c r="D61" s="54">
        <f>'BASE PRESUPUESTO'!F53</f>
        <v>50.4</v>
      </c>
      <c r="E61" s="55">
        <f>'BASE PRESUPUESTO'!H53</f>
        <v>367315</v>
      </c>
      <c r="F61" s="56">
        <f>'BASE PRESUPUESTO'!O53*'PROGRAMA DE OBRA'!U57+('BASE PRESUPUESTO'!P53+'BASE PRESUPUESTO'!Q53+'BASE PRESUPUESTO'!R53)*'PROGRAMA DE OBRA'!F57</f>
        <v>0</v>
      </c>
      <c r="G61" s="56">
        <f>'BASE PRESUPUESTO'!O53*'PROGRAMA DE OBRA'!V57+('BASE PRESUPUESTO'!P53+'BASE PRESUPUESTO'!Q53+'BASE PRESUPUESTO'!R53)*'PROGRAMA DE OBRA'!G57</f>
        <v>0</v>
      </c>
      <c r="H61" s="56">
        <f>'BASE PRESUPUESTO'!O53*'PROGRAMA DE OBRA'!W57+('BASE PRESUPUESTO'!P53+'BASE PRESUPUESTO'!Q53+'BASE PRESUPUESTO'!R53)*'PROGRAMA DE OBRA'!H57</f>
        <v>0</v>
      </c>
      <c r="I61" s="56">
        <f>'BASE PRESUPUESTO'!O53*'PROGRAMA DE OBRA'!X57+('BASE PRESUPUESTO'!P53+'BASE PRESUPUESTO'!Q53+'BASE PRESUPUESTO'!R53)*'PROGRAMA DE OBRA'!I57</f>
        <v>0</v>
      </c>
      <c r="J61" s="56">
        <f>'BASE PRESUPUESTO'!O53*'PROGRAMA DE OBRA'!Y57+('BASE PRESUPUESTO'!P53+'BASE PRESUPUESTO'!Q53+'BASE PRESUPUESTO'!R53)*'PROGRAMA DE OBRA'!J57</f>
        <v>0</v>
      </c>
      <c r="K61" s="56">
        <f>'BASE PRESUPUESTO'!O53*'PROGRAMA DE OBRA'!Z57+('BASE PRESUPUESTO'!P53+'BASE PRESUPUESTO'!Q53+'BASE PRESUPUESTO'!R53)*'PROGRAMA DE OBRA'!K57</f>
        <v>0</v>
      </c>
      <c r="L61" s="57">
        <f t="shared" si="6"/>
        <v>0</v>
      </c>
      <c r="M61" s="58">
        <f t="shared" si="7"/>
        <v>0</v>
      </c>
      <c r="N61" s="59">
        <f>'BASE PRESUPUESTO'!O53*SUM('PROGRAMA DE OBRA'!U57:Z57)</f>
        <v>0</v>
      </c>
      <c r="O61" s="59">
        <f>'BASE PRESUPUESTO'!P53*SUM('PROGRAMA DE OBRA'!F57:K57)</f>
        <v>0</v>
      </c>
      <c r="P61" s="59">
        <f>'BASE PRESUPUESTO'!Q53*SUM('PROGRAMA DE OBRA'!F57:K57)</f>
        <v>0</v>
      </c>
      <c r="Q61" s="59">
        <f>'BASE PRESUPUESTO'!R53*SUM('PROGRAMA DE OBRA'!F57:K57)</f>
        <v>0</v>
      </c>
      <c r="R61" t="s">
        <v>99</v>
      </c>
      <c r="S61" t="s">
        <v>24</v>
      </c>
    </row>
    <row r="62" spans="1:19" x14ac:dyDescent="0.3">
      <c r="A62" s="52" t="str">
        <f>'BASE PRESUPUESTO'!C54</f>
        <v>2.15</v>
      </c>
      <c r="B62" s="53" t="str">
        <f>'BASE PRESUPUESTO'!D54</f>
        <v>DIAGONAL-HORIZ.TUBO GALV ACUEDUCTO 1 1/2"</v>
      </c>
      <c r="C62" s="52" t="str">
        <f>'BASE PRESUPUESTO'!E54</f>
        <v>ML</v>
      </c>
      <c r="D62" s="54">
        <f>'BASE PRESUPUESTO'!F54</f>
        <v>20</v>
      </c>
      <c r="E62" s="55">
        <f>'BASE PRESUPUESTO'!H54</f>
        <v>975040</v>
      </c>
      <c r="F62" s="56">
        <f>'BASE PRESUPUESTO'!O54*'PROGRAMA DE OBRA'!U58+('BASE PRESUPUESTO'!P54+'BASE PRESUPUESTO'!Q54+'BASE PRESUPUESTO'!R54)*'PROGRAMA DE OBRA'!F58</f>
        <v>0</v>
      </c>
      <c r="G62" s="56">
        <f>'BASE PRESUPUESTO'!O54*'PROGRAMA DE OBRA'!V58+('BASE PRESUPUESTO'!P54+'BASE PRESUPUESTO'!Q54+'BASE PRESUPUESTO'!R54)*'PROGRAMA DE OBRA'!G58</f>
        <v>0</v>
      </c>
      <c r="H62" s="56">
        <f>'BASE PRESUPUESTO'!O54*'PROGRAMA DE OBRA'!W58+('BASE PRESUPUESTO'!P54+'BASE PRESUPUESTO'!Q54+'BASE PRESUPUESTO'!R54)*'PROGRAMA DE OBRA'!H58</f>
        <v>0</v>
      </c>
      <c r="I62" s="56">
        <f>'BASE PRESUPUESTO'!O54*'PROGRAMA DE OBRA'!X58+('BASE PRESUPUESTO'!P54+'BASE PRESUPUESTO'!Q54+'BASE PRESUPUESTO'!R54)*'PROGRAMA DE OBRA'!I58</f>
        <v>0</v>
      </c>
      <c r="J62" s="56">
        <f>'BASE PRESUPUESTO'!O54*'PROGRAMA DE OBRA'!Y58+('BASE PRESUPUESTO'!P54+'BASE PRESUPUESTO'!Q54+'BASE PRESUPUESTO'!R54)*'PROGRAMA DE OBRA'!J58</f>
        <v>0</v>
      </c>
      <c r="K62" s="56">
        <f>'BASE PRESUPUESTO'!O54*'PROGRAMA DE OBRA'!Z58+('BASE PRESUPUESTO'!P54+'BASE PRESUPUESTO'!Q54+'BASE PRESUPUESTO'!R54)*'PROGRAMA DE OBRA'!K58</f>
        <v>401225.93609288638</v>
      </c>
      <c r="L62" s="57">
        <f t="shared" si="6"/>
        <v>401225.93609288638</v>
      </c>
      <c r="M62" s="58">
        <f t="shared" si="7"/>
        <v>0.41149689868403999</v>
      </c>
      <c r="N62" s="59">
        <f>'BASE PRESUPUESTO'!O54*SUM('PROGRAMA DE OBRA'!U58:Z58)</f>
        <v>401225.93609288638</v>
      </c>
      <c r="O62" s="59">
        <f>'BASE PRESUPUESTO'!P54*SUM('PROGRAMA DE OBRA'!F58:K58)</f>
        <v>0</v>
      </c>
      <c r="P62" s="59">
        <f>'BASE PRESUPUESTO'!Q54*SUM('PROGRAMA DE OBRA'!F58:K58)</f>
        <v>0</v>
      </c>
      <c r="Q62" s="59">
        <f>'BASE PRESUPUESTO'!R54*SUM('PROGRAMA DE OBRA'!F58:K58)</f>
        <v>0</v>
      </c>
      <c r="R62" t="s">
        <v>99</v>
      </c>
      <c r="S62" t="s">
        <v>24</v>
      </c>
    </row>
    <row r="63" spans="1:19" x14ac:dyDescent="0.3">
      <c r="A63" s="52" t="str">
        <f>'BASE PRESUPUESTO'!C55</f>
        <v>2.16</v>
      </c>
      <c r="B63" s="53" t="str">
        <f>'BASE PRESUPUESTO'!D55</f>
        <v>WASH - PRIMER</v>
      </c>
      <c r="C63" s="52" t="str">
        <f>'BASE PRESUPUESTO'!E55</f>
        <v>M2</v>
      </c>
      <c r="D63" s="54">
        <f>'BASE PRESUPUESTO'!F55</f>
        <v>50.4</v>
      </c>
      <c r="E63" s="55">
        <f>'BASE PRESUPUESTO'!H55</f>
        <v>807358</v>
      </c>
      <c r="F63" s="56">
        <f>'BASE PRESUPUESTO'!O55*'PROGRAMA DE OBRA'!U59+('BASE PRESUPUESTO'!P55+'BASE PRESUPUESTO'!Q55+'BASE PRESUPUESTO'!R55)*'PROGRAMA DE OBRA'!F59</f>
        <v>0</v>
      </c>
      <c r="G63" s="56">
        <f>'BASE PRESUPUESTO'!O55*'PROGRAMA DE OBRA'!V59+('BASE PRESUPUESTO'!P55+'BASE PRESUPUESTO'!Q55+'BASE PRESUPUESTO'!R55)*'PROGRAMA DE OBRA'!G59</f>
        <v>0</v>
      </c>
      <c r="H63" s="56">
        <f>'BASE PRESUPUESTO'!O55*'PROGRAMA DE OBRA'!W59+('BASE PRESUPUESTO'!P55+'BASE PRESUPUESTO'!Q55+'BASE PRESUPUESTO'!R55)*'PROGRAMA DE OBRA'!H59</f>
        <v>0</v>
      </c>
      <c r="I63" s="56">
        <f>'BASE PRESUPUESTO'!O55*'PROGRAMA DE OBRA'!X59+('BASE PRESUPUESTO'!P55+'BASE PRESUPUESTO'!Q55+'BASE PRESUPUESTO'!R55)*'PROGRAMA DE OBRA'!I59</f>
        <v>0</v>
      </c>
      <c r="J63" s="56">
        <f>'BASE PRESUPUESTO'!O55*'PROGRAMA DE OBRA'!Y59+('BASE PRESUPUESTO'!P55+'BASE PRESUPUESTO'!Q55+'BASE PRESUPUESTO'!R55)*'PROGRAMA DE OBRA'!J59</f>
        <v>0</v>
      </c>
      <c r="K63" s="56">
        <f>'BASE PRESUPUESTO'!O55*'PROGRAMA DE OBRA'!Z59+('BASE PRESUPUESTO'!P55+'BASE PRESUPUESTO'!Q55+'BASE PRESUPUESTO'!R55)*'PROGRAMA DE OBRA'!K59</f>
        <v>0</v>
      </c>
      <c r="L63" s="57">
        <f t="shared" si="6"/>
        <v>0</v>
      </c>
      <c r="M63" s="58">
        <f t="shared" si="7"/>
        <v>0</v>
      </c>
      <c r="N63" s="59">
        <f>'BASE PRESUPUESTO'!O55*SUM('PROGRAMA DE OBRA'!U59:Z59)</f>
        <v>0</v>
      </c>
      <c r="O63" s="59">
        <f>'BASE PRESUPUESTO'!P55*SUM('PROGRAMA DE OBRA'!F59:K59)</f>
        <v>0</v>
      </c>
      <c r="P63" s="59">
        <f>'BASE PRESUPUESTO'!Q55*SUM('PROGRAMA DE OBRA'!F59:K59)</f>
        <v>0</v>
      </c>
      <c r="Q63" s="59">
        <f>'BASE PRESUPUESTO'!R55*SUM('PROGRAMA DE OBRA'!F59:K59)</f>
        <v>0</v>
      </c>
      <c r="R63" t="s">
        <v>99</v>
      </c>
      <c r="S63" t="s">
        <v>24</v>
      </c>
    </row>
    <row r="64" spans="1:19" x14ac:dyDescent="0.3">
      <c r="A64" s="52" t="str">
        <f>'BASE PRESUPUESTO'!C56</f>
        <v>2.17</v>
      </c>
      <c r="B64" s="53" t="str">
        <f>'BASE PRESUPUESTO'!D56</f>
        <v>ALAMBRE DE PUAS # 12.5 - 3 HILOS</v>
      </c>
      <c r="C64" s="52" t="str">
        <f>'BASE PRESUPUESTO'!E56</f>
        <v>ML</v>
      </c>
      <c r="D64" s="54">
        <f>'BASE PRESUPUESTO'!F56</f>
        <v>26.2</v>
      </c>
      <c r="E64" s="55">
        <f>'BASE PRESUPUESTO'!H56</f>
        <v>111848</v>
      </c>
      <c r="F64" s="56">
        <f>'BASE PRESUPUESTO'!O56*'PROGRAMA DE OBRA'!U60+('BASE PRESUPUESTO'!P56+'BASE PRESUPUESTO'!Q56+'BASE PRESUPUESTO'!R56)*'PROGRAMA DE OBRA'!F60</f>
        <v>0</v>
      </c>
      <c r="G64" s="56">
        <f>'BASE PRESUPUESTO'!O56*'PROGRAMA DE OBRA'!V60+('BASE PRESUPUESTO'!P56+'BASE PRESUPUESTO'!Q56+'BASE PRESUPUESTO'!R56)*'PROGRAMA DE OBRA'!G60</f>
        <v>0</v>
      </c>
      <c r="H64" s="56">
        <f>'BASE PRESUPUESTO'!O56*'PROGRAMA DE OBRA'!W60+('BASE PRESUPUESTO'!P56+'BASE PRESUPUESTO'!Q56+'BASE PRESUPUESTO'!R56)*'PROGRAMA DE OBRA'!H60</f>
        <v>0</v>
      </c>
      <c r="I64" s="56">
        <f>'BASE PRESUPUESTO'!O56*'PROGRAMA DE OBRA'!X60+('BASE PRESUPUESTO'!P56+'BASE PRESUPUESTO'!Q56+'BASE PRESUPUESTO'!R56)*'PROGRAMA DE OBRA'!I60</f>
        <v>0</v>
      </c>
      <c r="J64" s="56">
        <f>'BASE PRESUPUESTO'!O56*'PROGRAMA DE OBRA'!Y60+('BASE PRESUPUESTO'!P56+'BASE PRESUPUESTO'!Q56+'BASE PRESUPUESTO'!R56)*'PROGRAMA DE OBRA'!J60</f>
        <v>0</v>
      </c>
      <c r="K64" s="56">
        <f>'BASE PRESUPUESTO'!O56*'PROGRAMA DE OBRA'!Z60+('BASE PRESUPUESTO'!P56+'BASE PRESUPUESTO'!Q56+'BASE PRESUPUESTO'!R56)*'PROGRAMA DE OBRA'!K60</f>
        <v>0</v>
      </c>
      <c r="L64" s="57">
        <f t="shared" si="6"/>
        <v>0</v>
      </c>
      <c r="M64" s="58">
        <f t="shared" si="7"/>
        <v>0</v>
      </c>
      <c r="N64" s="59">
        <f>'BASE PRESUPUESTO'!O56*SUM('PROGRAMA DE OBRA'!U60:Z60)</f>
        <v>0</v>
      </c>
      <c r="O64" s="59">
        <f>'BASE PRESUPUESTO'!P56*SUM('PROGRAMA DE OBRA'!F60:K60)</f>
        <v>0</v>
      </c>
      <c r="P64" s="59">
        <f>'BASE PRESUPUESTO'!Q56*SUM('PROGRAMA DE OBRA'!F60:K60)</f>
        <v>0</v>
      </c>
      <c r="Q64" s="59">
        <f>'BASE PRESUPUESTO'!R56*SUM('PROGRAMA DE OBRA'!F60:K60)</f>
        <v>0</v>
      </c>
      <c r="R64" t="s">
        <v>99</v>
      </c>
      <c r="S64" t="s">
        <v>24</v>
      </c>
    </row>
    <row r="65" spans="1:19" x14ac:dyDescent="0.3">
      <c r="A65" s="52" t="str">
        <f>'BASE PRESUPUESTO'!C57</f>
        <v>2.18</v>
      </c>
      <c r="B65" s="53" t="str">
        <f>'BASE PRESUPUESTO'!D57</f>
        <v>NAVE PUERTA TUBO ACUE MALLA(2x0.60-1.0)</v>
      </c>
      <c r="C65" s="52" t="str">
        <f>'BASE PRESUPUESTO'!E57</f>
        <v>UND</v>
      </c>
      <c r="D65" s="54">
        <f>'BASE PRESUPUESTO'!F57</f>
        <v>1</v>
      </c>
      <c r="E65" s="55">
        <f>'BASE PRESUPUESTO'!H57</f>
        <v>1107371</v>
      </c>
      <c r="F65" s="56">
        <f>'BASE PRESUPUESTO'!O57*'PROGRAMA DE OBRA'!U61+('BASE PRESUPUESTO'!P57+'BASE PRESUPUESTO'!Q57+'BASE PRESUPUESTO'!R57)*'PROGRAMA DE OBRA'!F61</f>
        <v>0</v>
      </c>
      <c r="G65" s="56">
        <f>'BASE PRESUPUESTO'!O57*'PROGRAMA DE OBRA'!V61+('BASE PRESUPUESTO'!P57+'BASE PRESUPUESTO'!Q57+'BASE PRESUPUESTO'!R57)*'PROGRAMA DE OBRA'!G61</f>
        <v>0</v>
      </c>
      <c r="H65" s="56">
        <f>'BASE PRESUPUESTO'!O57*'PROGRAMA DE OBRA'!W61+('BASE PRESUPUESTO'!P57+'BASE PRESUPUESTO'!Q57+'BASE PRESUPUESTO'!R57)*'PROGRAMA DE OBRA'!H61</f>
        <v>0</v>
      </c>
      <c r="I65" s="56">
        <f>'BASE PRESUPUESTO'!O57*'PROGRAMA DE OBRA'!X61+('BASE PRESUPUESTO'!P57+'BASE PRESUPUESTO'!Q57+'BASE PRESUPUESTO'!R57)*'PROGRAMA DE OBRA'!I61</f>
        <v>0</v>
      </c>
      <c r="J65" s="56">
        <f>'BASE PRESUPUESTO'!O57*'PROGRAMA DE OBRA'!Y61+('BASE PRESUPUESTO'!P57+'BASE PRESUPUESTO'!Q57+'BASE PRESUPUESTO'!R57)*'PROGRAMA DE OBRA'!J61</f>
        <v>0</v>
      </c>
      <c r="K65" s="56">
        <f>'BASE PRESUPUESTO'!O57*'PROGRAMA DE OBRA'!Z61+('BASE PRESUPUESTO'!P57+'BASE PRESUPUESTO'!Q57+'BASE PRESUPUESTO'!R57)*'PROGRAMA DE OBRA'!K61</f>
        <v>0</v>
      </c>
      <c r="L65" s="57">
        <f t="shared" si="6"/>
        <v>0</v>
      </c>
      <c r="M65" s="58">
        <f t="shared" si="7"/>
        <v>0</v>
      </c>
      <c r="N65" s="59">
        <f>'BASE PRESUPUESTO'!O57*SUM('PROGRAMA DE OBRA'!U61:Z61)</f>
        <v>0</v>
      </c>
      <c r="O65" s="59">
        <f>'BASE PRESUPUESTO'!P57*SUM('PROGRAMA DE OBRA'!F61:K61)</f>
        <v>0</v>
      </c>
      <c r="P65" s="59">
        <f>'BASE PRESUPUESTO'!Q57*SUM('PROGRAMA DE OBRA'!F61:K61)</f>
        <v>0</v>
      </c>
      <c r="Q65" s="59">
        <f>'BASE PRESUPUESTO'!R57*SUM('PROGRAMA DE OBRA'!F61:K61)</f>
        <v>0</v>
      </c>
      <c r="R65" t="s">
        <v>99</v>
      </c>
      <c r="S65" t="s">
        <v>24</v>
      </c>
    </row>
    <row r="66" spans="1:19" x14ac:dyDescent="0.3">
      <c r="A66" s="52" t="str">
        <f>'BASE PRESUPUESTO'!C58</f>
        <v>2.19</v>
      </c>
      <c r="B66" s="53" t="str">
        <f>'BASE PRESUPUESTO'!D58</f>
        <v>ACARREO MATERIALES-ESCOMBROS 10 PERS</v>
      </c>
      <c r="C66" s="52" t="str">
        <f>'BASE PRESUPUESTO'!E58</f>
        <v>HC</v>
      </c>
      <c r="D66" s="54">
        <f>'BASE PRESUPUESTO'!F58</f>
        <v>2</v>
      </c>
      <c r="E66" s="55">
        <f>'BASE PRESUPUESTO'!H58</f>
        <v>707566</v>
      </c>
      <c r="F66" s="56">
        <f>'BASE PRESUPUESTO'!O58*'PROGRAMA DE OBRA'!U62+('BASE PRESUPUESTO'!P58+'BASE PRESUPUESTO'!Q58+'BASE PRESUPUESTO'!R58)*'PROGRAMA DE OBRA'!F62</f>
        <v>0</v>
      </c>
      <c r="G66" s="56">
        <f>'BASE PRESUPUESTO'!O58*'PROGRAMA DE OBRA'!V62+('BASE PRESUPUESTO'!P58+'BASE PRESUPUESTO'!Q58+'BASE PRESUPUESTO'!R58)*'PROGRAMA DE OBRA'!G62</f>
        <v>0</v>
      </c>
      <c r="H66" s="56">
        <f>'BASE PRESUPUESTO'!O58*'PROGRAMA DE OBRA'!W62+('BASE PRESUPUESTO'!P58+'BASE PRESUPUESTO'!Q58+'BASE PRESUPUESTO'!R58)*'PROGRAMA DE OBRA'!H62</f>
        <v>0</v>
      </c>
      <c r="I66" s="56">
        <f>'BASE PRESUPUESTO'!O58*'PROGRAMA DE OBRA'!X62+('BASE PRESUPUESTO'!P58+'BASE PRESUPUESTO'!Q58+'BASE PRESUPUESTO'!R58)*'PROGRAMA DE OBRA'!I62</f>
        <v>0</v>
      </c>
      <c r="J66" s="56">
        <f>'BASE PRESUPUESTO'!O58*'PROGRAMA DE OBRA'!Y62+('BASE PRESUPUESTO'!P58+'BASE PRESUPUESTO'!Q58+'BASE PRESUPUESTO'!R58)*'PROGRAMA DE OBRA'!J62</f>
        <v>353783</v>
      </c>
      <c r="K66" s="56">
        <f>'BASE PRESUPUESTO'!O58*'PROGRAMA DE OBRA'!Z62+('BASE PRESUPUESTO'!P58+'BASE PRESUPUESTO'!Q58+'BASE PRESUPUESTO'!R58)*'PROGRAMA DE OBRA'!K62</f>
        <v>0</v>
      </c>
      <c r="L66" s="57">
        <f t="shared" si="6"/>
        <v>353783</v>
      </c>
      <c r="M66" s="58">
        <f t="shared" si="7"/>
        <v>0.5</v>
      </c>
      <c r="N66" s="59">
        <f>'BASE PRESUPUESTO'!O58*SUM('PROGRAMA DE OBRA'!U62:Z62)</f>
        <v>0</v>
      </c>
      <c r="O66" s="59">
        <f>'BASE PRESUPUESTO'!P58*SUM('PROGRAMA DE OBRA'!F62:K62)</f>
        <v>0</v>
      </c>
      <c r="P66" s="59">
        <f>'BASE PRESUPUESTO'!Q58*SUM('PROGRAMA DE OBRA'!F62:K62)</f>
        <v>0</v>
      </c>
      <c r="Q66" s="59">
        <f>'BASE PRESUPUESTO'!R58*SUM('PROGRAMA DE OBRA'!F62:K62)</f>
        <v>353783</v>
      </c>
      <c r="R66" t="s">
        <v>99</v>
      </c>
      <c r="S66" t="s">
        <v>24</v>
      </c>
    </row>
    <row r="67" spans="1:19" ht="26.4" x14ac:dyDescent="0.3">
      <c r="A67" s="52" t="str">
        <f>'BASE PRESUPUESTO'!C59</f>
        <v>2.20</v>
      </c>
      <c r="B67" s="53" t="str">
        <f>'BASE PRESUPUESTO'!D59</f>
        <v>ACARREO MATERIALES CAMPERO-CAMIONETA</v>
      </c>
      <c r="C67" s="52" t="str">
        <f>'BASE PRESUPUESTO'!E59</f>
        <v>M3-KM</v>
      </c>
      <c r="D67" s="54">
        <f>'BASE PRESUPUESTO'!F59</f>
        <v>263.34774179999999</v>
      </c>
      <c r="E67" s="55">
        <f>'BASE PRESUPUESTO'!H59</f>
        <v>3447749</v>
      </c>
      <c r="F67" s="56">
        <f>'BASE PRESUPUESTO'!O59*'PROGRAMA DE OBRA'!U63+('BASE PRESUPUESTO'!P59+'BASE PRESUPUESTO'!Q59+'BASE PRESUPUESTO'!R59)*'PROGRAMA DE OBRA'!F63</f>
        <v>0</v>
      </c>
      <c r="G67" s="56">
        <f>'BASE PRESUPUESTO'!O59*'PROGRAMA DE OBRA'!V63+('BASE PRESUPUESTO'!P59+'BASE PRESUPUESTO'!Q59+'BASE PRESUPUESTO'!R59)*'PROGRAMA DE OBRA'!G63</f>
        <v>0</v>
      </c>
      <c r="H67" s="56">
        <f>'BASE PRESUPUESTO'!O59*'PROGRAMA DE OBRA'!W63+('BASE PRESUPUESTO'!P59+'BASE PRESUPUESTO'!Q59+'BASE PRESUPUESTO'!R59)*'PROGRAMA DE OBRA'!H63</f>
        <v>574624.83333333442</v>
      </c>
      <c r="I67" s="56">
        <f>'BASE PRESUPUESTO'!O59*'PROGRAMA DE OBRA'!X63+('BASE PRESUPUESTO'!P59+'BASE PRESUPUESTO'!Q59+'BASE PRESUPUESTO'!R59)*'PROGRAMA DE OBRA'!I63</f>
        <v>574624.83333333442</v>
      </c>
      <c r="J67" s="56">
        <f>'BASE PRESUPUESTO'!O59*'PROGRAMA DE OBRA'!Y63+('BASE PRESUPUESTO'!P59+'BASE PRESUPUESTO'!Q59+'BASE PRESUPUESTO'!R59)*'PROGRAMA DE OBRA'!J63</f>
        <v>574624.83333333442</v>
      </c>
      <c r="K67" s="56">
        <f>'BASE PRESUPUESTO'!O59*'PROGRAMA DE OBRA'!Z63+('BASE PRESUPUESTO'!P59+'BASE PRESUPUESTO'!Q59+'BASE PRESUPUESTO'!R59)*'PROGRAMA DE OBRA'!K63</f>
        <v>574624.83333333442</v>
      </c>
      <c r="L67" s="57">
        <f t="shared" si="6"/>
        <v>2298499.3333333377</v>
      </c>
      <c r="M67" s="58">
        <f t="shared" si="7"/>
        <v>0.66666666666666796</v>
      </c>
      <c r="N67" s="59">
        <f>'BASE PRESUPUESTO'!O59*SUM('PROGRAMA DE OBRA'!U63:Z63)</f>
        <v>0</v>
      </c>
      <c r="O67" s="59">
        <f>'BASE PRESUPUESTO'!P59*SUM('PROGRAMA DE OBRA'!F63:K63)</f>
        <v>0</v>
      </c>
      <c r="P67" s="59">
        <f>'BASE PRESUPUESTO'!Q59*SUM('PROGRAMA DE OBRA'!F63:K63)</f>
        <v>0</v>
      </c>
      <c r="Q67" s="59">
        <f>'BASE PRESUPUESTO'!R59*SUM('PROGRAMA DE OBRA'!F63:K63)</f>
        <v>2298499.3333333377</v>
      </c>
      <c r="R67" t="s">
        <v>99</v>
      </c>
      <c r="S67" t="s">
        <v>24</v>
      </c>
    </row>
    <row r="68" spans="1:19" x14ac:dyDescent="0.3">
      <c r="A68" s="52" t="str">
        <f>'BASE PRESUPUESTO'!C60</f>
        <v>2.21</v>
      </c>
      <c r="B68" s="53" t="str">
        <f>'BASE PRESUPUESTO'!D60</f>
        <v>ACARREO MATERIALES TRACCION ANIMAL</v>
      </c>
      <c r="C68" s="52" t="str">
        <f>'BASE PRESUPUESTO'!E60</f>
        <v>C-KM</v>
      </c>
      <c r="D68" s="54">
        <f>'BASE PRESUPUESTO'!F60</f>
        <v>110.67455575</v>
      </c>
      <c r="E68" s="55">
        <f>'BASE PRESUPUESTO'!H60</f>
        <v>1035139</v>
      </c>
      <c r="F68" s="56">
        <f>'BASE PRESUPUESTO'!O60*'PROGRAMA DE OBRA'!U64+('BASE PRESUPUESTO'!P60+'BASE PRESUPUESTO'!Q60+'BASE PRESUPUESTO'!R60)*'PROGRAMA DE OBRA'!F64</f>
        <v>0</v>
      </c>
      <c r="G68" s="56">
        <f>'BASE PRESUPUESTO'!O60*'PROGRAMA DE OBRA'!V64+('BASE PRESUPUESTO'!P60+'BASE PRESUPUESTO'!Q60+'BASE PRESUPUESTO'!R60)*'PROGRAMA DE OBRA'!G64</f>
        <v>0</v>
      </c>
      <c r="H68" s="56">
        <f>'BASE PRESUPUESTO'!O60*'PROGRAMA DE OBRA'!W64+('BASE PRESUPUESTO'!P60+'BASE PRESUPUESTO'!Q60+'BASE PRESUPUESTO'!R60)*'PROGRAMA DE OBRA'!H64</f>
        <v>172523.16666666701</v>
      </c>
      <c r="I68" s="56">
        <f>'BASE PRESUPUESTO'!O60*'PROGRAMA DE OBRA'!X64+('BASE PRESUPUESTO'!P60+'BASE PRESUPUESTO'!Q60+'BASE PRESUPUESTO'!R60)*'PROGRAMA DE OBRA'!I64</f>
        <v>172523.16666666701</v>
      </c>
      <c r="J68" s="56">
        <f>'BASE PRESUPUESTO'!O60*'PROGRAMA DE OBRA'!Y64+('BASE PRESUPUESTO'!P60+'BASE PRESUPUESTO'!Q60+'BASE PRESUPUESTO'!R60)*'PROGRAMA DE OBRA'!J64</f>
        <v>172523.16666666701</v>
      </c>
      <c r="K68" s="56">
        <f>'BASE PRESUPUESTO'!O60*'PROGRAMA DE OBRA'!Z64+('BASE PRESUPUESTO'!P60+'BASE PRESUPUESTO'!Q60+'BASE PRESUPUESTO'!R60)*'PROGRAMA DE OBRA'!K64</f>
        <v>172523.16666666701</v>
      </c>
      <c r="L68" s="57">
        <f t="shared" si="6"/>
        <v>690092.66666666802</v>
      </c>
      <c r="M68" s="58">
        <f t="shared" si="7"/>
        <v>0.66666666666666796</v>
      </c>
      <c r="N68" s="59">
        <f>'BASE PRESUPUESTO'!O60*SUM('PROGRAMA DE OBRA'!U64:Z64)</f>
        <v>0</v>
      </c>
      <c r="O68" s="59">
        <f>'BASE PRESUPUESTO'!P60*SUM('PROGRAMA DE OBRA'!F64:K64)</f>
        <v>0</v>
      </c>
      <c r="P68" s="59">
        <f>'BASE PRESUPUESTO'!Q60*SUM('PROGRAMA DE OBRA'!F64:K64)</f>
        <v>0</v>
      </c>
      <c r="Q68" s="59">
        <f>'BASE PRESUPUESTO'!R60*SUM('PROGRAMA DE OBRA'!F64:K64)</f>
        <v>690092.66666666802</v>
      </c>
      <c r="R68" t="s">
        <v>99</v>
      </c>
      <c r="S68" t="s">
        <v>24</v>
      </c>
    </row>
    <row r="69" spans="1:19" ht="19.5" customHeight="1" x14ac:dyDescent="0.3">
      <c r="A69" s="171" t="s">
        <v>105</v>
      </c>
      <c r="B69" s="171"/>
      <c r="C69" s="171"/>
      <c r="D69" s="171"/>
      <c r="E69" s="64">
        <f t="shared" ref="E69:L69" si="8">SUM(E46:E68)</f>
        <v>34830919</v>
      </c>
      <c r="F69" s="64">
        <f t="shared" si="8"/>
        <v>0</v>
      </c>
      <c r="G69" s="64">
        <f t="shared" si="8"/>
        <v>11735.8507623224</v>
      </c>
      <c r="H69" s="64">
        <f t="shared" si="8"/>
        <v>4555263.9859006954</v>
      </c>
      <c r="I69" s="64">
        <f t="shared" si="8"/>
        <v>3296180.6845469493</v>
      </c>
      <c r="J69" s="64">
        <f t="shared" si="8"/>
        <v>13057625.567722291</v>
      </c>
      <c r="K69" s="64">
        <f t="shared" si="8"/>
        <v>4336997.8829396097</v>
      </c>
      <c r="L69" s="64">
        <f t="shared" si="8"/>
        <v>25257803.971871872</v>
      </c>
      <c r="M69" s="65">
        <f t="shared" si="7"/>
        <v>0.72515468144472073</v>
      </c>
      <c r="N69" s="64">
        <f>SUM(N46:N68)</f>
        <v>16108982.011378622</v>
      </c>
      <c r="O69" s="64">
        <f>SUM(O46:O68)</f>
        <v>5521703.9553506942</v>
      </c>
      <c r="P69" s="64">
        <f>SUM(P46:P68)</f>
        <v>284743.0051425455</v>
      </c>
      <c r="Q69" s="64">
        <f>SUM(Q46:Q68)</f>
        <v>3342375.0000000056</v>
      </c>
      <c r="R69" t="s">
        <v>101</v>
      </c>
    </row>
    <row r="71" spans="1:19" ht="19.5" customHeight="1" x14ac:dyDescent="0.3">
      <c r="A71" s="172" t="s">
        <v>106</v>
      </c>
      <c r="B71" s="172"/>
      <c r="C71" s="172"/>
      <c r="D71" s="172"/>
      <c r="E71" s="172"/>
      <c r="F71" s="172"/>
      <c r="G71" s="172"/>
      <c r="H71" s="172"/>
      <c r="I71" s="172"/>
      <c r="J71" s="172"/>
      <c r="K71" s="172"/>
      <c r="L71" s="172"/>
      <c r="M71" s="172"/>
      <c r="N71" s="172"/>
      <c r="O71" s="172"/>
      <c r="P71" s="172"/>
      <c r="Q71" s="172"/>
    </row>
    <row r="72" spans="1:19" x14ac:dyDescent="0.3">
      <c r="A72" s="52" t="str">
        <f>'BASE PRESUPUESTO'!C61</f>
        <v>1.1</v>
      </c>
      <c r="B72" s="53" t="str">
        <f>'BASE PRESUPUESTO'!D61</f>
        <v>LOCALIZACION-REPLANTEO ACUEDUCTO-ALCANTARILLADO</v>
      </c>
      <c r="C72" s="52" t="str">
        <f>'BASE PRESUPUESTO'!E61</f>
        <v>ML</v>
      </c>
      <c r="D72" s="54">
        <f>'BASE PRESUPUESTO'!F61</f>
        <v>500</v>
      </c>
      <c r="E72" s="55">
        <f>'BASE PRESUPUESTO'!H61</f>
        <v>1353500</v>
      </c>
      <c r="F72" s="56">
        <f>'BASE PRESUPUESTO'!O61*'PROGRAMA DE OBRA'!U66+('BASE PRESUPUESTO'!P61+'BASE PRESUPUESTO'!Q61+'BASE PRESUPUESTO'!R61)*'PROGRAMA DE OBRA'!F66</f>
        <v>1353499.9999999998</v>
      </c>
      <c r="G72" s="56">
        <f>'BASE PRESUPUESTO'!O61*'PROGRAMA DE OBRA'!V66+('BASE PRESUPUESTO'!P61+'BASE PRESUPUESTO'!Q61+'BASE PRESUPUESTO'!R61)*'PROGRAMA DE OBRA'!G66</f>
        <v>0</v>
      </c>
      <c r="H72" s="56">
        <f>'BASE PRESUPUESTO'!O61*'PROGRAMA DE OBRA'!W66+('BASE PRESUPUESTO'!P61+'BASE PRESUPUESTO'!Q61+'BASE PRESUPUESTO'!R61)*'PROGRAMA DE OBRA'!H66</f>
        <v>0</v>
      </c>
      <c r="I72" s="56">
        <f>'BASE PRESUPUESTO'!O61*'PROGRAMA DE OBRA'!X66+('BASE PRESUPUESTO'!P61+'BASE PRESUPUESTO'!Q61+'BASE PRESUPUESTO'!R61)*'PROGRAMA DE OBRA'!I66</f>
        <v>0</v>
      </c>
      <c r="J72" s="56">
        <f>'BASE PRESUPUESTO'!O61*'PROGRAMA DE OBRA'!Y66+('BASE PRESUPUESTO'!P61+'BASE PRESUPUESTO'!Q61+'BASE PRESUPUESTO'!R61)*'PROGRAMA DE OBRA'!J66</f>
        <v>0</v>
      </c>
      <c r="K72" s="56">
        <f>'BASE PRESUPUESTO'!O61*'PROGRAMA DE OBRA'!Z66+('BASE PRESUPUESTO'!P61+'BASE PRESUPUESTO'!Q61+'BASE PRESUPUESTO'!R61)*'PROGRAMA DE OBRA'!K66</f>
        <v>0</v>
      </c>
      <c r="L72" s="57">
        <f t="shared" ref="L72:L91" si="9">SUM(F72:K72)</f>
        <v>1353499.9999999998</v>
      </c>
      <c r="M72" s="58">
        <f t="shared" ref="M72:M92" si="10">IF(E72=0,0,L72/E72)</f>
        <v>0.99999999999999978</v>
      </c>
      <c r="N72" s="59">
        <f>'BASE PRESUPUESTO'!O61*SUM('PROGRAMA DE OBRA'!U66:Z66)</f>
        <v>223013.1814218795</v>
      </c>
      <c r="O72" s="59">
        <f>'BASE PRESUPUESTO'!P61*SUM('PROGRAMA DE OBRA'!F66:K66)</f>
        <v>950476.17886539316</v>
      </c>
      <c r="P72" s="59">
        <f>'BASE PRESUPUESTO'!Q61*SUM('PROGRAMA DE OBRA'!F66:K66)</f>
        <v>180010.63971272725</v>
      </c>
      <c r="Q72" s="59">
        <f>'BASE PRESUPUESTO'!R61*SUM('PROGRAMA DE OBRA'!F66:K66)</f>
        <v>0</v>
      </c>
      <c r="R72" t="s">
        <v>99</v>
      </c>
      <c r="S72" t="s">
        <v>25</v>
      </c>
    </row>
    <row r="73" spans="1:19" x14ac:dyDescent="0.3">
      <c r="A73" s="52" t="str">
        <f>'BASE PRESUPUESTO'!C62</f>
        <v>1.2</v>
      </c>
      <c r="B73" s="53" t="str">
        <f>'BASE PRESUPUESTO'!D62</f>
        <v>BODEGAJE</v>
      </c>
      <c r="C73" s="52" t="str">
        <f>'BASE PRESUPUESTO'!E62</f>
        <v>MES</v>
      </c>
      <c r="D73" s="54">
        <f>'BASE PRESUPUESTO'!F62</f>
        <v>3</v>
      </c>
      <c r="E73" s="55">
        <f>'BASE PRESUPUESTO'!H62</f>
        <v>563004</v>
      </c>
      <c r="F73" s="56">
        <f>'BASE PRESUPUESTO'!O62*'PROGRAMA DE OBRA'!U67+('BASE PRESUPUESTO'!P62+'BASE PRESUPUESTO'!Q62+'BASE PRESUPUESTO'!R62)*'PROGRAMA DE OBRA'!F67</f>
        <v>46916.999999999978</v>
      </c>
      <c r="G73" s="56">
        <f>'BASE PRESUPUESTO'!O62*'PROGRAMA DE OBRA'!V67+('BASE PRESUPUESTO'!P62+'BASE PRESUPUESTO'!Q62+'BASE PRESUPUESTO'!R62)*'PROGRAMA DE OBRA'!G67</f>
        <v>46916.999999999978</v>
      </c>
      <c r="H73" s="56">
        <f>'BASE PRESUPUESTO'!O62*'PROGRAMA DE OBRA'!W67+('BASE PRESUPUESTO'!P62+'BASE PRESUPUESTO'!Q62+'BASE PRESUPUESTO'!R62)*'PROGRAMA DE OBRA'!H67</f>
        <v>46916.999999999978</v>
      </c>
      <c r="I73" s="56">
        <f>'BASE PRESUPUESTO'!O62*'PROGRAMA DE OBRA'!X67+('BASE PRESUPUESTO'!P62+'BASE PRESUPUESTO'!Q62+'BASE PRESUPUESTO'!R62)*'PROGRAMA DE OBRA'!I67</f>
        <v>46916.999999999978</v>
      </c>
      <c r="J73" s="56">
        <f>'BASE PRESUPUESTO'!O62*'PROGRAMA DE OBRA'!Y67+('BASE PRESUPUESTO'!P62+'BASE PRESUPUESTO'!Q62+'BASE PRESUPUESTO'!R62)*'PROGRAMA DE OBRA'!J67</f>
        <v>46916.999999999978</v>
      </c>
      <c r="K73" s="56">
        <f>'BASE PRESUPUESTO'!O62*'PROGRAMA DE OBRA'!Z67+('BASE PRESUPUESTO'!P62+'BASE PRESUPUESTO'!Q62+'BASE PRESUPUESTO'!R62)*'PROGRAMA DE OBRA'!K67</f>
        <v>46916.999999999978</v>
      </c>
      <c r="L73" s="57">
        <f t="shared" si="9"/>
        <v>281501.99999999988</v>
      </c>
      <c r="M73" s="58">
        <f t="shared" si="10"/>
        <v>0.49999999999999978</v>
      </c>
      <c r="N73" s="59">
        <f>'BASE PRESUPUESTO'!O62*SUM('PROGRAMA DE OBRA'!U67:Z67)</f>
        <v>0</v>
      </c>
      <c r="O73" s="59">
        <f>'BASE PRESUPUESTO'!P62*SUM('PROGRAMA DE OBRA'!F67:K67)</f>
        <v>0</v>
      </c>
      <c r="P73" s="59">
        <f>'BASE PRESUPUESTO'!Q62*SUM('PROGRAMA DE OBRA'!F67:K67)</f>
        <v>0</v>
      </c>
      <c r="Q73" s="59">
        <f>'BASE PRESUPUESTO'!R62*SUM('PROGRAMA DE OBRA'!F67:K67)</f>
        <v>281501.99999999988</v>
      </c>
      <c r="R73" t="s">
        <v>99</v>
      </c>
      <c r="S73" t="s">
        <v>25</v>
      </c>
    </row>
    <row r="74" spans="1:19" x14ac:dyDescent="0.3">
      <c r="A74" s="52" t="str">
        <f>'BASE PRESUPUESTO'!C63</f>
        <v>1.3</v>
      </c>
      <c r="B74" s="53" t="str">
        <f>'BASE PRESUPUESTO'!D63</f>
        <v>EXCAVACION EN CONGLOMERADO (MANUAL)</v>
      </c>
      <c r="C74" s="52" t="str">
        <f>'BASE PRESUPUESTO'!E63</f>
        <v>M3</v>
      </c>
      <c r="D74" s="54">
        <f>'BASE PRESUPUESTO'!F63</f>
        <v>60</v>
      </c>
      <c r="E74" s="55">
        <f>'BASE PRESUPUESTO'!H63</f>
        <v>2806500</v>
      </c>
      <c r="F74" s="56">
        <f>'BASE PRESUPUESTO'!O63*'PROGRAMA DE OBRA'!U68+('BASE PRESUPUESTO'!P63+'BASE PRESUPUESTO'!Q63+'BASE PRESUPUESTO'!R63)*'PROGRAMA DE OBRA'!F68</f>
        <v>935499.99999999884</v>
      </c>
      <c r="G74" s="56">
        <f>'BASE PRESUPUESTO'!O63*'PROGRAMA DE OBRA'!V68+('BASE PRESUPUESTO'!P63+'BASE PRESUPUESTO'!Q63+'BASE PRESUPUESTO'!R63)*'PROGRAMA DE OBRA'!G68</f>
        <v>935499.99999999884</v>
      </c>
      <c r="H74" s="56">
        <f>'BASE PRESUPUESTO'!O63*'PROGRAMA DE OBRA'!W68+('BASE PRESUPUESTO'!P63+'BASE PRESUPUESTO'!Q63+'BASE PRESUPUESTO'!R63)*'PROGRAMA DE OBRA'!H68</f>
        <v>935499.99999999884</v>
      </c>
      <c r="I74" s="56">
        <f>'BASE PRESUPUESTO'!O63*'PROGRAMA DE OBRA'!X68+('BASE PRESUPUESTO'!P63+'BASE PRESUPUESTO'!Q63+'BASE PRESUPUESTO'!R63)*'PROGRAMA DE OBRA'!I68</f>
        <v>0</v>
      </c>
      <c r="J74" s="56">
        <f>'BASE PRESUPUESTO'!O63*'PROGRAMA DE OBRA'!Y68+('BASE PRESUPUESTO'!P63+'BASE PRESUPUESTO'!Q63+'BASE PRESUPUESTO'!R63)*'PROGRAMA DE OBRA'!J68</f>
        <v>0</v>
      </c>
      <c r="K74" s="56">
        <f>'BASE PRESUPUESTO'!O63*'PROGRAMA DE OBRA'!Z68+('BASE PRESUPUESTO'!P63+'BASE PRESUPUESTO'!Q63+'BASE PRESUPUESTO'!R63)*'PROGRAMA DE OBRA'!K68</f>
        <v>0</v>
      </c>
      <c r="L74" s="57">
        <f t="shared" si="9"/>
        <v>2806499.9999999963</v>
      </c>
      <c r="M74" s="58">
        <f t="shared" si="10"/>
        <v>0.99999999999999867</v>
      </c>
      <c r="N74" s="59">
        <f>'BASE PRESUPUESTO'!O63*SUM('PROGRAMA DE OBRA'!U68:Z68)</f>
        <v>0</v>
      </c>
      <c r="O74" s="59">
        <f>'BASE PRESUPUESTO'!P63*SUM('PROGRAMA DE OBRA'!F68:K68)</f>
        <v>2711637.3558246642</v>
      </c>
      <c r="P74" s="59">
        <f>'BASE PRESUPUESTO'!Q63*SUM('PROGRAMA DE OBRA'!F68:K68)</f>
        <v>94862.644175332462</v>
      </c>
      <c r="Q74" s="59">
        <f>'BASE PRESUPUESTO'!R63*SUM('PROGRAMA DE OBRA'!F68:K68)</f>
        <v>0</v>
      </c>
      <c r="R74" t="s">
        <v>99</v>
      </c>
      <c r="S74" t="s">
        <v>25</v>
      </c>
    </row>
    <row r="75" spans="1:19" x14ac:dyDescent="0.3">
      <c r="A75" s="52" t="str">
        <f>'BASE PRESUPUESTO'!C64</f>
        <v>2.1</v>
      </c>
      <c r="B75" s="53" t="str">
        <f>'BASE PRESUPUESTO'!D64</f>
        <v>DESVIACION CAUCE ANCHOS ENTRE 0 Y 1 ML</v>
      </c>
      <c r="C75" s="52" t="str">
        <f>'BASE PRESUPUESTO'!E64</f>
        <v>ML</v>
      </c>
      <c r="D75" s="54">
        <f>'BASE PRESUPUESTO'!F64</f>
        <v>1</v>
      </c>
      <c r="E75" s="55">
        <f>'BASE PRESUPUESTO'!H64</f>
        <v>187059</v>
      </c>
      <c r="F75" s="56">
        <f>'BASE PRESUPUESTO'!O64*'PROGRAMA DE OBRA'!U69+('BASE PRESUPUESTO'!P64+'BASE PRESUPUESTO'!Q64+'BASE PRESUPUESTO'!R64)*'PROGRAMA DE OBRA'!F69</f>
        <v>0</v>
      </c>
      <c r="G75" s="56">
        <f>'BASE PRESUPUESTO'!O64*'PROGRAMA DE OBRA'!V69+('BASE PRESUPUESTO'!P64+'BASE PRESUPUESTO'!Q64+'BASE PRESUPUESTO'!R64)*'PROGRAMA DE OBRA'!G69</f>
        <v>187059</v>
      </c>
      <c r="H75" s="56">
        <f>'BASE PRESUPUESTO'!O64*'PROGRAMA DE OBRA'!W69+('BASE PRESUPUESTO'!P64+'BASE PRESUPUESTO'!Q64+'BASE PRESUPUESTO'!R64)*'PROGRAMA DE OBRA'!H69</f>
        <v>0</v>
      </c>
      <c r="I75" s="56">
        <f>'BASE PRESUPUESTO'!O64*'PROGRAMA DE OBRA'!X69+('BASE PRESUPUESTO'!P64+'BASE PRESUPUESTO'!Q64+'BASE PRESUPUESTO'!R64)*'PROGRAMA DE OBRA'!I69</f>
        <v>0</v>
      </c>
      <c r="J75" s="56">
        <f>'BASE PRESUPUESTO'!O64*'PROGRAMA DE OBRA'!Y69+('BASE PRESUPUESTO'!P64+'BASE PRESUPUESTO'!Q64+'BASE PRESUPUESTO'!R64)*'PROGRAMA DE OBRA'!J69</f>
        <v>0</v>
      </c>
      <c r="K75" s="56">
        <f>'BASE PRESUPUESTO'!O64*'PROGRAMA DE OBRA'!Z69+('BASE PRESUPUESTO'!P64+'BASE PRESUPUESTO'!Q64+'BASE PRESUPUESTO'!R64)*'PROGRAMA DE OBRA'!K69</f>
        <v>0</v>
      </c>
      <c r="L75" s="57">
        <f t="shared" si="9"/>
        <v>187059</v>
      </c>
      <c r="M75" s="58">
        <f t="shared" si="10"/>
        <v>1</v>
      </c>
      <c r="N75" s="59">
        <f>'BASE PRESUPUESTO'!O64*SUM('PROGRAMA DE OBRA'!U69:Z69)</f>
        <v>0</v>
      </c>
      <c r="O75" s="59">
        <f>'BASE PRESUPUESTO'!P64*SUM('PROGRAMA DE OBRA'!F69:K69)</f>
        <v>185192.33593459398</v>
      </c>
      <c r="P75" s="59">
        <f>'BASE PRESUPUESTO'!Q64*SUM('PROGRAMA DE OBRA'!F69:K69)</f>
        <v>1866.6640654060279</v>
      </c>
      <c r="Q75" s="59">
        <f>'BASE PRESUPUESTO'!R64*SUM('PROGRAMA DE OBRA'!F69:K69)</f>
        <v>0</v>
      </c>
      <c r="R75" t="s">
        <v>99</v>
      </c>
      <c r="S75" t="s">
        <v>25</v>
      </c>
    </row>
    <row r="76" spans="1:19" x14ac:dyDescent="0.3">
      <c r="A76" s="52" t="str">
        <f>'BASE PRESUPUESTO'!C65</f>
        <v>2.2</v>
      </c>
      <c r="B76" s="53" t="str">
        <f>'BASE PRESUPUESTO'!D65</f>
        <v>REJILLA HIERRO D-1/2" E=1/2" 0.8x0.40 MTS</v>
      </c>
      <c r="C76" s="52" t="str">
        <f>'BASE PRESUPUESTO'!E65</f>
        <v>UND</v>
      </c>
      <c r="D76" s="54">
        <f>'BASE PRESUPUESTO'!F65</f>
        <v>1</v>
      </c>
      <c r="E76" s="55">
        <f>'BASE PRESUPUESTO'!H65</f>
        <v>135450</v>
      </c>
      <c r="F76" s="56">
        <f>'BASE PRESUPUESTO'!O65*'PROGRAMA DE OBRA'!U70+('BASE PRESUPUESTO'!P65+'BASE PRESUPUESTO'!Q65+'BASE PRESUPUESTO'!R65)*'PROGRAMA DE OBRA'!F70</f>
        <v>0</v>
      </c>
      <c r="G76" s="56">
        <f>'BASE PRESUPUESTO'!O65*'PROGRAMA DE OBRA'!V70+('BASE PRESUPUESTO'!P65+'BASE PRESUPUESTO'!Q65+'BASE PRESUPUESTO'!R65)*'PROGRAMA DE OBRA'!G70</f>
        <v>100095.0905412869</v>
      </c>
      <c r="H76" s="56">
        <f>'BASE PRESUPUESTO'!O65*'PROGRAMA DE OBRA'!W70+('BASE PRESUPUESTO'!P65+'BASE PRESUPUESTO'!Q65+'BASE PRESUPUESTO'!R65)*'PROGRAMA DE OBRA'!H70</f>
        <v>35354.909458713097</v>
      </c>
      <c r="I76" s="56">
        <f>'BASE PRESUPUESTO'!O65*'PROGRAMA DE OBRA'!X70+('BASE PRESUPUESTO'!P65+'BASE PRESUPUESTO'!Q65+'BASE PRESUPUESTO'!R65)*'PROGRAMA DE OBRA'!I70</f>
        <v>0</v>
      </c>
      <c r="J76" s="56">
        <f>'BASE PRESUPUESTO'!O65*'PROGRAMA DE OBRA'!Y70+('BASE PRESUPUESTO'!P65+'BASE PRESUPUESTO'!Q65+'BASE PRESUPUESTO'!R65)*'PROGRAMA DE OBRA'!J70</f>
        <v>0</v>
      </c>
      <c r="K76" s="56">
        <f>'BASE PRESUPUESTO'!O65*'PROGRAMA DE OBRA'!Z70+('BASE PRESUPUESTO'!P65+'BASE PRESUPUESTO'!Q65+'BASE PRESUPUESTO'!R65)*'PROGRAMA DE OBRA'!K70</f>
        <v>0</v>
      </c>
      <c r="L76" s="57">
        <f t="shared" si="9"/>
        <v>135450</v>
      </c>
      <c r="M76" s="58">
        <f t="shared" si="10"/>
        <v>1</v>
      </c>
      <c r="N76" s="59">
        <f>'BASE PRESUPUESTO'!O65*SUM('PROGRAMA DE OBRA'!U70:Z70)</f>
        <v>100095.0905412869</v>
      </c>
      <c r="O76" s="59">
        <f>'BASE PRESUPUESTO'!P65*SUM('PROGRAMA DE OBRA'!F70:K70)</f>
        <v>34883.139053638559</v>
      </c>
      <c r="P76" s="59">
        <f>'BASE PRESUPUESTO'!Q65*SUM('PROGRAMA DE OBRA'!F70:K70)</f>
        <v>471.77040507453904</v>
      </c>
      <c r="Q76" s="59">
        <f>'BASE PRESUPUESTO'!R65*SUM('PROGRAMA DE OBRA'!F70:K70)</f>
        <v>0</v>
      </c>
      <c r="R76" t="s">
        <v>99</v>
      </c>
      <c r="S76" t="s">
        <v>25</v>
      </c>
    </row>
    <row r="77" spans="1:19" x14ac:dyDescent="0.3">
      <c r="A77" s="52" t="str">
        <f>'BASE PRESUPUESTO'!C66</f>
        <v>2.3</v>
      </c>
      <c r="B77" s="53" t="str">
        <f>'BASE PRESUPUESTO'!D66</f>
        <v>LOSA DE PISO EN CONCRETO REFORZADO 3,000 PSI - DESARENADOR</v>
      </c>
      <c r="C77" s="52" t="str">
        <f>'BASE PRESUPUESTO'!E66</f>
        <v>M2</v>
      </c>
      <c r="D77" s="54">
        <f>'BASE PRESUPUESTO'!F66</f>
        <v>9.5399999999999991</v>
      </c>
      <c r="E77" s="55">
        <f>'BASE PRESUPUESTO'!H66</f>
        <v>1753473</v>
      </c>
      <c r="F77" s="56">
        <f>'BASE PRESUPUESTO'!O66*'PROGRAMA DE OBRA'!U71+('BASE PRESUPUESTO'!P66+'BASE PRESUPUESTO'!Q66+'BASE PRESUPUESTO'!R66)*'PROGRAMA DE OBRA'!F71</f>
        <v>0</v>
      </c>
      <c r="G77" s="56">
        <f>'BASE PRESUPUESTO'!O66*'PROGRAMA DE OBRA'!V71+('BASE PRESUPUESTO'!P66+'BASE PRESUPUESTO'!Q66+'BASE PRESUPUESTO'!R66)*'PROGRAMA DE OBRA'!G71</f>
        <v>997552.13820740941</v>
      </c>
      <c r="H77" s="56">
        <f>'BASE PRESUPUESTO'!O66*'PROGRAMA DE OBRA'!W71+('BASE PRESUPUESTO'!P66+'BASE PRESUPUESTO'!Q66+'BASE PRESUPUESTO'!R66)*'PROGRAMA DE OBRA'!H71</f>
        <v>755920.86179259128</v>
      </c>
      <c r="I77" s="56">
        <f>'BASE PRESUPUESTO'!O66*'PROGRAMA DE OBRA'!X71+('BASE PRESUPUESTO'!P66+'BASE PRESUPUESTO'!Q66+'BASE PRESUPUESTO'!R66)*'PROGRAMA DE OBRA'!I71</f>
        <v>0</v>
      </c>
      <c r="J77" s="56">
        <f>'BASE PRESUPUESTO'!O66*'PROGRAMA DE OBRA'!Y71+('BASE PRESUPUESTO'!P66+'BASE PRESUPUESTO'!Q66+'BASE PRESUPUESTO'!R66)*'PROGRAMA DE OBRA'!J71</f>
        <v>0</v>
      </c>
      <c r="K77" s="56">
        <f>'BASE PRESUPUESTO'!O66*'PROGRAMA DE OBRA'!Z71+('BASE PRESUPUESTO'!P66+'BASE PRESUPUESTO'!Q66+'BASE PRESUPUESTO'!R66)*'PROGRAMA DE OBRA'!K71</f>
        <v>0</v>
      </c>
      <c r="L77" s="57">
        <f t="shared" si="9"/>
        <v>1753473.0000000007</v>
      </c>
      <c r="M77" s="58">
        <f t="shared" si="10"/>
        <v>1.0000000000000004</v>
      </c>
      <c r="N77" s="59">
        <f>'BASE PRESUPUESTO'!O66*SUM('PROGRAMA DE OBRA'!U71:Z71)</f>
        <v>997552.13820740941</v>
      </c>
      <c r="O77" s="59">
        <f>'BASE PRESUPUESTO'!P66*SUM('PROGRAMA DE OBRA'!F71:K71)</f>
        <v>739798.26431376848</v>
      </c>
      <c r="P77" s="59">
        <f>'BASE PRESUPUESTO'!Q66*SUM('PROGRAMA DE OBRA'!F71:K71)</f>
        <v>16122.597478822763</v>
      </c>
      <c r="Q77" s="59">
        <f>'BASE PRESUPUESTO'!R66*SUM('PROGRAMA DE OBRA'!F71:K71)</f>
        <v>0</v>
      </c>
      <c r="R77" t="s">
        <v>99</v>
      </c>
      <c r="S77" t="s">
        <v>25</v>
      </c>
    </row>
    <row r="78" spans="1:19" x14ac:dyDescent="0.3">
      <c r="A78" s="52" t="str">
        <f>'BASE PRESUPUESTO'!C67</f>
        <v>2.4</v>
      </c>
      <c r="B78" s="53" t="str">
        <f>'BASE PRESUPUESTO'!D67</f>
        <v>MUROS EN CONCRETO REFORZADO DE 3,000 PSI - DESARENADOR</v>
      </c>
      <c r="C78" s="52" t="str">
        <f>'BASE PRESUPUESTO'!E67</f>
        <v>M3</v>
      </c>
      <c r="D78" s="54">
        <f>'BASE PRESUPUESTO'!F67</f>
        <v>2.7029999999999998</v>
      </c>
      <c r="E78" s="55">
        <f>'BASE PRESUPUESTO'!H67</f>
        <v>2943663</v>
      </c>
      <c r="F78" s="56">
        <f>'BASE PRESUPUESTO'!O67*'PROGRAMA DE OBRA'!U72+('BASE PRESUPUESTO'!P67+'BASE PRESUPUESTO'!Q67+'BASE PRESUPUESTO'!R67)*'PROGRAMA DE OBRA'!F72</f>
        <v>0</v>
      </c>
      <c r="G78" s="56">
        <f>'BASE PRESUPUESTO'!O67*'PROGRAMA DE OBRA'!V72+('BASE PRESUPUESTO'!P67+'BASE PRESUPUESTO'!Q67+'BASE PRESUPUESTO'!R67)*'PROGRAMA DE OBRA'!G72</f>
        <v>0</v>
      </c>
      <c r="H78" s="56">
        <f>'BASE PRESUPUESTO'!O67*'PROGRAMA DE OBRA'!W72+('BASE PRESUPUESTO'!P67+'BASE PRESUPUESTO'!Q67+'BASE PRESUPUESTO'!R67)*'PROGRAMA DE OBRA'!H72</f>
        <v>1699001.7253199392</v>
      </c>
      <c r="I78" s="56">
        <f>'BASE PRESUPUESTO'!O67*'PROGRAMA DE OBRA'!X72+('BASE PRESUPUESTO'!P67+'BASE PRESUPUESTO'!Q67+'BASE PRESUPUESTO'!R67)*'PROGRAMA DE OBRA'!I72</f>
        <v>622330.63734003075</v>
      </c>
      <c r="J78" s="56">
        <f>'BASE PRESUPUESTO'!O67*'PROGRAMA DE OBRA'!Y72+('BASE PRESUPUESTO'!P67+'BASE PRESUPUESTO'!Q67+'BASE PRESUPUESTO'!R67)*'PROGRAMA DE OBRA'!J72</f>
        <v>622330.63734003075</v>
      </c>
      <c r="K78" s="56">
        <f>'BASE PRESUPUESTO'!O67*'PROGRAMA DE OBRA'!Z72+('BASE PRESUPUESTO'!P67+'BASE PRESUPUESTO'!Q67+'BASE PRESUPUESTO'!R67)*'PROGRAMA DE OBRA'!K72</f>
        <v>0</v>
      </c>
      <c r="L78" s="57">
        <f t="shared" si="9"/>
        <v>2943663.0000000005</v>
      </c>
      <c r="M78" s="58">
        <f t="shared" si="10"/>
        <v>1.0000000000000002</v>
      </c>
      <c r="N78" s="59">
        <f>'BASE PRESUPUESTO'!O67*SUM('PROGRAMA DE OBRA'!U72:Z72)</f>
        <v>1699001.7253199392</v>
      </c>
      <c r="O78" s="59">
        <f>'BASE PRESUPUESTO'!P67*SUM('PROGRAMA DE OBRA'!F72:K72)</f>
        <v>1230957.0641000334</v>
      </c>
      <c r="P78" s="59">
        <f>'BASE PRESUPUESTO'!Q67*SUM('PROGRAMA DE OBRA'!F72:K72)</f>
        <v>13704.210580028204</v>
      </c>
      <c r="Q78" s="59">
        <f>'BASE PRESUPUESTO'!R67*SUM('PROGRAMA DE OBRA'!F72:K72)</f>
        <v>0</v>
      </c>
      <c r="R78" t="s">
        <v>99</v>
      </c>
      <c r="S78" t="s">
        <v>25</v>
      </c>
    </row>
    <row r="79" spans="1:19" x14ac:dyDescent="0.3">
      <c r="A79" s="52" t="str">
        <f>'BASE PRESUPUESTO'!C68</f>
        <v>2.5</v>
      </c>
      <c r="B79" s="53" t="str">
        <f>'BASE PRESUPUESTO'!D68</f>
        <v>LOSA DE CUBIERTA EN CONCRETO REFORZADO DE 3,000 PSI - DESARENADOR</v>
      </c>
      <c r="C79" s="52" t="str">
        <f>'BASE PRESUPUESTO'!E68</f>
        <v>M2</v>
      </c>
      <c r="D79" s="54">
        <f>'BASE PRESUPUESTO'!F68</f>
        <v>9.5399999999999991</v>
      </c>
      <c r="E79" s="55">
        <f>'BASE PRESUPUESTO'!H68</f>
        <v>2107262</v>
      </c>
      <c r="F79" s="56">
        <f>'BASE PRESUPUESTO'!O68*'PROGRAMA DE OBRA'!U73+('BASE PRESUPUESTO'!P68+'BASE PRESUPUESTO'!Q68+'BASE PRESUPUESTO'!R68)*'PROGRAMA DE OBRA'!F73</f>
        <v>0</v>
      </c>
      <c r="G79" s="56">
        <f>'BASE PRESUPUESTO'!O68*'PROGRAMA DE OBRA'!V73+('BASE PRESUPUESTO'!P68+'BASE PRESUPUESTO'!Q68+'BASE PRESUPUESTO'!R68)*'PROGRAMA DE OBRA'!G73</f>
        <v>0</v>
      </c>
      <c r="H79" s="56">
        <f>'BASE PRESUPUESTO'!O68*'PROGRAMA DE OBRA'!W73+('BASE PRESUPUESTO'!P68+'BASE PRESUPUESTO'!Q68+'BASE PRESUPUESTO'!R68)*'PROGRAMA DE OBRA'!H73</f>
        <v>0</v>
      </c>
      <c r="I79" s="56">
        <f>'BASE PRESUPUESTO'!O68*'PROGRAMA DE OBRA'!X73+('BASE PRESUPUESTO'!P68+'BASE PRESUPUESTO'!Q68+'BASE PRESUPUESTO'!R68)*'PROGRAMA DE OBRA'!I73</f>
        <v>0</v>
      </c>
      <c r="J79" s="56">
        <f>'BASE PRESUPUESTO'!O68*'PROGRAMA DE OBRA'!Y73+('BASE PRESUPUESTO'!P68+'BASE PRESUPUESTO'!Q68+'BASE PRESUPUESTO'!R68)*'PROGRAMA DE OBRA'!J73</f>
        <v>910764.94531539793</v>
      </c>
      <c r="K79" s="56">
        <f>'BASE PRESUPUESTO'!O68*'PROGRAMA DE OBRA'!Z73+('BASE PRESUPUESTO'!P68+'BASE PRESUPUESTO'!Q68+'BASE PRESUPUESTO'!R68)*'PROGRAMA DE OBRA'!K73</f>
        <v>1196497.0546846031</v>
      </c>
      <c r="L79" s="57">
        <f t="shared" si="9"/>
        <v>2107262.0000000009</v>
      </c>
      <c r="M79" s="58">
        <f t="shared" si="10"/>
        <v>1.0000000000000004</v>
      </c>
      <c r="N79" s="59">
        <f>'BASE PRESUPUESTO'!O68*SUM('PROGRAMA DE OBRA'!U73:Z73)</f>
        <v>910764.94531539793</v>
      </c>
      <c r="O79" s="59">
        <f>'BASE PRESUPUESTO'!P68*SUM('PROGRAMA DE OBRA'!F73:K73)</f>
        <v>1180374.4574511936</v>
      </c>
      <c r="P79" s="59">
        <f>'BASE PRESUPUESTO'!Q68*SUM('PROGRAMA DE OBRA'!F73:K73)</f>
        <v>16122.597233409449</v>
      </c>
      <c r="Q79" s="59">
        <f>'BASE PRESUPUESTO'!R68*SUM('PROGRAMA DE OBRA'!F73:K73)</f>
        <v>0</v>
      </c>
      <c r="R79" t="s">
        <v>99</v>
      </c>
      <c r="S79" t="s">
        <v>25</v>
      </c>
    </row>
    <row r="80" spans="1:19" x14ac:dyDescent="0.3">
      <c r="A80" s="52" t="str">
        <f>'BASE PRESUPUESTO'!C69</f>
        <v>2.6</v>
      </c>
      <c r="B80" s="53" t="str">
        <f>'BASE PRESUPUESTO'!D69</f>
        <v>TAPAS PLASTICA</v>
      </c>
      <c r="C80" s="52" t="str">
        <f>'BASE PRESUPUESTO'!E69</f>
        <v>UND</v>
      </c>
      <c r="D80" s="54">
        <f>'BASE PRESUPUESTO'!F69</f>
        <v>3</v>
      </c>
      <c r="E80" s="55">
        <f>'BASE PRESUPUESTO'!H69</f>
        <v>750000</v>
      </c>
      <c r="F80" s="56">
        <f>'BASE PRESUPUESTO'!O69*'PROGRAMA DE OBRA'!U74+('BASE PRESUPUESTO'!P69+'BASE PRESUPUESTO'!Q69+'BASE PRESUPUESTO'!R69)*'PROGRAMA DE OBRA'!F74</f>
        <v>0</v>
      </c>
      <c r="G80" s="56">
        <f>'BASE PRESUPUESTO'!O69*'PROGRAMA DE OBRA'!V74+('BASE PRESUPUESTO'!P69+'BASE PRESUPUESTO'!Q69+'BASE PRESUPUESTO'!R69)*'PROGRAMA DE OBRA'!G74</f>
        <v>0</v>
      </c>
      <c r="H80" s="56">
        <f>'BASE PRESUPUESTO'!O69*'PROGRAMA DE OBRA'!W74+('BASE PRESUPUESTO'!P69+'BASE PRESUPUESTO'!Q69+'BASE PRESUPUESTO'!R69)*'PROGRAMA DE OBRA'!H74</f>
        <v>0</v>
      </c>
      <c r="I80" s="56">
        <f>'BASE PRESUPUESTO'!O69*'PROGRAMA DE OBRA'!X74+('BASE PRESUPUESTO'!P69+'BASE PRESUPUESTO'!Q69+'BASE PRESUPUESTO'!R69)*'PROGRAMA DE OBRA'!I74</f>
        <v>0</v>
      </c>
      <c r="J80" s="56">
        <f>'BASE PRESUPUESTO'!O69*'PROGRAMA DE OBRA'!Y74+('BASE PRESUPUESTO'!P69+'BASE PRESUPUESTO'!Q69+'BASE PRESUPUESTO'!R69)*'PROGRAMA DE OBRA'!J74</f>
        <v>0</v>
      </c>
      <c r="K80" s="56">
        <f>'BASE PRESUPUESTO'!O69*'PROGRAMA DE OBRA'!Z74+('BASE PRESUPUESTO'!P69+'BASE PRESUPUESTO'!Q69+'BASE PRESUPUESTO'!R69)*'PROGRAMA DE OBRA'!K74</f>
        <v>692417.20075113454</v>
      </c>
      <c r="L80" s="57">
        <f t="shared" si="9"/>
        <v>692417.20075113454</v>
      </c>
      <c r="M80" s="58">
        <f t="shared" si="10"/>
        <v>0.92322293433484603</v>
      </c>
      <c r="N80" s="59">
        <f>'BASE PRESUPUESTO'!O69*SUM('PROGRAMA DE OBRA'!U74:Z74)</f>
        <v>692417.20075113454</v>
      </c>
      <c r="O80" s="59">
        <f>'BASE PRESUPUESTO'!P69*SUM('PROGRAMA DE OBRA'!F74:K74)</f>
        <v>0</v>
      </c>
      <c r="P80" s="59">
        <f>'BASE PRESUPUESTO'!Q69*SUM('PROGRAMA DE OBRA'!F74:K74)</f>
        <v>0</v>
      </c>
      <c r="Q80" s="59">
        <f>'BASE PRESUPUESTO'!R69*SUM('PROGRAMA DE OBRA'!F74:K74)</f>
        <v>0</v>
      </c>
      <c r="R80" t="s">
        <v>99</v>
      </c>
      <c r="S80" t="s">
        <v>25</v>
      </c>
    </row>
    <row r="81" spans="1:19" x14ac:dyDescent="0.3">
      <c r="A81" s="52" t="str">
        <f>'BASE PRESUPUESTO'!C70</f>
        <v>2.7</v>
      </c>
      <c r="B81" s="53" t="str">
        <f>'BASE PRESUPUESTO'!D70</f>
        <v>ACERO REFUERZO FLEJADO 60000 PSI 420 Mpa</v>
      </c>
      <c r="C81" s="52" t="str">
        <f>'BASE PRESUPUESTO'!E70</f>
        <v>KG</v>
      </c>
      <c r="D81" s="54">
        <f>'BASE PRESUPUESTO'!F70</f>
        <v>527.58000000000004</v>
      </c>
      <c r="E81" s="55">
        <f>'BASE PRESUPUESTO'!H70</f>
        <v>3217183</v>
      </c>
      <c r="F81" s="56">
        <f>'BASE PRESUPUESTO'!O70*'PROGRAMA DE OBRA'!U75+('BASE PRESUPUESTO'!P70+'BASE PRESUPUESTO'!Q70+'BASE PRESUPUESTO'!R70)*'PROGRAMA DE OBRA'!F75</f>
        <v>0</v>
      </c>
      <c r="G81" s="56">
        <f>'BASE PRESUPUESTO'!O70*'PROGRAMA DE OBRA'!V75+('BASE PRESUPUESTO'!P70+'BASE PRESUPUESTO'!Q70+'BASE PRESUPUESTO'!R70)*'PROGRAMA DE OBRA'!G75</f>
        <v>2598544.6945469459</v>
      </c>
      <c r="H81" s="56">
        <f>'BASE PRESUPUESTO'!O70*'PROGRAMA DE OBRA'!W75+('BASE PRESUPUESTO'!P70+'BASE PRESUPUESTO'!Q70+'BASE PRESUPUESTO'!R70)*'PROGRAMA DE OBRA'!H75</f>
        <v>309319.15272652695</v>
      </c>
      <c r="I81" s="56">
        <f>'BASE PRESUPUESTO'!O70*'PROGRAMA DE OBRA'!X75+('BASE PRESUPUESTO'!P70+'BASE PRESUPUESTO'!Q70+'BASE PRESUPUESTO'!R70)*'PROGRAMA DE OBRA'!I75</f>
        <v>309319.15272652695</v>
      </c>
      <c r="J81" s="56">
        <f>'BASE PRESUPUESTO'!O70*'PROGRAMA DE OBRA'!Y75+('BASE PRESUPUESTO'!P70+'BASE PRESUPUESTO'!Q70+'BASE PRESUPUESTO'!R70)*'PROGRAMA DE OBRA'!J75</f>
        <v>0</v>
      </c>
      <c r="K81" s="56">
        <f>'BASE PRESUPUESTO'!O70*'PROGRAMA DE OBRA'!Z75+('BASE PRESUPUESTO'!P70+'BASE PRESUPUESTO'!Q70+'BASE PRESUPUESTO'!R70)*'PROGRAMA DE OBRA'!K75</f>
        <v>0</v>
      </c>
      <c r="L81" s="57">
        <f t="shared" si="9"/>
        <v>3217182.9999999995</v>
      </c>
      <c r="M81" s="58">
        <f t="shared" si="10"/>
        <v>0.99999999999999989</v>
      </c>
      <c r="N81" s="59">
        <f>'BASE PRESUPUESTO'!O70*SUM('PROGRAMA DE OBRA'!U75:Z75)</f>
        <v>2598544.6945469459</v>
      </c>
      <c r="O81" s="59">
        <f>'BASE PRESUPUESTO'!P70*SUM('PROGRAMA DE OBRA'!F75:K75)</f>
        <v>618638.30545305391</v>
      </c>
      <c r="P81" s="59">
        <f>'BASE PRESUPUESTO'!Q70*SUM('PROGRAMA DE OBRA'!F75:K75)</f>
        <v>0</v>
      </c>
      <c r="Q81" s="59">
        <f>'BASE PRESUPUESTO'!R70*SUM('PROGRAMA DE OBRA'!F75:K75)</f>
        <v>0</v>
      </c>
      <c r="R81" t="s">
        <v>99</v>
      </c>
      <c r="S81" t="s">
        <v>25</v>
      </c>
    </row>
    <row r="82" spans="1:19" x14ac:dyDescent="0.3">
      <c r="A82" s="52" t="str">
        <f>'BASE PRESUPUESTO'!C71</f>
        <v>2.8</v>
      </c>
      <c r="B82" s="53" t="str">
        <f>'BASE PRESUPUESTO'!D71</f>
        <v>VALVULAS DE CIERRE, LAVADO Y BY-PASS EN 1/2"</v>
      </c>
      <c r="C82" s="52" t="str">
        <f>'BASE PRESUPUESTO'!E71</f>
        <v>GLB</v>
      </c>
      <c r="D82" s="54">
        <f>'BASE PRESUPUESTO'!F71</f>
        <v>1</v>
      </c>
      <c r="E82" s="55">
        <f>'BASE PRESUPUESTO'!H71</f>
        <v>1417833</v>
      </c>
      <c r="F82" s="56">
        <f>'BASE PRESUPUESTO'!O71*'PROGRAMA DE OBRA'!U76+('BASE PRESUPUESTO'!P71+'BASE PRESUPUESTO'!Q71+'BASE PRESUPUESTO'!R71)*'PROGRAMA DE OBRA'!F76</f>
        <v>0</v>
      </c>
      <c r="G82" s="56">
        <f>'BASE PRESUPUESTO'!O71*'PROGRAMA DE OBRA'!V76+('BASE PRESUPUESTO'!P71+'BASE PRESUPUESTO'!Q71+'BASE PRESUPUESTO'!R71)*'PROGRAMA DE OBRA'!G76</f>
        <v>0</v>
      </c>
      <c r="H82" s="56">
        <f>'BASE PRESUPUESTO'!O71*'PROGRAMA DE OBRA'!W76+('BASE PRESUPUESTO'!P71+'BASE PRESUPUESTO'!Q71+'BASE PRESUPUESTO'!R71)*'PROGRAMA DE OBRA'!H76</f>
        <v>0</v>
      </c>
      <c r="I82" s="56">
        <f>'BASE PRESUPUESTO'!O71*'PROGRAMA DE OBRA'!X76+('BASE PRESUPUESTO'!P71+'BASE PRESUPUESTO'!Q71+'BASE PRESUPUESTO'!R71)*'PROGRAMA DE OBRA'!I76</f>
        <v>0</v>
      </c>
      <c r="J82" s="56">
        <f>'BASE PRESUPUESTO'!O71*'PROGRAMA DE OBRA'!Y76+('BASE PRESUPUESTO'!P71+'BASE PRESUPUESTO'!Q71+'BASE PRESUPUESTO'!R71)*'PROGRAMA DE OBRA'!J76</f>
        <v>0</v>
      </c>
      <c r="K82" s="56">
        <f>'BASE PRESUPUESTO'!O71*'PROGRAMA DE OBRA'!Z76+('BASE PRESUPUESTO'!P71+'BASE PRESUPUESTO'!Q71+'BASE PRESUPUESTO'!R71)*'PROGRAMA DE OBRA'!K76</f>
        <v>470123.26068429631</v>
      </c>
      <c r="L82" s="57">
        <f t="shared" si="9"/>
        <v>470123.26068429631</v>
      </c>
      <c r="M82" s="58">
        <f t="shared" si="10"/>
        <v>0.33157872660905502</v>
      </c>
      <c r="N82" s="59">
        <f>'BASE PRESUPUESTO'!O71*SUM('PROGRAMA DE OBRA'!U76:Z76)</f>
        <v>470123.26068429631</v>
      </c>
      <c r="O82" s="59">
        <f>'BASE PRESUPUESTO'!P71*SUM('PROGRAMA DE OBRA'!F76:K76)</f>
        <v>0</v>
      </c>
      <c r="P82" s="59">
        <f>'BASE PRESUPUESTO'!Q71*SUM('PROGRAMA DE OBRA'!F76:K76)</f>
        <v>0</v>
      </c>
      <c r="Q82" s="59">
        <f>'BASE PRESUPUESTO'!R71*SUM('PROGRAMA DE OBRA'!F76:K76)</f>
        <v>0</v>
      </c>
      <c r="R82" t="s">
        <v>99</v>
      </c>
      <c r="S82" t="s">
        <v>25</v>
      </c>
    </row>
    <row r="83" spans="1:19" x14ac:dyDescent="0.3">
      <c r="A83" s="52" t="str">
        <f>'BASE PRESUPUESTO'!C72</f>
        <v>2.9</v>
      </c>
      <c r="B83" s="53" t="str">
        <f>'BASE PRESUPUESTO'!D72</f>
        <v>COLCHON ARENA GRUESA E=5-7CM</v>
      </c>
      <c r="C83" s="52" t="str">
        <f>'BASE PRESUPUESTO'!E72</f>
        <v>M3</v>
      </c>
      <c r="D83" s="54">
        <f>'BASE PRESUPUESTO'!F72</f>
        <v>7</v>
      </c>
      <c r="E83" s="55">
        <f>'BASE PRESUPUESTO'!H72</f>
        <v>509334</v>
      </c>
      <c r="F83" s="56">
        <f>'BASE PRESUPUESTO'!O72*'PROGRAMA DE OBRA'!U77+('BASE PRESUPUESTO'!P72+'BASE PRESUPUESTO'!Q72+'BASE PRESUPUESTO'!R72)*'PROGRAMA DE OBRA'!F77</f>
        <v>0</v>
      </c>
      <c r="G83" s="56">
        <f>'BASE PRESUPUESTO'!O72*'PROGRAMA DE OBRA'!V77+('BASE PRESUPUESTO'!P72+'BASE PRESUPUESTO'!Q72+'BASE PRESUPUESTO'!R72)*'PROGRAMA DE OBRA'!G77</f>
        <v>0</v>
      </c>
      <c r="H83" s="56">
        <f>'BASE PRESUPUESTO'!O72*'PROGRAMA DE OBRA'!W77+('BASE PRESUPUESTO'!P72+'BASE PRESUPUESTO'!Q72+'BASE PRESUPUESTO'!R72)*'PROGRAMA DE OBRA'!H77</f>
        <v>0</v>
      </c>
      <c r="I83" s="56">
        <f>'BASE PRESUPUESTO'!O72*'PROGRAMA DE OBRA'!X77+('BASE PRESUPUESTO'!P72+'BASE PRESUPUESTO'!Q72+'BASE PRESUPUESTO'!R72)*'PROGRAMA DE OBRA'!I77</f>
        <v>0</v>
      </c>
      <c r="J83" s="56">
        <f>'BASE PRESUPUESTO'!O72*'PROGRAMA DE OBRA'!Y77+('BASE PRESUPUESTO'!P72+'BASE PRESUPUESTO'!Q72+'BASE PRESUPUESTO'!R72)*'PROGRAMA DE OBRA'!J77</f>
        <v>0</v>
      </c>
      <c r="K83" s="56">
        <f>'BASE PRESUPUESTO'!O72*'PROGRAMA DE OBRA'!Z77+('BASE PRESUPUESTO'!P72+'BASE PRESUPUESTO'!Q72+'BASE PRESUPUESTO'!R72)*'PROGRAMA DE OBRA'!K77</f>
        <v>458863.8773772667</v>
      </c>
      <c r="L83" s="57">
        <f t="shared" si="9"/>
        <v>458863.8773772667</v>
      </c>
      <c r="M83" s="58">
        <f t="shared" si="10"/>
        <v>0.900909574811944</v>
      </c>
      <c r="N83" s="59">
        <f>'BASE PRESUPUESTO'!O72*SUM('PROGRAMA DE OBRA'!U77:Z77)</f>
        <v>458863.8773772667</v>
      </c>
      <c r="O83" s="59">
        <f>'BASE PRESUPUESTO'!P72*SUM('PROGRAMA DE OBRA'!F77:K77)</f>
        <v>0</v>
      </c>
      <c r="P83" s="59">
        <f>'BASE PRESUPUESTO'!Q72*SUM('PROGRAMA DE OBRA'!F77:K77)</f>
        <v>0</v>
      </c>
      <c r="Q83" s="59">
        <f>'BASE PRESUPUESTO'!R72*SUM('PROGRAMA DE OBRA'!F77:K77)</f>
        <v>0</v>
      </c>
      <c r="R83" t="s">
        <v>99</v>
      </c>
      <c r="S83" t="s">
        <v>25</v>
      </c>
    </row>
    <row r="84" spans="1:19" x14ac:dyDescent="0.3">
      <c r="A84" s="52" t="str">
        <f>'BASE PRESUPUESTO'!C73</f>
        <v>2.10</v>
      </c>
      <c r="B84" s="53" t="str">
        <f>'BASE PRESUPUESTO'!D73</f>
        <v>TUBERIA PVC 1,1/2"</v>
      </c>
      <c r="C84" s="52" t="str">
        <f>'BASE PRESUPUESTO'!E73</f>
        <v>ML</v>
      </c>
      <c r="D84" s="54">
        <f>'BASE PRESUPUESTO'!F73</f>
        <v>500</v>
      </c>
      <c r="E84" s="55">
        <f>'BASE PRESUPUESTO'!H73</f>
        <v>9876000</v>
      </c>
      <c r="F84" s="56">
        <f>'BASE PRESUPUESTO'!O73*'PROGRAMA DE OBRA'!U78+('BASE PRESUPUESTO'!P73+'BASE PRESUPUESTO'!Q73+'BASE PRESUPUESTO'!R73)*'PROGRAMA DE OBRA'!F78</f>
        <v>0</v>
      </c>
      <c r="G84" s="56">
        <f>'BASE PRESUPUESTO'!O73*'PROGRAMA DE OBRA'!V78+('BASE PRESUPUESTO'!P73+'BASE PRESUPUESTO'!Q73+'BASE PRESUPUESTO'!R73)*'PROGRAMA DE OBRA'!G78</f>
        <v>0</v>
      </c>
      <c r="H84" s="56">
        <f>'BASE PRESUPUESTO'!O73*'PROGRAMA DE OBRA'!W78+('BASE PRESUPUESTO'!P73+'BASE PRESUPUESTO'!Q73+'BASE PRESUPUESTO'!R73)*'PROGRAMA DE OBRA'!H78</f>
        <v>0</v>
      </c>
      <c r="I84" s="56">
        <f>'BASE PRESUPUESTO'!O73*'PROGRAMA DE OBRA'!X78+('BASE PRESUPUESTO'!P73+'BASE PRESUPUESTO'!Q73+'BASE PRESUPUESTO'!R73)*'PROGRAMA DE OBRA'!I78</f>
        <v>0</v>
      </c>
      <c r="J84" s="56">
        <f>'BASE PRESUPUESTO'!O73*'PROGRAMA DE OBRA'!Y78+('BASE PRESUPUESTO'!P73+'BASE PRESUPUESTO'!Q73+'BASE PRESUPUESTO'!R73)*'PROGRAMA DE OBRA'!J78</f>
        <v>0</v>
      </c>
      <c r="K84" s="56">
        <f>'BASE PRESUPUESTO'!O73*'PROGRAMA DE OBRA'!Z78+('BASE PRESUPUESTO'!P73+'BASE PRESUPUESTO'!Q73+'BASE PRESUPUESTO'!R73)*'PROGRAMA DE OBRA'!K78</f>
        <v>5218880.7617412033</v>
      </c>
      <c r="L84" s="57">
        <f t="shared" si="9"/>
        <v>5218880.7617412033</v>
      </c>
      <c r="M84" s="58">
        <f t="shared" si="10"/>
        <v>0.52844074136707198</v>
      </c>
      <c r="N84" s="59">
        <f>'BASE PRESUPUESTO'!O73*SUM('PROGRAMA DE OBRA'!U78:Z78)</f>
        <v>5218880.7617412033</v>
      </c>
      <c r="O84" s="59">
        <f>'BASE PRESUPUESTO'!P73*SUM('PROGRAMA DE OBRA'!F78:K78)</f>
        <v>0</v>
      </c>
      <c r="P84" s="59">
        <f>'BASE PRESUPUESTO'!Q73*SUM('PROGRAMA DE OBRA'!F78:K78)</f>
        <v>0</v>
      </c>
      <c r="Q84" s="59">
        <f>'BASE PRESUPUESTO'!R73*SUM('PROGRAMA DE OBRA'!F78:K78)</f>
        <v>0</v>
      </c>
      <c r="R84" t="s">
        <v>99</v>
      </c>
      <c r="S84" t="s">
        <v>25</v>
      </c>
    </row>
    <row r="85" spans="1:19" x14ac:dyDescent="0.3">
      <c r="A85" s="52" t="str">
        <f>'BASE PRESUPUESTO'!C74</f>
        <v>2.11</v>
      </c>
      <c r="B85" s="53" t="str">
        <f>'BASE PRESUPUESTO'!D74</f>
        <v>NIVELACION PISO Y GRAVA E=0,10 MTS</v>
      </c>
      <c r="C85" s="52" t="str">
        <f>'BASE PRESUPUESTO'!E74</f>
        <v>M2</v>
      </c>
      <c r="D85" s="54">
        <f>'BASE PRESUPUESTO'!F74</f>
        <v>45.1</v>
      </c>
      <c r="E85" s="55">
        <f>'BASE PRESUPUESTO'!H74</f>
        <v>1476114</v>
      </c>
      <c r="F85" s="56">
        <f>'BASE PRESUPUESTO'!O74*'PROGRAMA DE OBRA'!U79+('BASE PRESUPUESTO'!P74+'BASE PRESUPUESTO'!Q74+'BASE PRESUPUESTO'!R74)*'PROGRAMA DE OBRA'!F79</f>
        <v>0</v>
      </c>
      <c r="G85" s="56">
        <f>'BASE PRESUPUESTO'!O74*'PROGRAMA DE OBRA'!V79+('BASE PRESUPUESTO'!P74+'BASE PRESUPUESTO'!Q74+'BASE PRESUPUESTO'!R74)*'PROGRAMA DE OBRA'!G79</f>
        <v>0</v>
      </c>
      <c r="H85" s="56">
        <f>'BASE PRESUPUESTO'!O74*'PROGRAMA DE OBRA'!W79+('BASE PRESUPUESTO'!P74+'BASE PRESUPUESTO'!Q74+'BASE PRESUPUESTO'!R74)*'PROGRAMA DE OBRA'!H79</f>
        <v>0</v>
      </c>
      <c r="I85" s="56">
        <f>'BASE PRESUPUESTO'!O74*'PROGRAMA DE OBRA'!X79+('BASE PRESUPUESTO'!P74+'BASE PRESUPUESTO'!Q74+'BASE PRESUPUESTO'!R74)*'PROGRAMA DE OBRA'!I79</f>
        <v>0</v>
      </c>
      <c r="J85" s="56">
        <f>'BASE PRESUPUESTO'!O74*'PROGRAMA DE OBRA'!Y79+('BASE PRESUPUESTO'!P74+'BASE PRESUPUESTO'!Q74+'BASE PRESUPUESTO'!R74)*'PROGRAMA DE OBRA'!J79</f>
        <v>0</v>
      </c>
      <c r="K85" s="56">
        <f>'BASE PRESUPUESTO'!O74*'PROGRAMA DE OBRA'!Z79+('BASE PRESUPUESTO'!P74+'BASE PRESUPUESTO'!Q74+'BASE PRESUPUESTO'!R74)*'PROGRAMA DE OBRA'!K79</f>
        <v>0</v>
      </c>
      <c r="L85" s="57">
        <f t="shared" si="9"/>
        <v>0</v>
      </c>
      <c r="M85" s="58">
        <f t="shared" si="10"/>
        <v>0</v>
      </c>
      <c r="N85" s="59">
        <f>'BASE PRESUPUESTO'!O74*SUM('PROGRAMA DE OBRA'!U79:Z79)</f>
        <v>0</v>
      </c>
      <c r="O85" s="59">
        <f>'BASE PRESUPUESTO'!P74*SUM('PROGRAMA DE OBRA'!F79:K79)</f>
        <v>0</v>
      </c>
      <c r="P85" s="59">
        <f>'BASE PRESUPUESTO'!Q74*SUM('PROGRAMA DE OBRA'!F79:K79)</f>
        <v>0</v>
      </c>
      <c r="Q85" s="59">
        <f>'BASE PRESUPUESTO'!R74*SUM('PROGRAMA DE OBRA'!F79:K79)</f>
        <v>0</v>
      </c>
      <c r="R85" t="s">
        <v>99</v>
      </c>
      <c r="S85" t="s">
        <v>25</v>
      </c>
    </row>
    <row r="86" spans="1:19" x14ac:dyDescent="0.3">
      <c r="A86" s="52" t="str">
        <f>'BASE PRESUPUESTO'!C75</f>
        <v>2.12</v>
      </c>
      <c r="B86" s="53" t="str">
        <f>'BASE PRESUPUESTO'!D75</f>
        <v>TANQUE PLASTICO 5.000 LTS</v>
      </c>
      <c r="C86" s="52" t="str">
        <f>'BASE PRESUPUESTO'!E75</f>
        <v>UND</v>
      </c>
      <c r="D86" s="54">
        <f>'BASE PRESUPUESTO'!F75</f>
        <v>2</v>
      </c>
      <c r="E86" s="55">
        <f>'BASE PRESUPUESTO'!H75</f>
        <v>9197064</v>
      </c>
      <c r="F86" s="56">
        <f>'BASE PRESUPUESTO'!O75*'PROGRAMA DE OBRA'!U80+('BASE PRESUPUESTO'!P75+'BASE PRESUPUESTO'!Q75+'BASE PRESUPUESTO'!R75)*'PROGRAMA DE OBRA'!F80</f>
        <v>0</v>
      </c>
      <c r="G86" s="56">
        <f>'BASE PRESUPUESTO'!O75*'PROGRAMA DE OBRA'!V80+('BASE PRESUPUESTO'!P75+'BASE PRESUPUESTO'!Q75+'BASE PRESUPUESTO'!R75)*'PROGRAMA DE OBRA'!G80</f>
        <v>0</v>
      </c>
      <c r="H86" s="56">
        <f>'BASE PRESUPUESTO'!O75*'PROGRAMA DE OBRA'!W80+('BASE PRESUPUESTO'!P75+'BASE PRESUPUESTO'!Q75+'BASE PRESUPUESTO'!R75)*'PROGRAMA DE OBRA'!H80</f>
        <v>0</v>
      </c>
      <c r="I86" s="56">
        <f>'BASE PRESUPUESTO'!O75*'PROGRAMA DE OBRA'!X80+('BASE PRESUPUESTO'!P75+'BASE PRESUPUESTO'!Q75+'BASE PRESUPUESTO'!R75)*'PROGRAMA DE OBRA'!I80</f>
        <v>0</v>
      </c>
      <c r="J86" s="56">
        <f>'BASE PRESUPUESTO'!O75*'PROGRAMA DE OBRA'!Y80+('BASE PRESUPUESTO'!P75+'BASE PRESUPUESTO'!Q75+'BASE PRESUPUESTO'!R75)*'PROGRAMA DE OBRA'!J80</f>
        <v>0</v>
      </c>
      <c r="K86" s="56">
        <f>'BASE PRESUPUESTO'!O75*'PROGRAMA DE OBRA'!Z80+('BASE PRESUPUESTO'!P75+'BASE PRESUPUESTO'!Q75+'BASE PRESUPUESTO'!R75)*'PROGRAMA DE OBRA'!K80</f>
        <v>0</v>
      </c>
      <c r="L86" s="57">
        <f t="shared" si="9"/>
        <v>0</v>
      </c>
      <c r="M86" s="58">
        <f t="shared" si="10"/>
        <v>0</v>
      </c>
      <c r="N86" s="59">
        <f>'BASE PRESUPUESTO'!O75*SUM('PROGRAMA DE OBRA'!U80:Z80)</f>
        <v>0</v>
      </c>
      <c r="O86" s="59">
        <f>'BASE PRESUPUESTO'!P75*SUM('PROGRAMA DE OBRA'!F80:K80)</f>
        <v>0</v>
      </c>
      <c r="P86" s="59">
        <f>'BASE PRESUPUESTO'!Q75*SUM('PROGRAMA DE OBRA'!F80:K80)</f>
        <v>0</v>
      </c>
      <c r="Q86" s="59">
        <f>'BASE PRESUPUESTO'!R75*SUM('PROGRAMA DE OBRA'!F80:K80)</f>
        <v>0</v>
      </c>
      <c r="R86" t="s">
        <v>99</v>
      </c>
      <c r="S86" t="s">
        <v>25</v>
      </c>
    </row>
    <row r="87" spans="1:19" x14ac:dyDescent="0.3">
      <c r="A87" s="52" t="str">
        <f>'BASE PRESUPUESTO'!C76</f>
        <v>2.13</v>
      </c>
      <c r="B87" s="53" t="str">
        <f>'BASE PRESUPUESTO'!D76</f>
        <v>FLOTADOR DE 1" PARA TANQUE 5,000 LTS, INCLUYE ACCESORIOS INSTALACION</v>
      </c>
      <c r="C87" s="52" t="str">
        <f>'BASE PRESUPUESTO'!E76</f>
        <v>UND</v>
      </c>
      <c r="D87" s="54">
        <f>'BASE PRESUPUESTO'!F76</f>
        <v>2</v>
      </c>
      <c r="E87" s="55">
        <f>'BASE PRESUPUESTO'!H76</f>
        <v>409298</v>
      </c>
      <c r="F87" s="56">
        <f>'BASE PRESUPUESTO'!O76*'PROGRAMA DE OBRA'!U81+('BASE PRESUPUESTO'!P76+'BASE PRESUPUESTO'!Q76+'BASE PRESUPUESTO'!R76)*'PROGRAMA DE OBRA'!F81</f>
        <v>0</v>
      </c>
      <c r="G87" s="56">
        <f>'BASE PRESUPUESTO'!O76*'PROGRAMA DE OBRA'!V81+('BASE PRESUPUESTO'!P76+'BASE PRESUPUESTO'!Q76+'BASE PRESUPUESTO'!R76)*'PROGRAMA DE OBRA'!G81</f>
        <v>0</v>
      </c>
      <c r="H87" s="56">
        <f>'BASE PRESUPUESTO'!O76*'PROGRAMA DE OBRA'!W81+('BASE PRESUPUESTO'!P76+'BASE PRESUPUESTO'!Q76+'BASE PRESUPUESTO'!R76)*'PROGRAMA DE OBRA'!H81</f>
        <v>0</v>
      </c>
      <c r="I87" s="56">
        <f>'BASE PRESUPUESTO'!O76*'PROGRAMA DE OBRA'!X81+('BASE PRESUPUESTO'!P76+'BASE PRESUPUESTO'!Q76+'BASE PRESUPUESTO'!R76)*'PROGRAMA DE OBRA'!I81</f>
        <v>0</v>
      </c>
      <c r="J87" s="56">
        <f>'BASE PRESUPUESTO'!O76*'PROGRAMA DE OBRA'!Y81+('BASE PRESUPUESTO'!P76+'BASE PRESUPUESTO'!Q76+'BASE PRESUPUESTO'!R76)*'PROGRAMA DE OBRA'!J81</f>
        <v>0</v>
      </c>
      <c r="K87" s="56">
        <f>'BASE PRESUPUESTO'!O76*'PROGRAMA DE OBRA'!Z81+('BASE PRESUPUESTO'!P76+'BASE PRESUPUESTO'!Q76+'BASE PRESUPUESTO'!R76)*'PROGRAMA DE OBRA'!K81</f>
        <v>0</v>
      </c>
      <c r="L87" s="57">
        <f t="shared" si="9"/>
        <v>0</v>
      </c>
      <c r="M87" s="58">
        <f t="shared" si="10"/>
        <v>0</v>
      </c>
      <c r="N87" s="59">
        <f>'BASE PRESUPUESTO'!O76*SUM('PROGRAMA DE OBRA'!U81:Z81)</f>
        <v>0</v>
      </c>
      <c r="O87" s="59">
        <f>'BASE PRESUPUESTO'!P76*SUM('PROGRAMA DE OBRA'!F81:K81)</f>
        <v>0</v>
      </c>
      <c r="P87" s="59">
        <f>'BASE PRESUPUESTO'!Q76*SUM('PROGRAMA DE OBRA'!F81:K81)</f>
        <v>0</v>
      </c>
      <c r="Q87" s="59">
        <f>'BASE PRESUPUESTO'!R76*SUM('PROGRAMA DE OBRA'!F81:K81)</f>
        <v>0</v>
      </c>
      <c r="R87" t="s">
        <v>99</v>
      </c>
      <c r="S87" t="s">
        <v>25</v>
      </c>
    </row>
    <row r="88" spans="1:19" x14ac:dyDescent="0.3">
      <c r="A88" s="52" t="str">
        <f>'BASE PRESUPUESTO'!C77</f>
        <v>2.14</v>
      </c>
      <c r="B88" s="53" t="str">
        <f>'BASE PRESUPUESTO'!D77</f>
        <v>CONEXIÓN TANQUE PLASTICOS CON LA RED DE DISTRIBUCION, BY - PASS, LAVADO Y REBOSE</v>
      </c>
      <c r="C88" s="52" t="str">
        <f>'BASE PRESUPUESTO'!E77</f>
        <v>GLB</v>
      </c>
      <c r="D88" s="54">
        <f>'BASE PRESUPUESTO'!F77</f>
        <v>1</v>
      </c>
      <c r="E88" s="55">
        <f>'BASE PRESUPUESTO'!H77</f>
        <v>1984056</v>
      </c>
      <c r="F88" s="56">
        <f>'BASE PRESUPUESTO'!O77*'PROGRAMA DE OBRA'!U82+('BASE PRESUPUESTO'!P77+'BASE PRESUPUESTO'!Q77+'BASE PRESUPUESTO'!R77)*'PROGRAMA DE OBRA'!F82</f>
        <v>0</v>
      </c>
      <c r="G88" s="56">
        <f>'BASE PRESUPUESTO'!O77*'PROGRAMA DE OBRA'!V82+('BASE PRESUPUESTO'!P77+'BASE PRESUPUESTO'!Q77+'BASE PRESUPUESTO'!R77)*'PROGRAMA DE OBRA'!G82</f>
        <v>0</v>
      </c>
      <c r="H88" s="56">
        <f>'BASE PRESUPUESTO'!O77*'PROGRAMA DE OBRA'!W82+('BASE PRESUPUESTO'!P77+'BASE PRESUPUESTO'!Q77+'BASE PRESUPUESTO'!R77)*'PROGRAMA DE OBRA'!H82</f>
        <v>0</v>
      </c>
      <c r="I88" s="56">
        <f>'BASE PRESUPUESTO'!O77*'PROGRAMA DE OBRA'!X82+('BASE PRESUPUESTO'!P77+'BASE PRESUPUESTO'!Q77+'BASE PRESUPUESTO'!R77)*'PROGRAMA DE OBRA'!I82</f>
        <v>0</v>
      </c>
      <c r="J88" s="56">
        <f>'BASE PRESUPUESTO'!O77*'PROGRAMA DE OBRA'!Y82+('BASE PRESUPUESTO'!P77+'BASE PRESUPUESTO'!Q77+'BASE PRESUPUESTO'!R77)*'PROGRAMA DE OBRA'!J82</f>
        <v>0</v>
      </c>
      <c r="K88" s="56">
        <f>'BASE PRESUPUESTO'!O77*'PROGRAMA DE OBRA'!Z82+('BASE PRESUPUESTO'!P77+'BASE PRESUPUESTO'!Q77+'BASE PRESUPUESTO'!R77)*'PROGRAMA DE OBRA'!K82</f>
        <v>0</v>
      </c>
      <c r="L88" s="57">
        <f t="shared" si="9"/>
        <v>0</v>
      </c>
      <c r="M88" s="58">
        <f t="shared" si="10"/>
        <v>0</v>
      </c>
      <c r="N88" s="59">
        <f>'BASE PRESUPUESTO'!O77*SUM('PROGRAMA DE OBRA'!U82:Z82)</f>
        <v>0</v>
      </c>
      <c r="O88" s="59">
        <f>'BASE PRESUPUESTO'!P77*SUM('PROGRAMA DE OBRA'!F82:K82)</f>
        <v>0</v>
      </c>
      <c r="P88" s="59">
        <f>'BASE PRESUPUESTO'!Q77*SUM('PROGRAMA DE OBRA'!F82:K82)</f>
        <v>0</v>
      </c>
      <c r="Q88" s="59">
        <f>'BASE PRESUPUESTO'!R77*SUM('PROGRAMA DE OBRA'!F82:K82)</f>
        <v>0</v>
      </c>
      <c r="R88" t="s">
        <v>99</v>
      </c>
      <c r="S88" t="s">
        <v>25</v>
      </c>
    </row>
    <row r="89" spans="1:19" x14ac:dyDescent="0.3">
      <c r="A89" s="52" t="str">
        <f>'BASE PRESUPUESTO'!C78</f>
        <v>2.15</v>
      </c>
      <c r="B89" s="53" t="str">
        <f>'BASE PRESUPUESTO'!D78</f>
        <v>ACARREO MATERIALES TRACCION ANIMAL</v>
      </c>
      <c r="C89" s="52" t="str">
        <f>'BASE PRESUPUESTO'!E78</f>
        <v>C-KM</v>
      </c>
      <c r="D89" s="54">
        <f>'BASE PRESUPUESTO'!F78</f>
        <v>183.27957499999999</v>
      </c>
      <c r="E89" s="55">
        <f>'BASE PRESUPUESTO'!H78</f>
        <v>1714214</v>
      </c>
      <c r="F89" s="56">
        <f>'BASE PRESUPUESTO'!O78*'PROGRAMA DE OBRA'!U83+('BASE PRESUPUESTO'!P78+'BASE PRESUPUESTO'!Q78+'BASE PRESUPUESTO'!R78)*'PROGRAMA DE OBRA'!F83</f>
        <v>0</v>
      </c>
      <c r="G89" s="56">
        <f>'BASE PRESUPUESTO'!O78*'PROGRAMA DE OBRA'!V83+('BASE PRESUPUESTO'!P78+'BASE PRESUPUESTO'!Q78+'BASE PRESUPUESTO'!R78)*'PROGRAMA DE OBRA'!G83</f>
        <v>190468.22222222202</v>
      </c>
      <c r="H89" s="56">
        <f>'BASE PRESUPUESTO'!O78*'PROGRAMA DE OBRA'!W83+('BASE PRESUPUESTO'!P78+'BASE PRESUPUESTO'!Q78+'BASE PRESUPUESTO'!R78)*'PROGRAMA DE OBRA'!H83</f>
        <v>190468.22222222202</v>
      </c>
      <c r="I89" s="56">
        <f>'BASE PRESUPUESTO'!O78*'PROGRAMA DE OBRA'!X83+('BASE PRESUPUESTO'!P78+'BASE PRESUPUESTO'!Q78+'BASE PRESUPUESTO'!R78)*'PROGRAMA DE OBRA'!I83</f>
        <v>190468.22222222202</v>
      </c>
      <c r="J89" s="56">
        <f>'BASE PRESUPUESTO'!O78*'PROGRAMA DE OBRA'!Y83+('BASE PRESUPUESTO'!P78+'BASE PRESUPUESTO'!Q78+'BASE PRESUPUESTO'!R78)*'PROGRAMA DE OBRA'!J83</f>
        <v>190468.22222222202</v>
      </c>
      <c r="K89" s="56">
        <f>'BASE PRESUPUESTO'!O78*'PROGRAMA DE OBRA'!Z83+('BASE PRESUPUESTO'!P78+'BASE PRESUPUESTO'!Q78+'BASE PRESUPUESTO'!R78)*'PROGRAMA DE OBRA'!K83</f>
        <v>190468.22222222202</v>
      </c>
      <c r="L89" s="57">
        <f t="shared" si="9"/>
        <v>952341.11111111008</v>
      </c>
      <c r="M89" s="58">
        <f t="shared" si="10"/>
        <v>0.55555555555555491</v>
      </c>
      <c r="N89" s="59">
        <f>'BASE PRESUPUESTO'!O78*SUM('PROGRAMA DE OBRA'!U83:Z83)</f>
        <v>0</v>
      </c>
      <c r="O89" s="59">
        <f>'BASE PRESUPUESTO'!P78*SUM('PROGRAMA DE OBRA'!F83:K83)</f>
        <v>0</v>
      </c>
      <c r="P89" s="59">
        <f>'BASE PRESUPUESTO'!Q78*SUM('PROGRAMA DE OBRA'!F83:K83)</f>
        <v>0</v>
      </c>
      <c r="Q89" s="59">
        <f>'BASE PRESUPUESTO'!R78*SUM('PROGRAMA DE OBRA'!F83:K83)</f>
        <v>952341.11111110996</v>
      </c>
      <c r="R89" t="s">
        <v>99</v>
      </c>
      <c r="S89" t="s">
        <v>25</v>
      </c>
    </row>
    <row r="90" spans="1:19" x14ac:dyDescent="0.3">
      <c r="A90" s="52" t="str">
        <f>'BASE PRESUPUESTO'!C79</f>
        <v>2.16</v>
      </c>
      <c r="B90" s="53" t="str">
        <f>'BASE PRESUPUESTO'!D79</f>
        <v>ACARREO MATERIALES-ESCOMBROS 10 PERS</v>
      </c>
      <c r="C90" s="52" t="str">
        <f>'BASE PRESUPUESTO'!E79</f>
        <v>HC</v>
      </c>
      <c r="D90" s="54">
        <f>'BASE PRESUPUESTO'!F79</f>
        <v>2</v>
      </c>
      <c r="E90" s="55">
        <f>'BASE PRESUPUESTO'!H79</f>
        <v>707566</v>
      </c>
      <c r="F90" s="56">
        <f>'BASE PRESUPUESTO'!O79*'PROGRAMA DE OBRA'!U84+('BASE PRESUPUESTO'!P79+'BASE PRESUPUESTO'!Q79+'BASE PRESUPUESTO'!R79)*'PROGRAMA DE OBRA'!F84</f>
        <v>0</v>
      </c>
      <c r="G90" s="56">
        <f>'BASE PRESUPUESTO'!O79*'PROGRAMA DE OBRA'!V84+('BASE PRESUPUESTO'!P79+'BASE PRESUPUESTO'!Q79+'BASE PRESUPUESTO'!R79)*'PROGRAMA DE OBRA'!G84</f>
        <v>0</v>
      </c>
      <c r="H90" s="56">
        <f>'BASE PRESUPUESTO'!O79*'PROGRAMA DE OBRA'!W84+('BASE PRESUPUESTO'!P79+'BASE PRESUPUESTO'!Q79+'BASE PRESUPUESTO'!R79)*'PROGRAMA DE OBRA'!H84</f>
        <v>0</v>
      </c>
      <c r="I90" s="56">
        <f>'BASE PRESUPUESTO'!O79*'PROGRAMA DE OBRA'!X84+('BASE PRESUPUESTO'!P79+'BASE PRESUPUESTO'!Q79+'BASE PRESUPUESTO'!R79)*'PROGRAMA DE OBRA'!I84</f>
        <v>0</v>
      </c>
      <c r="J90" s="56">
        <f>'BASE PRESUPUESTO'!O79*'PROGRAMA DE OBRA'!Y84+('BASE PRESUPUESTO'!P79+'BASE PRESUPUESTO'!Q79+'BASE PRESUPUESTO'!R79)*'PROGRAMA DE OBRA'!J84</f>
        <v>353783</v>
      </c>
      <c r="K90" s="56">
        <f>'BASE PRESUPUESTO'!O79*'PROGRAMA DE OBRA'!Z84+('BASE PRESUPUESTO'!P79+'BASE PRESUPUESTO'!Q79+'BASE PRESUPUESTO'!R79)*'PROGRAMA DE OBRA'!K84</f>
        <v>0</v>
      </c>
      <c r="L90" s="57">
        <f t="shared" si="9"/>
        <v>353783</v>
      </c>
      <c r="M90" s="58">
        <f t="shared" si="10"/>
        <v>0.5</v>
      </c>
      <c r="N90" s="59">
        <f>'BASE PRESUPUESTO'!O79*SUM('PROGRAMA DE OBRA'!U84:Z84)</f>
        <v>0</v>
      </c>
      <c r="O90" s="59">
        <f>'BASE PRESUPUESTO'!P79*SUM('PROGRAMA DE OBRA'!F84:K84)</f>
        <v>0</v>
      </c>
      <c r="P90" s="59">
        <f>'BASE PRESUPUESTO'!Q79*SUM('PROGRAMA DE OBRA'!F84:K84)</f>
        <v>0</v>
      </c>
      <c r="Q90" s="59">
        <f>'BASE PRESUPUESTO'!R79*SUM('PROGRAMA DE OBRA'!F84:K84)</f>
        <v>353783</v>
      </c>
      <c r="R90" t="s">
        <v>99</v>
      </c>
      <c r="S90" t="s">
        <v>25</v>
      </c>
    </row>
    <row r="91" spans="1:19" ht="26.4" x14ac:dyDescent="0.3">
      <c r="A91" s="52" t="str">
        <f>'BASE PRESUPUESTO'!C80</f>
        <v>2.17</v>
      </c>
      <c r="B91" s="53" t="str">
        <f>'BASE PRESUPUESTO'!D80</f>
        <v>ACARREO MATERIALES CAMPERO-CAMIONETA</v>
      </c>
      <c r="C91" s="52" t="str">
        <f>'BASE PRESUPUESTO'!E80</f>
        <v>M3-KM</v>
      </c>
      <c r="D91" s="54">
        <f>'BASE PRESUPUESTO'!F80</f>
        <v>181.10054</v>
      </c>
      <c r="E91" s="55">
        <f>'BASE PRESUPUESTO'!H80</f>
        <v>2370968</v>
      </c>
      <c r="F91" s="56">
        <f>'BASE PRESUPUESTO'!O80*'PROGRAMA DE OBRA'!U85+('BASE PRESUPUESTO'!P80+'BASE PRESUPUESTO'!Q80+'BASE PRESUPUESTO'!R80)*'PROGRAMA DE OBRA'!F85</f>
        <v>237096.80000000002</v>
      </c>
      <c r="G91" s="56">
        <f>'BASE PRESUPUESTO'!O80*'PROGRAMA DE OBRA'!V85+('BASE PRESUPUESTO'!P80+'BASE PRESUPUESTO'!Q80+'BASE PRESUPUESTO'!R80)*'PROGRAMA DE OBRA'!G85</f>
        <v>237096.80000000002</v>
      </c>
      <c r="H91" s="56">
        <f>'BASE PRESUPUESTO'!O80*'PROGRAMA DE OBRA'!W85+('BASE PRESUPUESTO'!P80+'BASE PRESUPUESTO'!Q80+'BASE PRESUPUESTO'!R80)*'PROGRAMA DE OBRA'!H85</f>
        <v>237096.80000000002</v>
      </c>
      <c r="I91" s="56">
        <f>'BASE PRESUPUESTO'!O80*'PROGRAMA DE OBRA'!X85+('BASE PRESUPUESTO'!P80+'BASE PRESUPUESTO'!Q80+'BASE PRESUPUESTO'!R80)*'PROGRAMA DE OBRA'!I85</f>
        <v>237096.80000000002</v>
      </c>
      <c r="J91" s="56">
        <f>'BASE PRESUPUESTO'!O80*'PROGRAMA DE OBRA'!Y85+('BASE PRESUPUESTO'!P80+'BASE PRESUPUESTO'!Q80+'BASE PRESUPUESTO'!R80)*'PROGRAMA DE OBRA'!J85</f>
        <v>237096.80000000002</v>
      </c>
      <c r="K91" s="56">
        <f>'BASE PRESUPUESTO'!O80*'PROGRAMA DE OBRA'!Z85+('BASE PRESUPUESTO'!P80+'BASE PRESUPUESTO'!Q80+'BASE PRESUPUESTO'!R80)*'PROGRAMA DE OBRA'!K85</f>
        <v>237096.80000000002</v>
      </c>
      <c r="L91" s="57">
        <f t="shared" si="9"/>
        <v>1422580.8</v>
      </c>
      <c r="M91" s="58">
        <f t="shared" si="10"/>
        <v>0.6</v>
      </c>
      <c r="N91" s="59">
        <f>'BASE PRESUPUESTO'!O80*SUM('PROGRAMA DE OBRA'!U85:Z85)</f>
        <v>0</v>
      </c>
      <c r="O91" s="59">
        <f>'BASE PRESUPUESTO'!P80*SUM('PROGRAMA DE OBRA'!F85:K85)</f>
        <v>0</v>
      </c>
      <c r="P91" s="59">
        <f>'BASE PRESUPUESTO'!Q80*SUM('PROGRAMA DE OBRA'!F85:K85)</f>
        <v>0</v>
      </c>
      <c r="Q91" s="59">
        <f>'BASE PRESUPUESTO'!R80*SUM('PROGRAMA DE OBRA'!F85:K85)</f>
        <v>1422580.8</v>
      </c>
      <c r="R91" t="s">
        <v>99</v>
      </c>
      <c r="S91" t="s">
        <v>25</v>
      </c>
    </row>
    <row r="92" spans="1:19" ht="19.5" customHeight="1" x14ac:dyDescent="0.3">
      <c r="A92" s="173" t="s">
        <v>107</v>
      </c>
      <c r="B92" s="173"/>
      <c r="C92" s="173"/>
      <c r="D92" s="173"/>
      <c r="E92" s="66">
        <f t="shared" ref="E92:L92" si="11">SUM(E72:E91)</f>
        <v>45479541</v>
      </c>
      <c r="F92" s="66">
        <f t="shared" si="11"/>
        <v>2573013.7999999984</v>
      </c>
      <c r="G92" s="66">
        <f t="shared" si="11"/>
        <v>5293232.9455178631</v>
      </c>
      <c r="H92" s="66">
        <f t="shared" si="11"/>
        <v>4209578.671519991</v>
      </c>
      <c r="I92" s="66">
        <f t="shared" si="11"/>
        <v>1406131.8122887798</v>
      </c>
      <c r="J92" s="66">
        <f t="shared" si="11"/>
        <v>2361360.6048776507</v>
      </c>
      <c r="K92" s="66">
        <f t="shared" si="11"/>
        <v>8511264.1774607264</v>
      </c>
      <c r="L92" s="66">
        <f t="shared" si="11"/>
        <v>24354582.011665013</v>
      </c>
      <c r="M92" s="67">
        <f t="shared" si="10"/>
        <v>0.53550632825570976</v>
      </c>
      <c r="N92" s="66">
        <f>SUM(N72:N91)</f>
        <v>13369256.87590676</v>
      </c>
      <c r="O92" s="66">
        <f>SUM(O72:O91)</f>
        <v>7651957.1009963388</v>
      </c>
      <c r="P92" s="66">
        <f>SUM(P72:P91)</f>
        <v>323161.12365080067</v>
      </c>
      <c r="Q92" s="66">
        <f>SUM(Q72:Q91)</f>
        <v>3010206.9111111099</v>
      </c>
      <c r="R92" t="s">
        <v>101</v>
      </c>
    </row>
    <row r="94" spans="1:19" ht="19.5" customHeight="1" x14ac:dyDescent="0.3">
      <c r="A94" s="174" t="s">
        <v>108</v>
      </c>
      <c r="B94" s="174"/>
      <c r="C94" s="174"/>
      <c r="D94" s="174"/>
      <c r="E94" s="174"/>
      <c r="F94" s="174"/>
      <c r="G94" s="174"/>
      <c r="H94" s="174"/>
      <c r="I94" s="174"/>
      <c r="J94" s="174"/>
      <c r="K94" s="174"/>
      <c r="L94" s="174"/>
      <c r="M94" s="174"/>
      <c r="N94" s="174"/>
      <c r="O94" s="174"/>
      <c r="P94" s="174"/>
      <c r="Q94" s="174"/>
    </row>
    <row r="95" spans="1:19" x14ac:dyDescent="0.3">
      <c r="A95" s="52" t="str">
        <f>'BASE PRESUPUESTO'!C81</f>
        <v>1.1</v>
      </c>
      <c r="B95" s="53" t="str">
        <f>'BASE PRESUPUESTO'!D81</f>
        <v>SUMINISTRO E INSTALACION DOSIFICADOR DE CLORO</v>
      </c>
      <c r="C95" s="52" t="str">
        <f>'BASE PRESUPUESTO'!E81</f>
        <v>UND</v>
      </c>
      <c r="D95" s="54">
        <f>'BASE PRESUPUESTO'!F81</f>
        <v>1</v>
      </c>
      <c r="E95" s="55">
        <f>'BASE PRESUPUESTO'!H81</f>
        <v>3000000</v>
      </c>
      <c r="F95" s="56">
        <f>'BASE PRESUPUESTO'!O81*'PROGRAMA DE OBRA'!U87+('BASE PRESUPUESTO'!P81+'BASE PRESUPUESTO'!Q81+'BASE PRESUPUESTO'!R81)*'PROGRAMA DE OBRA'!F87</f>
        <v>0</v>
      </c>
      <c r="G95" s="56">
        <f>'BASE PRESUPUESTO'!O81*'PROGRAMA DE OBRA'!V87+('BASE PRESUPUESTO'!P81+'BASE PRESUPUESTO'!Q81+'BASE PRESUPUESTO'!R81)*'PROGRAMA DE OBRA'!G87</f>
        <v>0</v>
      </c>
      <c r="H95" s="56">
        <f>'BASE PRESUPUESTO'!O81*'PROGRAMA DE OBRA'!W87+('BASE PRESUPUESTO'!P81+'BASE PRESUPUESTO'!Q81+'BASE PRESUPUESTO'!R81)*'PROGRAMA DE OBRA'!H87</f>
        <v>0</v>
      </c>
      <c r="I95" s="56">
        <f>'BASE PRESUPUESTO'!O81*'PROGRAMA DE OBRA'!X87+('BASE PRESUPUESTO'!P81+'BASE PRESUPUESTO'!Q81+'BASE PRESUPUESTO'!R81)*'PROGRAMA DE OBRA'!I87</f>
        <v>0</v>
      </c>
      <c r="J95" s="56">
        <f>'BASE PRESUPUESTO'!O81*'PROGRAMA DE OBRA'!Y87+('BASE PRESUPUESTO'!P81+'BASE PRESUPUESTO'!Q81+'BASE PRESUPUESTO'!R81)*'PROGRAMA DE OBRA'!J87</f>
        <v>2550000</v>
      </c>
      <c r="K95" s="56">
        <f>'BASE PRESUPUESTO'!O81*'PROGRAMA DE OBRA'!Z87+('BASE PRESUPUESTO'!P81+'BASE PRESUPUESTO'!Q81+'BASE PRESUPUESTO'!R81)*'PROGRAMA DE OBRA'!K87</f>
        <v>450000.00000000006</v>
      </c>
      <c r="L95" s="57">
        <f>SUM(F95:K95)</f>
        <v>3000000</v>
      </c>
      <c r="M95" s="58">
        <f>IF(E95=0,0,L95/E95)</f>
        <v>1</v>
      </c>
      <c r="N95" s="59">
        <f>'BASE PRESUPUESTO'!O81*SUM('PROGRAMA DE OBRA'!U87:Z87)</f>
        <v>2550000</v>
      </c>
      <c r="O95" s="59">
        <f>'BASE PRESUPUESTO'!P81*SUM('PROGRAMA DE OBRA'!F87:K87)</f>
        <v>420000.00000000006</v>
      </c>
      <c r="P95" s="59">
        <f>'BASE PRESUPUESTO'!Q81*SUM('PROGRAMA DE OBRA'!F87:K87)</f>
        <v>30000</v>
      </c>
      <c r="Q95" s="59">
        <f>'BASE PRESUPUESTO'!R81*SUM('PROGRAMA DE OBRA'!F87:K87)</f>
        <v>0</v>
      </c>
      <c r="R95" t="s">
        <v>99</v>
      </c>
      <c r="S95" t="s">
        <v>26</v>
      </c>
    </row>
    <row r="96" spans="1:19" ht="19.5" customHeight="1" x14ac:dyDescent="0.3">
      <c r="A96" s="175" t="s">
        <v>109</v>
      </c>
      <c r="B96" s="175"/>
      <c r="C96" s="175"/>
      <c r="D96" s="175"/>
      <c r="E96" s="68">
        <f t="shared" ref="E96:L96" si="12">SUM(E95:E95)</f>
        <v>3000000</v>
      </c>
      <c r="F96" s="68">
        <f t="shared" si="12"/>
        <v>0</v>
      </c>
      <c r="G96" s="68">
        <f t="shared" si="12"/>
        <v>0</v>
      </c>
      <c r="H96" s="68">
        <f t="shared" si="12"/>
        <v>0</v>
      </c>
      <c r="I96" s="68">
        <f t="shared" si="12"/>
        <v>0</v>
      </c>
      <c r="J96" s="68">
        <f t="shared" si="12"/>
        <v>2550000</v>
      </c>
      <c r="K96" s="68">
        <f t="shared" si="12"/>
        <v>450000.00000000006</v>
      </c>
      <c r="L96" s="68">
        <f t="shared" si="12"/>
        <v>3000000</v>
      </c>
      <c r="M96" s="69">
        <f>IF(E96=0,0,L96/E96)</f>
        <v>1</v>
      </c>
      <c r="N96" s="68">
        <f>SUM(N95:N95)</f>
        <v>2550000</v>
      </c>
      <c r="O96" s="68">
        <f>SUM(O95:O95)</f>
        <v>420000.00000000006</v>
      </c>
      <c r="P96" s="68">
        <f>SUM(P95:P95)</f>
        <v>30000</v>
      </c>
      <c r="Q96" s="68">
        <f>SUM(Q95:Q95)</f>
        <v>0</v>
      </c>
      <c r="R96" t="s">
        <v>101</v>
      </c>
    </row>
    <row r="98" spans="1:19" ht="19.5" customHeight="1" x14ac:dyDescent="0.3">
      <c r="A98" s="176" t="s">
        <v>110</v>
      </c>
      <c r="B98" s="176"/>
      <c r="C98" s="176"/>
      <c r="D98" s="176"/>
      <c r="E98" s="176"/>
      <c r="F98" s="176"/>
      <c r="G98" s="176"/>
      <c r="H98" s="176"/>
      <c r="I98" s="176"/>
      <c r="J98" s="176"/>
      <c r="K98" s="176"/>
      <c r="L98" s="176"/>
      <c r="M98" s="176"/>
      <c r="N98" s="176"/>
      <c r="O98" s="176"/>
      <c r="P98" s="176"/>
      <c r="Q98" s="176"/>
    </row>
    <row r="99" spans="1:19" x14ac:dyDescent="0.3">
      <c r="A99" s="52" t="str">
        <f>'BASE PRESUPUESTO'!C82</f>
        <v>1.1</v>
      </c>
      <c r="B99" s="53" t="str">
        <f>'BASE PRESUPUESTO'!D82</f>
        <v>LOCALIZACION-REPLANTEO ACUEDUCTO-ALCANTARILLADO</v>
      </c>
      <c r="C99" s="52" t="str">
        <f>'BASE PRESUPUESTO'!E82</f>
        <v>ML</v>
      </c>
      <c r="D99" s="54">
        <f>'BASE PRESUPUESTO'!F82</f>
        <v>244</v>
      </c>
      <c r="E99" s="55">
        <f>'BASE PRESUPUESTO'!H82</f>
        <v>660508</v>
      </c>
      <c r="F99" s="56">
        <f>'BASE PRESUPUESTO'!O82*'PROGRAMA DE OBRA'!U89+('BASE PRESUPUESTO'!P82+'BASE PRESUPUESTO'!Q82+'BASE PRESUPUESTO'!R82)*'PROGRAMA DE OBRA'!F89</f>
        <v>0</v>
      </c>
      <c r="G99" s="56">
        <f>'BASE PRESUPUESTO'!O82*'PROGRAMA DE OBRA'!V89+('BASE PRESUPUESTO'!P82+'BASE PRESUPUESTO'!Q82+'BASE PRESUPUESTO'!R82)*'PROGRAMA DE OBRA'!G89</f>
        <v>0</v>
      </c>
      <c r="H99" s="56">
        <f>'BASE PRESUPUESTO'!O82*'PROGRAMA DE OBRA'!W89+('BASE PRESUPUESTO'!P82+'BASE PRESUPUESTO'!Q82+'BASE PRESUPUESTO'!R82)*'PROGRAMA DE OBRA'!H89</f>
        <v>108830.43253387719</v>
      </c>
      <c r="I99" s="56">
        <f>'BASE PRESUPUESTO'!O82*'PROGRAMA DE OBRA'!X89+('BASE PRESUPUESTO'!P82+'BASE PRESUPUESTO'!Q82+'BASE PRESUPUESTO'!R82)*'PROGRAMA DE OBRA'!I89</f>
        <v>551677.5674661228</v>
      </c>
      <c r="J99" s="56">
        <f>'BASE PRESUPUESTO'!O82*'PROGRAMA DE OBRA'!Y89+('BASE PRESUPUESTO'!P82+'BASE PRESUPUESTO'!Q82+'BASE PRESUPUESTO'!R82)*'PROGRAMA DE OBRA'!J89</f>
        <v>0</v>
      </c>
      <c r="K99" s="56">
        <f>'BASE PRESUPUESTO'!O82*'PROGRAMA DE OBRA'!Z89+('BASE PRESUPUESTO'!P82+'BASE PRESUPUESTO'!Q82+'BASE PRESUPUESTO'!R82)*'PROGRAMA DE OBRA'!K89</f>
        <v>0</v>
      </c>
      <c r="L99" s="57">
        <f t="shared" ref="L99:L113" si="13">SUM(F99:K99)</f>
        <v>660508</v>
      </c>
      <c r="M99" s="58">
        <f t="shared" ref="M99:M114" si="14">IF(E99=0,0,L99/E99)</f>
        <v>1</v>
      </c>
      <c r="N99" s="59">
        <f>'BASE PRESUPUESTO'!O82*SUM('PROGRAMA DE OBRA'!U89:Z89)</f>
        <v>108830.43253387719</v>
      </c>
      <c r="O99" s="59">
        <f>'BASE PRESUPUESTO'!P82*SUM('PROGRAMA DE OBRA'!F89:K89)</f>
        <v>463832.3752863119</v>
      </c>
      <c r="P99" s="59">
        <f>'BASE PRESUPUESTO'!Q82*SUM('PROGRAMA DE OBRA'!F89:K89)</f>
        <v>87845.192179810896</v>
      </c>
      <c r="Q99" s="59">
        <f>'BASE PRESUPUESTO'!R82*SUM('PROGRAMA DE OBRA'!F89:K89)</f>
        <v>0</v>
      </c>
      <c r="R99" t="s">
        <v>99</v>
      </c>
      <c r="S99" t="s">
        <v>27</v>
      </c>
    </row>
    <row r="100" spans="1:19" x14ac:dyDescent="0.3">
      <c r="A100" s="52" t="str">
        <f>'BASE PRESUPUESTO'!C83</f>
        <v>1.2</v>
      </c>
      <c r="B100" s="53" t="str">
        <f>'BASE PRESUPUESTO'!D83</f>
        <v>EXCAVACION EN CONGLOMERADO (MANUAL)</v>
      </c>
      <c r="C100" s="52" t="str">
        <f>'BASE PRESUPUESTO'!E83</f>
        <v>M3</v>
      </c>
      <c r="D100" s="54">
        <f>'BASE PRESUPUESTO'!F83</f>
        <v>96.6</v>
      </c>
      <c r="E100" s="55">
        <f>'BASE PRESUPUESTO'!H83</f>
        <v>4518465</v>
      </c>
      <c r="F100" s="56">
        <f>'BASE PRESUPUESTO'!O83*'PROGRAMA DE OBRA'!U90+('BASE PRESUPUESTO'!P83+'BASE PRESUPUESTO'!Q83+'BASE PRESUPUESTO'!R83)*'PROGRAMA DE OBRA'!F90</f>
        <v>0</v>
      </c>
      <c r="G100" s="56">
        <f>'BASE PRESUPUESTO'!O83*'PROGRAMA DE OBRA'!V90+('BASE PRESUPUESTO'!P83+'BASE PRESUPUESTO'!Q83+'BASE PRESUPUESTO'!R83)*'PROGRAMA DE OBRA'!G90</f>
        <v>0</v>
      </c>
      <c r="H100" s="56">
        <f>'BASE PRESUPUESTO'!O83*'PROGRAMA DE OBRA'!W90+('BASE PRESUPUESTO'!P83+'BASE PRESUPUESTO'!Q83+'BASE PRESUPUESTO'!R83)*'PROGRAMA DE OBRA'!H90</f>
        <v>0</v>
      </c>
      <c r="I100" s="56">
        <f>'BASE PRESUPUESTO'!O83*'PROGRAMA DE OBRA'!X90+('BASE PRESUPUESTO'!P83+'BASE PRESUPUESTO'!Q83+'BASE PRESUPUESTO'!R83)*'PROGRAMA DE OBRA'!I90</f>
        <v>1506154.9999999981</v>
      </c>
      <c r="J100" s="56">
        <f>'BASE PRESUPUESTO'!O83*'PROGRAMA DE OBRA'!Y90+('BASE PRESUPUESTO'!P83+'BASE PRESUPUESTO'!Q83+'BASE PRESUPUESTO'!R83)*'PROGRAMA DE OBRA'!J90</f>
        <v>1506154.9999999981</v>
      </c>
      <c r="K100" s="56">
        <f>'BASE PRESUPUESTO'!O83*'PROGRAMA DE OBRA'!Z90+('BASE PRESUPUESTO'!P83+'BASE PRESUPUESTO'!Q83+'BASE PRESUPUESTO'!R83)*'PROGRAMA DE OBRA'!K90</f>
        <v>1506154.9999999981</v>
      </c>
      <c r="L100" s="57">
        <f t="shared" si="13"/>
        <v>4518464.9999999944</v>
      </c>
      <c r="M100" s="58">
        <f t="shared" si="14"/>
        <v>0.99999999999999878</v>
      </c>
      <c r="N100" s="59">
        <f>'BASE PRESUPUESTO'!O83*SUM('PROGRAMA DE OBRA'!U90:Z90)</f>
        <v>0</v>
      </c>
      <c r="O100" s="59">
        <f>'BASE PRESUPUESTO'!P83*SUM('PROGRAMA DE OBRA'!F90:K90)</f>
        <v>4365736.1428777091</v>
      </c>
      <c r="P100" s="59">
        <f>'BASE PRESUPUESTO'!Q83*SUM('PROGRAMA DE OBRA'!F90:K90)</f>
        <v>152728.85712228526</v>
      </c>
      <c r="Q100" s="59">
        <f>'BASE PRESUPUESTO'!R83*SUM('PROGRAMA DE OBRA'!F90:K90)</f>
        <v>0</v>
      </c>
      <c r="R100" t="s">
        <v>99</v>
      </c>
      <c r="S100" t="s">
        <v>27</v>
      </c>
    </row>
    <row r="101" spans="1:19" x14ac:dyDescent="0.3">
      <c r="A101" s="52" t="str">
        <f>'BASE PRESUPUESTO'!C84</f>
        <v>1.3</v>
      </c>
      <c r="B101" s="53" t="str">
        <f>'BASE PRESUPUESTO'!D84</f>
        <v>BODEGAJE</v>
      </c>
      <c r="C101" s="52" t="str">
        <f>'BASE PRESUPUESTO'!E84</f>
        <v>MES</v>
      </c>
      <c r="D101" s="54">
        <f>'BASE PRESUPUESTO'!F84</f>
        <v>1</v>
      </c>
      <c r="E101" s="55">
        <f>'BASE PRESUPUESTO'!H84</f>
        <v>187668</v>
      </c>
      <c r="F101" s="56">
        <f>'BASE PRESUPUESTO'!O84*'PROGRAMA DE OBRA'!U91+('BASE PRESUPUESTO'!P84+'BASE PRESUPUESTO'!Q84+'BASE PRESUPUESTO'!R84)*'PROGRAMA DE OBRA'!F91</f>
        <v>0</v>
      </c>
      <c r="G101" s="56">
        <f>'BASE PRESUPUESTO'!O84*'PROGRAMA DE OBRA'!V91+('BASE PRESUPUESTO'!P84+'BASE PRESUPUESTO'!Q84+'BASE PRESUPUESTO'!R84)*'PROGRAMA DE OBRA'!G91</f>
        <v>0</v>
      </c>
      <c r="H101" s="56">
        <f>'BASE PRESUPUESTO'!O84*'PROGRAMA DE OBRA'!W91+('BASE PRESUPUESTO'!P84+'BASE PRESUPUESTO'!Q84+'BASE PRESUPUESTO'!R84)*'PROGRAMA DE OBRA'!H91</f>
        <v>0</v>
      </c>
      <c r="I101" s="56">
        <f>'BASE PRESUPUESTO'!O84*'PROGRAMA DE OBRA'!X91+('BASE PRESUPUESTO'!P84+'BASE PRESUPUESTO'!Q84+'BASE PRESUPUESTO'!R84)*'PROGRAMA DE OBRA'!I91</f>
        <v>37533.599999999999</v>
      </c>
      <c r="J101" s="56">
        <f>'BASE PRESUPUESTO'!O84*'PROGRAMA DE OBRA'!Y91+('BASE PRESUPUESTO'!P84+'BASE PRESUPUESTO'!Q84+'BASE PRESUPUESTO'!R84)*'PROGRAMA DE OBRA'!J91</f>
        <v>37533.599999999999</v>
      </c>
      <c r="K101" s="56">
        <f>'BASE PRESUPUESTO'!O84*'PROGRAMA DE OBRA'!Z91+('BASE PRESUPUESTO'!P84+'BASE PRESUPUESTO'!Q84+'BASE PRESUPUESTO'!R84)*'PROGRAMA DE OBRA'!K91</f>
        <v>37533.599999999999</v>
      </c>
      <c r="L101" s="57">
        <f t="shared" si="13"/>
        <v>112600.79999999999</v>
      </c>
      <c r="M101" s="58">
        <f t="shared" si="14"/>
        <v>0.6</v>
      </c>
      <c r="N101" s="59">
        <f>'BASE PRESUPUESTO'!O84*SUM('PROGRAMA DE OBRA'!U91:Z91)</f>
        <v>0</v>
      </c>
      <c r="O101" s="59">
        <f>'BASE PRESUPUESTO'!P84*SUM('PROGRAMA DE OBRA'!F91:K91)</f>
        <v>0</v>
      </c>
      <c r="P101" s="59">
        <f>'BASE PRESUPUESTO'!Q84*SUM('PROGRAMA DE OBRA'!F91:K91)</f>
        <v>0</v>
      </c>
      <c r="Q101" s="59">
        <f>'BASE PRESUPUESTO'!R84*SUM('PROGRAMA DE OBRA'!F91:K91)</f>
        <v>112600.80000000002</v>
      </c>
      <c r="R101" t="s">
        <v>99</v>
      </c>
      <c r="S101" t="s">
        <v>27</v>
      </c>
    </row>
    <row r="102" spans="1:19" x14ac:dyDescent="0.3">
      <c r="A102" s="52" t="str">
        <f>'BASE PRESUPUESTO'!C85</f>
        <v>2.1</v>
      </c>
      <c r="B102" s="53" t="str">
        <f>'BASE PRESUPUESTO'!D85</f>
        <v>ADECUACION  BOCATOMA EXISTENTE, INSTALACION DE REJILLA 40 X70</v>
      </c>
      <c r="C102" s="52" t="str">
        <f>'BASE PRESUPUESTO'!E85</f>
        <v>GLB</v>
      </c>
      <c r="D102" s="54">
        <f>'BASE PRESUPUESTO'!F85</f>
        <v>1</v>
      </c>
      <c r="E102" s="55">
        <f>'BASE PRESUPUESTO'!H85</f>
        <v>2456747</v>
      </c>
      <c r="F102" s="56">
        <f>'BASE PRESUPUESTO'!O85*'PROGRAMA DE OBRA'!U92+('BASE PRESUPUESTO'!P85+'BASE PRESUPUESTO'!Q85+'BASE PRESUPUESTO'!R85)*'PROGRAMA DE OBRA'!F92</f>
        <v>0</v>
      </c>
      <c r="G102" s="56">
        <f>'BASE PRESUPUESTO'!O85*'PROGRAMA DE OBRA'!V92+('BASE PRESUPUESTO'!P85+'BASE PRESUPUESTO'!Q85+'BASE PRESUPUESTO'!R85)*'PROGRAMA DE OBRA'!G92</f>
        <v>0</v>
      </c>
      <c r="H102" s="56">
        <f>'BASE PRESUPUESTO'!O85*'PROGRAMA DE OBRA'!W92+('BASE PRESUPUESTO'!P85+'BASE PRESUPUESTO'!Q85+'BASE PRESUPUESTO'!R85)*'PROGRAMA DE OBRA'!H92</f>
        <v>0</v>
      </c>
      <c r="I102" s="56">
        <f>'BASE PRESUPUESTO'!O85*'PROGRAMA DE OBRA'!X92+('BASE PRESUPUESTO'!P85+'BASE PRESUPUESTO'!Q85+'BASE PRESUPUESTO'!R85)*'PROGRAMA DE OBRA'!I92</f>
        <v>1195386.7740921234</v>
      </c>
      <c r="J102" s="56">
        <f>'BASE PRESUPUESTO'!O85*'PROGRAMA DE OBRA'!Y92+('BASE PRESUPUESTO'!P85+'BASE PRESUPUESTO'!Q85+'BASE PRESUPUESTO'!R85)*'PROGRAMA DE OBRA'!J92</f>
        <v>1261360.2259078776</v>
      </c>
      <c r="K102" s="56">
        <f>'BASE PRESUPUESTO'!O85*'PROGRAMA DE OBRA'!Z92+('BASE PRESUPUESTO'!P85+'BASE PRESUPUESTO'!Q85+'BASE PRESUPUESTO'!R85)*'PROGRAMA DE OBRA'!K92</f>
        <v>0</v>
      </c>
      <c r="L102" s="57">
        <f t="shared" si="13"/>
        <v>2456747.0000000009</v>
      </c>
      <c r="M102" s="58">
        <f t="shared" si="14"/>
        <v>1.0000000000000004</v>
      </c>
      <c r="N102" s="59">
        <f>'BASE PRESUPUESTO'!O85*SUM('PROGRAMA DE OBRA'!U92:Z92)</f>
        <v>1195386.7740921234</v>
      </c>
      <c r="O102" s="59">
        <f>'BASE PRESUPUESTO'!P85*SUM('PROGRAMA DE OBRA'!F92:K92)</f>
        <v>1254600.2246971705</v>
      </c>
      <c r="P102" s="59">
        <f>'BASE PRESUPUESTO'!Q85*SUM('PROGRAMA DE OBRA'!F92:K92)</f>
        <v>6760.0012107068942</v>
      </c>
      <c r="Q102" s="59">
        <f>'BASE PRESUPUESTO'!R85*SUM('PROGRAMA DE OBRA'!F92:K92)</f>
        <v>0</v>
      </c>
      <c r="R102" t="s">
        <v>99</v>
      </c>
      <c r="S102" t="s">
        <v>27</v>
      </c>
    </row>
    <row r="103" spans="1:19" x14ac:dyDescent="0.3">
      <c r="A103" s="52" t="str">
        <f>'BASE PRESUPUESTO'!C86</f>
        <v>2.2</v>
      </c>
      <c r="B103" s="53" t="str">
        <f>'BASE PRESUPUESTO'!D86</f>
        <v>CONSTRUCCION BOCATOMA TIPO REPRESA CON REJILLA DE 40 X 80</v>
      </c>
      <c r="C103" s="52" t="str">
        <f>'BASE PRESUPUESTO'!E86</f>
        <v>UND</v>
      </c>
      <c r="D103" s="54">
        <f>'BASE PRESUPUESTO'!F86</f>
        <v>1</v>
      </c>
      <c r="E103" s="55">
        <f>'BASE PRESUPUESTO'!H86</f>
        <v>6719753</v>
      </c>
      <c r="F103" s="56">
        <f>'BASE PRESUPUESTO'!O86*'PROGRAMA DE OBRA'!U93+('BASE PRESUPUESTO'!P86+'BASE PRESUPUESTO'!Q86+'BASE PRESUPUESTO'!R86)*'PROGRAMA DE OBRA'!F93</f>
        <v>0</v>
      </c>
      <c r="G103" s="56">
        <f>'BASE PRESUPUESTO'!O86*'PROGRAMA DE OBRA'!V93+('BASE PRESUPUESTO'!P86+'BASE PRESUPUESTO'!Q86+'BASE PRESUPUESTO'!R86)*'PROGRAMA DE OBRA'!G93</f>
        <v>0</v>
      </c>
      <c r="H103" s="56">
        <f>'BASE PRESUPUESTO'!O86*'PROGRAMA DE OBRA'!W93+('BASE PRESUPUESTO'!P86+'BASE PRESUPUESTO'!Q86+'BASE PRESUPUESTO'!R86)*'PROGRAMA DE OBRA'!H93</f>
        <v>0</v>
      </c>
      <c r="I103" s="56">
        <f>'BASE PRESUPUESTO'!O86*'PROGRAMA DE OBRA'!X93+('BASE PRESUPUESTO'!P86+'BASE PRESUPUESTO'!Q86+'BASE PRESUPUESTO'!R86)*'PROGRAMA DE OBRA'!I93</f>
        <v>0</v>
      </c>
      <c r="J103" s="56">
        <f>'BASE PRESUPUESTO'!O86*'PROGRAMA DE OBRA'!Y93+('BASE PRESUPUESTO'!P86+'BASE PRESUPUESTO'!Q86+'BASE PRESUPUESTO'!R86)*'PROGRAMA DE OBRA'!J93</f>
        <v>4203792.8539790902</v>
      </c>
      <c r="K103" s="56">
        <f>'BASE PRESUPUESTO'!O86*'PROGRAMA DE OBRA'!Z93+('BASE PRESUPUESTO'!P86+'BASE PRESUPUESTO'!Q86+'BASE PRESUPUESTO'!R86)*'PROGRAMA DE OBRA'!K93</f>
        <v>838653.38200697058</v>
      </c>
      <c r="L103" s="57">
        <f t="shared" si="13"/>
        <v>5042446.2359860605</v>
      </c>
      <c r="M103" s="58">
        <f t="shared" si="14"/>
        <v>0.75039160457029608</v>
      </c>
      <c r="N103" s="59">
        <f>'BASE PRESUPUESTO'!O86*SUM('PROGRAMA DE OBRA'!U93:Z93)</f>
        <v>4203792.8539790902</v>
      </c>
      <c r="O103" s="59">
        <f>'BASE PRESUPUESTO'!P86*SUM('PROGRAMA DE OBRA'!F93:K93)</f>
        <v>836400.04854285857</v>
      </c>
      <c r="P103" s="59">
        <f>'BASE PRESUPUESTO'!Q86*SUM('PROGRAMA DE OBRA'!F93:K93)</f>
        <v>2253.3334641119668</v>
      </c>
      <c r="Q103" s="59">
        <f>'BASE PRESUPUESTO'!R86*SUM('PROGRAMA DE OBRA'!F93:K93)</f>
        <v>0</v>
      </c>
      <c r="R103" t="s">
        <v>99</v>
      </c>
      <c r="S103" t="s">
        <v>27</v>
      </c>
    </row>
    <row r="104" spans="1:19" x14ac:dyDescent="0.3">
      <c r="A104" s="52" t="str">
        <f>'BASE PRESUPUESTO'!C87</f>
        <v>2.3</v>
      </c>
      <c r="B104" s="53" t="str">
        <f>'BASE PRESUPUESTO'!D87</f>
        <v>CONEXIÓN CON TUBERIA PVC RDE 21 DE 2" ENTRE BOCATOMA Y DESARENADOR</v>
      </c>
      <c r="C104" s="52" t="str">
        <f>'BASE PRESUPUESTO'!E87</f>
        <v>ML</v>
      </c>
      <c r="D104" s="54">
        <f>'BASE PRESUPUESTO'!F87</f>
        <v>44</v>
      </c>
      <c r="E104" s="55">
        <f>'BASE PRESUPUESTO'!H87</f>
        <v>1367388</v>
      </c>
      <c r="F104" s="56">
        <f>'BASE PRESUPUESTO'!O87*'PROGRAMA DE OBRA'!U94+('BASE PRESUPUESTO'!P87+'BASE PRESUPUESTO'!Q87+'BASE PRESUPUESTO'!R87)*'PROGRAMA DE OBRA'!F94</f>
        <v>0</v>
      </c>
      <c r="G104" s="56">
        <f>'BASE PRESUPUESTO'!O87*'PROGRAMA DE OBRA'!V94+('BASE PRESUPUESTO'!P87+'BASE PRESUPUESTO'!Q87+'BASE PRESUPUESTO'!R87)*'PROGRAMA DE OBRA'!G94</f>
        <v>0</v>
      </c>
      <c r="H104" s="56">
        <f>'BASE PRESUPUESTO'!O87*'PROGRAMA DE OBRA'!W94+('BASE PRESUPUESTO'!P87+'BASE PRESUPUESTO'!Q87+'BASE PRESUPUESTO'!R87)*'PROGRAMA DE OBRA'!H94</f>
        <v>0</v>
      </c>
      <c r="I104" s="56">
        <f>'BASE PRESUPUESTO'!O87*'PROGRAMA DE OBRA'!X94+('BASE PRESUPUESTO'!P87+'BASE PRESUPUESTO'!Q87+'BASE PRESUPUESTO'!R87)*'PROGRAMA DE OBRA'!I94</f>
        <v>0</v>
      </c>
      <c r="J104" s="56">
        <f>'BASE PRESUPUESTO'!O87*'PROGRAMA DE OBRA'!Y94+('BASE PRESUPUESTO'!P87+'BASE PRESUPUESTO'!Q87+'BASE PRESUPUESTO'!R87)*'PROGRAMA DE OBRA'!J94</f>
        <v>0</v>
      </c>
      <c r="K104" s="56">
        <f>'BASE PRESUPUESTO'!O87*'PROGRAMA DE OBRA'!Z94+('BASE PRESUPUESTO'!P87+'BASE PRESUPUESTO'!Q87+'BASE PRESUPUESTO'!R87)*'PROGRAMA DE OBRA'!K94</f>
        <v>0</v>
      </c>
      <c r="L104" s="57">
        <f t="shared" si="13"/>
        <v>0</v>
      </c>
      <c r="M104" s="58">
        <f t="shared" si="14"/>
        <v>0</v>
      </c>
      <c r="N104" s="59">
        <f>'BASE PRESUPUESTO'!O87*SUM('PROGRAMA DE OBRA'!U94:Z94)</f>
        <v>0</v>
      </c>
      <c r="O104" s="59">
        <f>'BASE PRESUPUESTO'!P87*SUM('PROGRAMA DE OBRA'!F94:K94)</f>
        <v>0</v>
      </c>
      <c r="P104" s="59">
        <f>'BASE PRESUPUESTO'!Q87*SUM('PROGRAMA DE OBRA'!F94:K94)</f>
        <v>0</v>
      </c>
      <c r="Q104" s="59">
        <f>'BASE PRESUPUESTO'!R87*SUM('PROGRAMA DE OBRA'!F94:K94)</f>
        <v>0</v>
      </c>
      <c r="R104" t="s">
        <v>99</v>
      </c>
      <c r="S104" t="s">
        <v>27</v>
      </c>
    </row>
    <row r="105" spans="1:19" x14ac:dyDescent="0.3">
      <c r="A105" s="52" t="str">
        <f>'BASE PRESUPUESTO'!C88</f>
        <v>2.4</v>
      </c>
      <c r="B105" s="53" t="str">
        <f>'BASE PRESUPUESTO'!D88</f>
        <v>ACCESORIOS Y VALVULAS DE 2" PARA CONEXIÓN BOCATOMA - DESARENADOR</v>
      </c>
      <c r="C105" s="52" t="str">
        <f>'BASE PRESUPUESTO'!E88</f>
        <v>GLB</v>
      </c>
      <c r="D105" s="54">
        <f>'BASE PRESUPUESTO'!F88</f>
        <v>1</v>
      </c>
      <c r="E105" s="55">
        <f>'BASE PRESUPUESTO'!H88</f>
        <v>851487</v>
      </c>
      <c r="F105" s="56">
        <f>'BASE PRESUPUESTO'!O88*'PROGRAMA DE OBRA'!U95+('BASE PRESUPUESTO'!P88+'BASE PRESUPUESTO'!Q88+'BASE PRESUPUESTO'!R88)*'PROGRAMA DE OBRA'!F95</f>
        <v>0</v>
      </c>
      <c r="G105" s="56">
        <f>'BASE PRESUPUESTO'!O88*'PROGRAMA DE OBRA'!V95+('BASE PRESUPUESTO'!P88+'BASE PRESUPUESTO'!Q88+'BASE PRESUPUESTO'!R88)*'PROGRAMA DE OBRA'!G95</f>
        <v>0</v>
      </c>
      <c r="H105" s="56">
        <f>'BASE PRESUPUESTO'!O88*'PROGRAMA DE OBRA'!W95+('BASE PRESUPUESTO'!P88+'BASE PRESUPUESTO'!Q88+'BASE PRESUPUESTO'!R88)*'PROGRAMA DE OBRA'!H95</f>
        <v>0</v>
      </c>
      <c r="I105" s="56">
        <f>'BASE PRESUPUESTO'!O88*'PROGRAMA DE OBRA'!X95+('BASE PRESUPUESTO'!P88+'BASE PRESUPUESTO'!Q88+'BASE PRESUPUESTO'!R88)*'PROGRAMA DE OBRA'!I95</f>
        <v>0</v>
      </c>
      <c r="J105" s="56">
        <f>'BASE PRESUPUESTO'!O88*'PROGRAMA DE OBRA'!Y95+('BASE PRESUPUESTO'!P88+'BASE PRESUPUESTO'!Q88+'BASE PRESUPUESTO'!R88)*'PROGRAMA DE OBRA'!J95</f>
        <v>0</v>
      </c>
      <c r="K105" s="56">
        <f>'BASE PRESUPUESTO'!O88*'PROGRAMA DE OBRA'!Z95+('BASE PRESUPUESTO'!P88+'BASE PRESUPUESTO'!Q88+'BASE PRESUPUESTO'!R88)*'PROGRAMA DE OBRA'!K95</f>
        <v>0</v>
      </c>
      <c r="L105" s="57">
        <f t="shared" si="13"/>
        <v>0</v>
      </c>
      <c r="M105" s="58">
        <f t="shared" si="14"/>
        <v>0</v>
      </c>
      <c r="N105" s="59">
        <f>'BASE PRESUPUESTO'!O88*SUM('PROGRAMA DE OBRA'!U95:Z95)</f>
        <v>0</v>
      </c>
      <c r="O105" s="59">
        <f>'BASE PRESUPUESTO'!P88*SUM('PROGRAMA DE OBRA'!F95:K95)</f>
        <v>0</v>
      </c>
      <c r="P105" s="59">
        <f>'BASE PRESUPUESTO'!Q88*SUM('PROGRAMA DE OBRA'!F95:K95)</f>
        <v>0</v>
      </c>
      <c r="Q105" s="59">
        <f>'BASE PRESUPUESTO'!R88*SUM('PROGRAMA DE OBRA'!F95:K95)</f>
        <v>0</v>
      </c>
      <c r="R105" t="s">
        <v>99</v>
      </c>
      <c r="S105" t="s">
        <v>27</v>
      </c>
    </row>
    <row r="106" spans="1:19" x14ac:dyDescent="0.3">
      <c r="A106" s="52" t="str">
        <f>'BASE PRESUPUESTO'!C89</f>
        <v>2.5</v>
      </c>
      <c r="B106" s="53" t="str">
        <f>'BASE PRESUPUESTO'!D89</f>
        <v>COLCHON ARENA GRUESA E=5-7CM</v>
      </c>
      <c r="C106" s="52" t="str">
        <f>'BASE PRESUPUESTO'!E89</f>
        <v>M3</v>
      </c>
      <c r="D106" s="54">
        <f>'BASE PRESUPUESTO'!F89</f>
        <v>2.8</v>
      </c>
      <c r="E106" s="55">
        <f>'BASE PRESUPUESTO'!H89</f>
        <v>203734</v>
      </c>
      <c r="F106" s="56">
        <f>'BASE PRESUPUESTO'!O89*'PROGRAMA DE OBRA'!U96+('BASE PRESUPUESTO'!P89+'BASE PRESUPUESTO'!Q89+'BASE PRESUPUESTO'!R89)*'PROGRAMA DE OBRA'!F96</f>
        <v>0</v>
      </c>
      <c r="G106" s="56">
        <f>'BASE PRESUPUESTO'!O89*'PROGRAMA DE OBRA'!V96+('BASE PRESUPUESTO'!P89+'BASE PRESUPUESTO'!Q89+'BASE PRESUPUESTO'!R89)*'PROGRAMA DE OBRA'!G96</f>
        <v>0</v>
      </c>
      <c r="H106" s="56">
        <f>'BASE PRESUPUESTO'!O89*'PROGRAMA DE OBRA'!W96+('BASE PRESUPUESTO'!P89+'BASE PRESUPUESTO'!Q89+'BASE PRESUPUESTO'!R89)*'PROGRAMA DE OBRA'!H96</f>
        <v>0</v>
      </c>
      <c r="I106" s="56">
        <f>'BASE PRESUPUESTO'!O89*'PROGRAMA DE OBRA'!X96+('BASE PRESUPUESTO'!P89+'BASE PRESUPUESTO'!Q89+'BASE PRESUPUESTO'!R89)*'PROGRAMA DE OBRA'!I96</f>
        <v>0</v>
      </c>
      <c r="J106" s="56">
        <f>'BASE PRESUPUESTO'!O89*'PROGRAMA DE OBRA'!Y96+('BASE PRESUPUESTO'!P89+'BASE PRESUPUESTO'!Q89+'BASE PRESUPUESTO'!R89)*'PROGRAMA DE OBRA'!J96</f>
        <v>0</v>
      </c>
      <c r="K106" s="56">
        <f>'BASE PRESUPUESTO'!O89*'PROGRAMA DE OBRA'!Z96+('BASE PRESUPUESTO'!P89+'BASE PRESUPUESTO'!Q89+'BASE PRESUPUESTO'!R89)*'PROGRAMA DE OBRA'!K96</f>
        <v>0</v>
      </c>
      <c r="L106" s="57">
        <f t="shared" si="13"/>
        <v>0</v>
      </c>
      <c r="M106" s="58">
        <f t="shared" si="14"/>
        <v>0</v>
      </c>
      <c r="N106" s="59">
        <f>'BASE PRESUPUESTO'!O89*SUM('PROGRAMA DE OBRA'!U96:Z96)</f>
        <v>0</v>
      </c>
      <c r="O106" s="59">
        <f>'BASE PRESUPUESTO'!P89*SUM('PROGRAMA DE OBRA'!F96:K96)</f>
        <v>0</v>
      </c>
      <c r="P106" s="59">
        <f>'BASE PRESUPUESTO'!Q89*SUM('PROGRAMA DE OBRA'!F96:K96)</f>
        <v>0</v>
      </c>
      <c r="Q106" s="59">
        <f>'BASE PRESUPUESTO'!R89*SUM('PROGRAMA DE OBRA'!F96:K96)</f>
        <v>0</v>
      </c>
      <c r="R106" t="s">
        <v>99</v>
      </c>
      <c r="S106" t="s">
        <v>27</v>
      </c>
    </row>
    <row r="107" spans="1:19" x14ac:dyDescent="0.3">
      <c r="A107" s="52" t="str">
        <f>'BASE PRESUPUESTO'!C90</f>
        <v>2.6</v>
      </c>
      <c r="B107" s="53" t="str">
        <f>'BASE PRESUPUESTO'!D90</f>
        <v>TUBERIA PVC RED 21 DIAMETRO 2"</v>
      </c>
      <c r="C107" s="52" t="str">
        <f>'BASE PRESUPUESTO'!E90</f>
        <v>ML</v>
      </c>
      <c r="D107" s="54">
        <f>'BASE PRESUPUESTO'!F90</f>
        <v>200</v>
      </c>
      <c r="E107" s="55">
        <f>'BASE PRESUPUESTO'!H90</f>
        <v>6215400</v>
      </c>
      <c r="F107" s="56">
        <f>'BASE PRESUPUESTO'!O90*'PROGRAMA DE OBRA'!U97+('BASE PRESUPUESTO'!P90+'BASE PRESUPUESTO'!Q90+'BASE PRESUPUESTO'!R90)*'PROGRAMA DE OBRA'!F97</f>
        <v>0</v>
      </c>
      <c r="G107" s="56">
        <f>'BASE PRESUPUESTO'!O90*'PROGRAMA DE OBRA'!V97+('BASE PRESUPUESTO'!P90+'BASE PRESUPUESTO'!Q90+'BASE PRESUPUESTO'!R90)*'PROGRAMA DE OBRA'!G97</f>
        <v>0</v>
      </c>
      <c r="H107" s="56">
        <f>'BASE PRESUPUESTO'!O90*'PROGRAMA DE OBRA'!W97+('BASE PRESUPUESTO'!P90+'BASE PRESUPUESTO'!Q90+'BASE PRESUPUESTO'!R90)*'PROGRAMA DE OBRA'!H97</f>
        <v>0</v>
      </c>
      <c r="I107" s="56">
        <f>'BASE PRESUPUESTO'!O90*'PROGRAMA DE OBRA'!X97+('BASE PRESUPUESTO'!P90+'BASE PRESUPUESTO'!Q90+'BASE PRESUPUESTO'!R90)*'PROGRAMA DE OBRA'!I97</f>
        <v>0</v>
      </c>
      <c r="J107" s="56">
        <f>'BASE PRESUPUESTO'!O90*'PROGRAMA DE OBRA'!Y97+('BASE PRESUPUESTO'!P90+'BASE PRESUPUESTO'!Q90+'BASE PRESUPUESTO'!R90)*'PROGRAMA DE OBRA'!J97</f>
        <v>0</v>
      </c>
      <c r="K107" s="56">
        <f>'BASE PRESUPUESTO'!O90*'PROGRAMA DE OBRA'!Z97+('BASE PRESUPUESTO'!P90+'BASE PRESUPUESTO'!Q90+'BASE PRESUPUESTO'!R90)*'PROGRAMA DE OBRA'!K97</f>
        <v>0</v>
      </c>
      <c r="L107" s="57">
        <f t="shared" si="13"/>
        <v>0</v>
      </c>
      <c r="M107" s="58">
        <f t="shared" si="14"/>
        <v>0</v>
      </c>
      <c r="N107" s="59">
        <f>'BASE PRESUPUESTO'!O90*SUM('PROGRAMA DE OBRA'!U97:Z97)</f>
        <v>0</v>
      </c>
      <c r="O107" s="59">
        <f>'BASE PRESUPUESTO'!P90*SUM('PROGRAMA DE OBRA'!F97:K97)</f>
        <v>0</v>
      </c>
      <c r="P107" s="59">
        <f>'BASE PRESUPUESTO'!Q90*SUM('PROGRAMA DE OBRA'!F97:K97)</f>
        <v>0</v>
      </c>
      <c r="Q107" s="59">
        <f>'BASE PRESUPUESTO'!R90*SUM('PROGRAMA DE OBRA'!F97:K97)</f>
        <v>0</v>
      </c>
      <c r="R107" t="s">
        <v>99</v>
      </c>
      <c r="S107" t="s">
        <v>27</v>
      </c>
    </row>
    <row r="108" spans="1:19" x14ac:dyDescent="0.3">
      <c r="A108" s="52" t="str">
        <f>'BASE PRESUPUESTO'!C91</f>
        <v>2.7</v>
      </c>
      <c r="B108" s="53" t="str">
        <f>'BASE PRESUPUESTO'!D91</f>
        <v>CAMBIO DE VALVULAS DE 2" SISTEMA CLORACION</v>
      </c>
      <c r="C108" s="52" t="str">
        <f>'BASE PRESUPUESTO'!E91</f>
        <v>UND</v>
      </c>
      <c r="D108" s="54">
        <f>'BASE PRESUPUESTO'!F91</f>
        <v>3</v>
      </c>
      <c r="E108" s="55">
        <f>'BASE PRESUPUESTO'!H91</f>
        <v>536746</v>
      </c>
      <c r="F108" s="56">
        <f>'BASE PRESUPUESTO'!O91*'PROGRAMA DE OBRA'!U98+('BASE PRESUPUESTO'!P91+'BASE PRESUPUESTO'!Q91+'BASE PRESUPUESTO'!R91)*'PROGRAMA DE OBRA'!F98</f>
        <v>0</v>
      </c>
      <c r="G108" s="56">
        <f>'BASE PRESUPUESTO'!O91*'PROGRAMA DE OBRA'!V98+('BASE PRESUPUESTO'!P91+'BASE PRESUPUESTO'!Q91+'BASE PRESUPUESTO'!R91)*'PROGRAMA DE OBRA'!G98</f>
        <v>0</v>
      </c>
      <c r="H108" s="56">
        <f>'BASE PRESUPUESTO'!O91*'PROGRAMA DE OBRA'!W98+('BASE PRESUPUESTO'!P91+'BASE PRESUPUESTO'!Q91+'BASE PRESUPUESTO'!R91)*'PROGRAMA DE OBRA'!H98</f>
        <v>0</v>
      </c>
      <c r="I108" s="56">
        <f>'BASE PRESUPUESTO'!O91*'PROGRAMA DE OBRA'!X98+('BASE PRESUPUESTO'!P91+'BASE PRESUPUESTO'!Q91+'BASE PRESUPUESTO'!R91)*'PROGRAMA DE OBRA'!I98</f>
        <v>0</v>
      </c>
      <c r="J108" s="56">
        <f>'BASE PRESUPUESTO'!O91*'PROGRAMA DE OBRA'!Y98+('BASE PRESUPUESTO'!P91+'BASE PRESUPUESTO'!Q91+'BASE PRESUPUESTO'!R91)*'PROGRAMA DE OBRA'!J98</f>
        <v>0</v>
      </c>
      <c r="K108" s="56">
        <f>'BASE PRESUPUESTO'!O91*'PROGRAMA DE OBRA'!Z98+('BASE PRESUPUESTO'!P91+'BASE PRESUPUESTO'!Q91+'BASE PRESUPUESTO'!R91)*'PROGRAMA DE OBRA'!K98</f>
        <v>0</v>
      </c>
      <c r="L108" s="57">
        <f t="shared" si="13"/>
        <v>0</v>
      </c>
      <c r="M108" s="58">
        <f t="shared" si="14"/>
        <v>0</v>
      </c>
      <c r="N108" s="59">
        <f>'BASE PRESUPUESTO'!O91*SUM('PROGRAMA DE OBRA'!U98:Z98)</f>
        <v>0</v>
      </c>
      <c r="O108" s="59">
        <f>'BASE PRESUPUESTO'!P91*SUM('PROGRAMA DE OBRA'!F98:K98)</f>
        <v>0</v>
      </c>
      <c r="P108" s="59">
        <f>'BASE PRESUPUESTO'!Q91*SUM('PROGRAMA DE OBRA'!F98:K98)</f>
        <v>0</v>
      </c>
      <c r="Q108" s="59">
        <f>'BASE PRESUPUESTO'!R91*SUM('PROGRAMA DE OBRA'!F98:K98)</f>
        <v>0</v>
      </c>
      <c r="R108" t="s">
        <v>99</v>
      </c>
      <c r="S108" t="s">
        <v>27</v>
      </c>
    </row>
    <row r="109" spans="1:19" x14ac:dyDescent="0.3">
      <c r="A109" s="52" t="str">
        <f>'BASE PRESUPUESTO'!C92</f>
        <v>2.8</v>
      </c>
      <c r="B109" s="53" t="str">
        <f>'BASE PRESUPUESTO'!D92</f>
        <v>ACCESORIOS A CAMBIAR EN PLANTA DE TRATAMIENTO, UNIONES, TEE, CODOS</v>
      </c>
      <c r="C109" s="52" t="str">
        <f>'BASE PRESUPUESTO'!E92</f>
        <v>GLB</v>
      </c>
      <c r="D109" s="54">
        <f>'BASE PRESUPUESTO'!F92</f>
        <v>1</v>
      </c>
      <c r="E109" s="55">
        <f>'BASE PRESUPUESTO'!H92</f>
        <v>851487</v>
      </c>
      <c r="F109" s="56">
        <f>'BASE PRESUPUESTO'!O92*'PROGRAMA DE OBRA'!U99+('BASE PRESUPUESTO'!P92+'BASE PRESUPUESTO'!Q92+'BASE PRESUPUESTO'!R92)*'PROGRAMA DE OBRA'!F99</f>
        <v>0</v>
      </c>
      <c r="G109" s="56">
        <f>'BASE PRESUPUESTO'!O92*'PROGRAMA DE OBRA'!V99+('BASE PRESUPUESTO'!P92+'BASE PRESUPUESTO'!Q92+'BASE PRESUPUESTO'!R92)*'PROGRAMA DE OBRA'!G99</f>
        <v>0</v>
      </c>
      <c r="H109" s="56">
        <f>'BASE PRESUPUESTO'!O92*'PROGRAMA DE OBRA'!W99+('BASE PRESUPUESTO'!P92+'BASE PRESUPUESTO'!Q92+'BASE PRESUPUESTO'!R92)*'PROGRAMA DE OBRA'!H99</f>
        <v>0</v>
      </c>
      <c r="I109" s="56">
        <f>'BASE PRESUPUESTO'!O92*'PROGRAMA DE OBRA'!X99+('BASE PRESUPUESTO'!P92+'BASE PRESUPUESTO'!Q92+'BASE PRESUPUESTO'!R92)*'PROGRAMA DE OBRA'!I99</f>
        <v>0</v>
      </c>
      <c r="J109" s="56">
        <f>'BASE PRESUPUESTO'!O92*'PROGRAMA DE OBRA'!Y99+('BASE PRESUPUESTO'!P92+'BASE PRESUPUESTO'!Q92+'BASE PRESUPUESTO'!R92)*'PROGRAMA DE OBRA'!J99</f>
        <v>0</v>
      </c>
      <c r="K109" s="56">
        <f>'BASE PRESUPUESTO'!O92*'PROGRAMA DE OBRA'!Z99+('BASE PRESUPUESTO'!P92+'BASE PRESUPUESTO'!Q92+'BASE PRESUPUESTO'!R92)*'PROGRAMA DE OBRA'!K99</f>
        <v>0</v>
      </c>
      <c r="L109" s="57">
        <f t="shared" si="13"/>
        <v>0</v>
      </c>
      <c r="M109" s="58">
        <f t="shared" si="14"/>
        <v>0</v>
      </c>
      <c r="N109" s="59">
        <f>'BASE PRESUPUESTO'!O92*SUM('PROGRAMA DE OBRA'!U99:Z99)</f>
        <v>0</v>
      </c>
      <c r="O109" s="59">
        <f>'BASE PRESUPUESTO'!P92*SUM('PROGRAMA DE OBRA'!F99:K99)</f>
        <v>0</v>
      </c>
      <c r="P109" s="59">
        <f>'BASE PRESUPUESTO'!Q92*SUM('PROGRAMA DE OBRA'!F99:K99)</f>
        <v>0</v>
      </c>
      <c r="Q109" s="59">
        <f>'BASE PRESUPUESTO'!R92*SUM('PROGRAMA DE OBRA'!F99:K99)</f>
        <v>0</v>
      </c>
      <c r="R109" t="s">
        <v>99</v>
      </c>
      <c r="S109" t="s">
        <v>27</v>
      </c>
    </row>
    <row r="110" spans="1:19" x14ac:dyDescent="0.3">
      <c r="A110" s="52" t="str">
        <f>'BASE PRESUPUESTO'!C93</f>
        <v>2.9</v>
      </c>
      <c r="B110" s="53" t="str">
        <f>'BASE PRESUPUESTO'!D93</f>
        <v>REVISION FUNCIONAMIENTO Y ADECUACION PANTALLA DEFLECTORA Y CANAL REBOSE DE ENTREGA A LA RED</v>
      </c>
      <c r="C110" s="52" t="str">
        <f>'BASE PRESUPUESTO'!E93</f>
        <v>GBL</v>
      </c>
      <c r="D110" s="54">
        <f>'BASE PRESUPUESTO'!F93</f>
        <v>1</v>
      </c>
      <c r="E110" s="55">
        <f>'BASE PRESUPUESTO'!H93</f>
        <v>678712</v>
      </c>
      <c r="F110" s="56">
        <f>'BASE PRESUPUESTO'!O93*'PROGRAMA DE OBRA'!U100+('BASE PRESUPUESTO'!P93+'BASE PRESUPUESTO'!Q93+'BASE PRESUPUESTO'!R93)*'PROGRAMA DE OBRA'!F100</f>
        <v>0</v>
      </c>
      <c r="G110" s="56">
        <f>'BASE PRESUPUESTO'!O93*'PROGRAMA DE OBRA'!V100+('BASE PRESUPUESTO'!P93+'BASE PRESUPUESTO'!Q93+'BASE PRESUPUESTO'!R93)*'PROGRAMA DE OBRA'!G100</f>
        <v>0</v>
      </c>
      <c r="H110" s="56">
        <f>'BASE PRESUPUESTO'!O93*'PROGRAMA DE OBRA'!W100+('BASE PRESUPUESTO'!P93+'BASE PRESUPUESTO'!Q93+'BASE PRESUPUESTO'!R93)*'PROGRAMA DE OBRA'!H100</f>
        <v>0</v>
      </c>
      <c r="I110" s="56">
        <f>'BASE PRESUPUESTO'!O93*'PROGRAMA DE OBRA'!X100+('BASE PRESUPUESTO'!P93+'BASE PRESUPUESTO'!Q93+'BASE PRESUPUESTO'!R93)*'PROGRAMA DE OBRA'!I100</f>
        <v>0</v>
      </c>
      <c r="J110" s="56">
        <f>'BASE PRESUPUESTO'!O93*'PROGRAMA DE OBRA'!Y100+('BASE PRESUPUESTO'!P93+'BASE PRESUPUESTO'!Q93+'BASE PRESUPUESTO'!R93)*'PROGRAMA DE OBRA'!J100</f>
        <v>0</v>
      </c>
      <c r="K110" s="56">
        <f>'BASE PRESUPUESTO'!O93*'PROGRAMA DE OBRA'!Z100+('BASE PRESUPUESTO'!P93+'BASE PRESUPUESTO'!Q93+'BASE PRESUPUESTO'!R93)*'PROGRAMA DE OBRA'!K100</f>
        <v>0</v>
      </c>
      <c r="L110" s="57">
        <f t="shared" si="13"/>
        <v>0</v>
      </c>
      <c r="M110" s="58">
        <f t="shared" si="14"/>
        <v>0</v>
      </c>
      <c r="N110" s="59">
        <f>'BASE PRESUPUESTO'!O93*SUM('PROGRAMA DE OBRA'!U100:Z100)</f>
        <v>0</v>
      </c>
      <c r="O110" s="59">
        <f>'BASE PRESUPUESTO'!P93*SUM('PROGRAMA DE OBRA'!F100:K100)</f>
        <v>0</v>
      </c>
      <c r="P110" s="59">
        <f>'BASE PRESUPUESTO'!Q93*SUM('PROGRAMA DE OBRA'!F100:K100)</f>
        <v>0</v>
      </c>
      <c r="Q110" s="59">
        <f>'BASE PRESUPUESTO'!R93*SUM('PROGRAMA DE OBRA'!F100:K100)</f>
        <v>0</v>
      </c>
      <c r="R110" t="s">
        <v>99</v>
      </c>
      <c r="S110" t="s">
        <v>27</v>
      </c>
    </row>
    <row r="111" spans="1:19" x14ac:dyDescent="0.3">
      <c r="A111" s="52" t="str">
        <f>'BASE PRESUPUESTO'!C94</f>
        <v>2.10</v>
      </c>
      <c r="B111" s="53" t="str">
        <f>'BASE PRESUPUESTO'!D94</f>
        <v>ACARREO MATERIALES TRACCION ANIMAL</v>
      </c>
      <c r="C111" s="52" t="str">
        <f>'BASE PRESUPUESTO'!E94</f>
        <v>C-KM</v>
      </c>
      <c r="D111" s="54">
        <f>'BASE PRESUPUESTO'!F94</f>
        <v>227.12708333333299</v>
      </c>
      <c r="E111" s="55">
        <f>'BASE PRESUPUESTO'!H94</f>
        <v>2124320</v>
      </c>
      <c r="F111" s="56">
        <f>'BASE PRESUPUESTO'!O94*'PROGRAMA DE OBRA'!U101+('BASE PRESUPUESTO'!P94+'BASE PRESUPUESTO'!Q94+'BASE PRESUPUESTO'!R94)*'PROGRAMA DE OBRA'!F101</f>
        <v>0</v>
      </c>
      <c r="G111" s="56">
        <f>'BASE PRESUPUESTO'!O94*'PROGRAMA DE OBRA'!V101+('BASE PRESUPUESTO'!P94+'BASE PRESUPUESTO'!Q94+'BASE PRESUPUESTO'!R94)*'PROGRAMA DE OBRA'!G101</f>
        <v>0</v>
      </c>
      <c r="H111" s="56">
        <f>'BASE PRESUPUESTO'!O94*'PROGRAMA DE OBRA'!W101+('BASE PRESUPUESTO'!P94+'BASE PRESUPUESTO'!Q94+'BASE PRESUPUESTO'!R94)*'PROGRAMA DE OBRA'!H101</f>
        <v>0</v>
      </c>
      <c r="I111" s="56">
        <f>'BASE PRESUPUESTO'!O94*'PROGRAMA DE OBRA'!X101+('BASE PRESUPUESTO'!P94+'BASE PRESUPUESTO'!Q94+'BASE PRESUPUESTO'!R94)*'PROGRAMA DE OBRA'!I101</f>
        <v>0</v>
      </c>
      <c r="J111" s="56">
        <f>'BASE PRESUPUESTO'!O94*'PROGRAMA DE OBRA'!Y101+('BASE PRESUPUESTO'!P94+'BASE PRESUPUESTO'!Q94+'BASE PRESUPUESTO'!R94)*'PROGRAMA DE OBRA'!J101</f>
        <v>354053.33333333401</v>
      </c>
      <c r="K111" s="56">
        <f>'BASE PRESUPUESTO'!O94*'PROGRAMA DE OBRA'!Z101+('BASE PRESUPUESTO'!P94+'BASE PRESUPUESTO'!Q94+'BASE PRESUPUESTO'!R94)*'PROGRAMA DE OBRA'!K101</f>
        <v>354053.33333333401</v>
      </c>
      <c r="L111" s="57">
        <f t="shared" si="13"/>
        <v>708106.66666666802</v>
      </c>
      <c r="M111" s="58">
        <f t="shared" si="14"/>
        <v>0.33333333333333398</v>
      </c>
      <c r="N111" s="59">
        <f>'BASE PRESUPUESTO'!O94*SUM('PROGRAMA DE OBRA'!U101:Z101)</f>
        <v>0</v>
      </c>
      <c r="O111" s="59">
        <f>'BASE PRESUPUESTO'!P94*SUM('PROGRAMA DE OBRA'!F101:K101)</f>
        <v>0</v>
      </c>
      <c r="P111" s="59">
        <f>'BASE PRESUPUESTO'!Q94*SUM('PROGRAMA DE OBRA'!F101:K101)</f>
        <v>0</v>
      </c>
      <c r="Q111" s="59">
        <f>'BASE PRESUPUESTO'!R94*SUM('PROGRAMA DE OBRA'!F101:K101)</f>
        <v>708106.66666666802</v>
      </c>
      <c r="R111" t="s">
        <v>99</v>
      </c>
      <c r="S111" t="s">
        <v>27</v>
      </c>
    </row>
    <row r="112" spans="1:19" x14ac:dyDescent="0.3">
      <c r="A112" s="52" t="str">
        <f>'BASE PRESUPUESTO'!C95</f>
        <v>2.11</v>
      </c>
      <c r="B112" s="53" t="str">
        <f>'BASE PRESUPUESTO'!D95</f>
        <v>ACARREO MATERIALES-ESCOMBROS 10 PERS</v>
      </c>
      <c r="C112" s="52" t="str">
        <f>'BASE PRESUPUESTO'!E95</f>
        <v>HC</v>
      </c>
      <c r="D112" s="54">
        <f>'BASE PRESUPUESTO'!F95</f>
        <v>2</v>
      </c>
      <c r="E112" s="55">
        <f>'BASE PRESUPUESTO'!H95</f>
        <v>707566</v>
      </c>
      <c r="F112" s="56">
        <f>'BASE PRESUPUESTO'!O95*'PROGRAMA DE OBRA'!U102+('BASE PRESUPUESTO'!P95+'BASE PRESUPUESTO'!Q95+'BASE PRESUPUESTO'!R95)*'PROGRAMA DE OBRA'!F102</f>
        <v>0</v>
      </c>
      <c r="G112" s="56">
        <f>'BASE PRESUPUESTO'!O95*'PROGRAMA DE OBRA'!V102+('BASE PRESUPUESTO'!P95+'BASE PRESUPUESTO'!Q95+'BASE PRESUPUESTO'!R95)*'PROGRAMA DE OBRA'!G102</f>
        <v>0</v>
      </c>
      <c r="H112" s="56">
        <f>'BASE PRESUPUESTO'!O95*'PROGRAMA DE OBRA'!W102+('BASE PRESUPUESTO'!P95+'BASE PRESUPUESTO'!Q95+'BASE PRESUPUESTO'!R95)*'PROGRAMA DE OBRA'!H102</f>
        <v>0</v>
      </c>
      <c r="I112" s="56">
        <f>'BASE PRESUPUESTO'!O95*'PROGRAMA DE OBRA'!X102+('BASE PRESUPUESTO'!P95+'BASE PRESUPUESTO'!Q95+'BASE PRESUPUESTO'!R95)*'PROGRAMA DE OBRA'!I102</f>
        <v>0</v>
      </c>
      <c r="J112" s="56">
        <f>'BASE PRESUPUESTO'!O95*'PROGRAMA DE OBRA'!Y102+('BASE PRESUPUESTO'!P95+'BASE PRESUPUESTO'!Q95+'BASE PRESUPUESTO'!R95)*'PROGRAMA DE OBRA'!J102</f>
        <v>0</v>
      </c>
      <c r="K112" s="56">
        <f>'BASE PRESUPUESTO'!O95*'PROGRAMA DE OBRA'!Z102+('BASE PRESUPUESTO'!P95+'BASE PRESUPUESTO'!Q95+'BASE PRESUPUESTO'!R95)*'PROGRAMA DE OBRA'!K102</f>
        <v>0</v>
      </c>
      <c r="L112" s="57">
        <f t="shared" si="13"/>
        <v>0</v>
      </c>
      <c r="M112" s="58">
        <f t="shared" si="14"/>
        <v>0</v>
      </c>
      <c r="N112" s="59">
        <f>'BASE PRESUPUESTO'!O95*SUM('PROGRAMA DE OBRA'!U102:Z102)</f>
        <v>0</v>
      </c>
      <c r="O112" s="59">
        <f>'BASE PRESUPUESTO'!P95*SUM('PROGRAMA DE OBRA'!F102:K102)</f>
        <v>0</v>
      </c>
      <c r="P112" s="59">
        <f>'BASE PRESUPUESTO'!Q95*SUM('PROGRAMA DE OBRA'!F102:K102)</f>
        <v>0</v>
      </c>
      <c r="Q112" s="59">
        <f>'BASE PRESUPUESTO'!R95*SUM('PROGRAMA DE OBRA'!F102:K102)</f>
        <v>0</v>
      </c>
      <c r="R112" t="s">
        <v>99</v>
      </c>
      <c r="S112" t="s">
        <v>27</v>
      </c>
    </row>
    <row r="113" spans="1:19" ht="26.4" x14ac:dyDescent="0.3">
      <c r="A113" s="52" t="str">
        <f>'BASE PRESUPUESTO'!C96</f>
        <v>2.12</v>
      </c>
      <c r="B113" s="53" t="str">
        <f>'BASE PRESUPUESTO'!D96</f>
        <v>ACARREO MATERIALES CAMPERO-CAMIONETA</v>
      </c>
      <c r="C113" s="52" t="str">
        <f>'BASE PRESUPUESTO'!E96</f>
        <v>M3-KM</v>
      </c>
      <c r="D113" s="54">
        <f>'BASE PRESUPUESTO'!F96</f>
        <v>26.208541666666701</v>
      </c>
      <c r="E113" s="55">
        <f>'BASE PRESUPUESTO'!H96</f>
        <v>343122</v>
      </c>
      <c r="F113" s="56">
        <f>'BASE PRESUPUESTO'!O96*'PROGRAMA DE OBRA'!U103+('BASE PRESUPUESTO'!P96+'BASE PRESUPUESTO'!Q96+'BASE PRESUPUESTO'!R96)*'PROGRAMA DE OBRA'!F103</f>
        <v>0</v>
      </c>
      <c r="G113" s="56">
        <f>'BASE PRESUPUESTO'!O96*'PROGRAMA DE OBRA'!V103+('BASE PRESUPUESTO'!P96+'BASE PRESUPUESTO'!Q96+'BASE PRESUPUESTO'!R96)*'PROGRAMA DE OBRA'!G103</f>
        <v>0</v>
      </c>
      <c r="H113" s="56">
        <f>'BASE PRESUPUESTO'!O96*'PROGRAMA DE OBRA'!W103+('BASE PRESUPUESTO'!P96+'BASE PRESUPUESTO'!Q96+'BASE PRESUPUESTO'!R96)*'PROGRAMA DE OBRA'!H103</f>
        <v>0</v>
      </c>
      <c r="I113" s="56">
        <f>'BASE PRESUPUESTO'!O96*'PROGRAMA DE OBRA'!X103+('BASE PRESUPUESTO'!P96+'BASE PRESUPUESTO'!Q96+'BASE PRESUPUESTO'!R96)*'PROGRAMA DE OBRA'!I103</f>
        <v>57187.000000000109</v>
      </c>
      <c r="J113" s="56">
        <f>'BASE PRESUPUESTO'!O96*'PROGRAMA DE OBRA'!Y103+('BASE PRESUPUESTO'!P96+'BASE PRESUPUESTO'!Q96+'BASE PRESUPUESTO'!R96)*'PROGRAMA DE OBRA'!J103</f>
        <v>57187.000000000109</v>
      </c>
      <c r="K113" s="56">
        <f>'BASE PRESUPUESTO'!O96*'PROGRAMA DE OBRA'!Z103+('BASE PRESUPUESTO'!P96+'BASE PRESUPUESTO'!Q96+'BASE PRESUPUESTO'!R96)*'PROGRAMA DE OBRA'!K103</f>
        <v>57187.000000000109</v>
      </c>
      <c r="L113" s="57">
        <f t="shared" si="13"/>
        <v>171561.00000000032</v>
      </c>
      <c r="M113" s="58">
        <f t="shared" si="14"/>
        <v>0.50000000000000089</v>
      </c>
      <c r="N113" s="59">
        <f>'BASE PRESUPUESTO'!O96*SUM('PROGRAMA DE OBRA'!U103:Z103)</f>
        <v>0</v>
      </c>
      <c r="O113" s="59">
        <f>'BASE PRESUPUESTO'!P96*SUM('PROGRAMA DE OBRA'!F103:K103)</f>
        <v>0</v>
      </c>
      <c r="P113" s="59">
        <f>'BASE PRESUPUESTO'!Q96*SUM('PROGRAMA DE OBRA'!F103:K103)</f>
        <v>0</v>
      </c>
      <c r="Q113" s="59">
        <f>'BASE PRESUPUESTO'!R96*SUM('PROGRAMA DE OBRA'!F103:K103)</f>
        <v>171561.00000000035</v>
      </c>
      <c r="R113" t="s">
        <v>99</v>
      </c>
      <c r="S113" t="s">
        <v>27</v>
      </c>
    </row>
    <row r="114" spans="1:19" ht="19.5" customHeight="1" x14ac:dyDescent="0.3">
      <c r="A114" s="177" t="s">
        <v>111</v>
      </c>
      <c r="B114" s="177"/>
      <c r="C114" s="177"/>
      <c r="D114" s="177"/>
      <c r="E114" s="70">
        <f t="shared" ref="E114:L114" si="15">SUM(E99:E113)</f>
        <v>28423103</v>
      </c>
      <c r="F114" s="70">
        <f t="shared" si="15"/>
        <v>0</v>
      </c>
      <c r="G114" s="70">
        <f t="shared" si="15"/>
        <v>0</v>
      </c>
      <c r="H114" s="70">
        <f t="shared" si="15"/>
        <v>108830.43253387719</v>
      </c>
      <c r="I114" s="70">
        <f t="shared" si="15"/>
        <v>3347939.9415582446</v>
      </c>
      <c r="J114" s="70">
        <f t="shared" si="15"/>
        <v>7420082.0132203</v>
      </c>
      <c r="K114" s="70">
        <f t="shared" si="15"/>
        <v>2793582.3153403029</v>
      </c>
      <c r="L114" s="70">
        <f t="shared" si="15"/>
        <v>13670434.702652723</v>
      </c>
      <c r="M114" s="71">
        <f t="shared" si="14"/>
        <v>0.4809620787235202</v>
      </c>
      <c r="N114" s="70">
        <f>SUM(N99:N113)</f>
        <v>5508010.060605091</v>
      </c>
      <c r="O114" s="70">
        <f>SUM(O99:O113)</f>
        <v>6920568.7914040498</v>
      </c>
      <c r="P114" s="70">
        <f>SUM(P99:P113)</f>
        <v>249587.38397691501</v>
      </c>
      <c r="Q114" s="70">
        <f>SUM(Q99:Q113)</f>
        <v>992268.46666666842</v>
      </c>
      <c r="R114" t="s">
        <v>101</v>
      </c>
    </row>
    <row r="116" spans="1:19" ht="19.5" customHeight="1" x14ac:dyDescent="0.3">
      <c r="A116" s="178" t="s">
        <v>112</v>
      </c>
      <c r="B116" s="178"/>
      <c r="C116" s="178"/>
      <c r="D116" s="178"/>
      <c r="E116" s="178"/>
      <c r="F116" s="178"/>
      <c r="G116" s="178"/>
      <c r="H116" s="178"/>
      <c r="I116" s="178"/>
      <c r="J116" s="178"/>
      <c r="K116" s="178"/>
      <c r="L116" s="178"/>
      <c r="M116" s="178"/>
      <c r="N116" s="178"/>
      <c r="O116" s="178"/>
      <c r="P116" s="178"/>
      <c r="Q116" s="178"/>
    </row>
    <row r="117" spans="1:19" x14ac:dyDescent="0.3">
      <c r="A117" s="52" t="str">
        <f>'BASE PRESUPUESTO'!C97</f>
        <v>1.1</v>
      </c>
      <c r="B117" s="53" t="str">
        <f>'BASE PRESUPUESTO'!D97</f>
        <v>SISTEMA DE TRATAMIENTO DE AGUA POTABLE CON FLOCULACION, SEDIMENTACION, FILTROS, BOMBA CENTRIFUGA, TANQUE TRANSFERENCIA Y BOMBA SUMERGIBLE 4HP - 110</v>
      </c>
      <c r="C117" s="52" t="str">
        <f>'BASE PRESUPUESTO'!E97</f>
        <v>GLB</v>
      </c>
      <c r="D117" s="54">
        <f>'BASE PRESUPUESTO'!F97</f>
        <v>1</v>
      </c>
      <c r="E117" s="55">
        <f>'BASE PRESUPUESTO'!H97</f>
        <v>23293674</v>
      </c>
      <c r="F117" s="56">
        <f>'BASE PRESUPUESTO'!O97*'PROGRAMA DE OBRA'!U105+('BASE PRESUPUESTO'!P97+'BASE PRESUPUESTO'!Q97+'BASE PRESUPUESTO'!R97)*'PROGRAMA DE OBRA'!F105</f>
        <v>0</v>
      </c>
      <c r="G117" s="56">
        <f>'BASE PRESUPUESTO'!O97*'PROGRAMA DE OBRA'!V105+('BASE PRESUPUESTO'!P97+'BASE PRESUPUESTO'!Q97+'BASE PRESUPUESTO'!R97)*'PROGRAMA DE OBRA'!G105</f>
        <v>8501887.0000000037</v>
      </c>
      <c r="H117" s="56">
        <f>'BASE PRESUPUESTO'!O97*'PROGRAMA DE OBRA'!W105+('BASE PRESUPUESTO'!P97+'BASE PRESUPUESTO'!Q97+'BASE PRESUPUESTO'!R97)*'PROGRAMA DE OBRA'!H105</f>
        <v>0</v>
      </c>
      <c r="I117" s="56">
        <f>'BASE PRESUPUESTO'!O97*'PROGRAMA DE OBRA'!X105+('BASE PRESUPUESTO'!P97+'BASE PRESUPUESTO'!Q97+'BASE PRESUPUESTO'!R97)*'PROGRAMA DE OBRA'!I105</f>
        <v>0</v>
      </c>
      <c r="J117" s="56">
        <f>'BASE PRESUPUESTO'!O97*'PROGRAMA DE OBRA'!Y105+('BASE PRESUPUESTO'!P97+'BASE PRESUPUESTO'!Q97+'BASE PRESUPUESTO'!R97)*'PROGRAMA DE OBRA'!J105</f>
        <v>0</v>
      </c>
      <c r="K117" s="72">
        <f>ANTICIPO-SUMIF($R$6:$R$118,"ITEM",F$6:F$118)-SUMIF($R$6:$R$118,"ITEM",G$6:G$118)-SUMIF($R$6:$R$118,"ITEM",H$6:H$118)-SUMIF($R$6:$R$118,"ITEM",I$6:I$118)-SUMIF($R$6:$R$118,"ITEM",J$6:J$118)-SUMIF($R$6:$R$116,"ITEM",K$6:K$116)</f>
        <v>7613331.0531858318</v>
      </c>
      <c r="L117" s="57">
        <f>SUM(F117:K117)</f>
        <v>16115218.053185835</v>
      </c>
      <c r="M117" s="58">
        <f>IF(E117=0,0,L117/E117)</f>
        <v>0.69182809260513545</v>
      </c>
      <c r="N117" s="59">
        <f>'BASE PRESUPUESTO'!O97*SUM('PROGRAMA DE OBRA'!U105:Z105)</f>
        <v>16115218.053185837</v>
      </c>
      <c r="O117" s="59">
        <f>'BASE PRESUPUESTO'!P97*SUM('PROGRAMA DE OBRA'!F105:K105)</f>
        <v>0</v>
      </c>
      <c r="P117" s="59">
        <f>'BASE PRESUPUESTO'!Q97*SUM('PROGRAMA DE OBRA'!F105:K105)</f>
        <v>0</v>
      </c>
      <c r="Q117" s="59">
        <f>'BASE PRESUPUESTO'!R97*SUM('PROGRAMA DE OBRA'!F105:K105)</f>
        <v>0</v>
      </c>
      <c r="R117" t="s">
        <v>99</v>
      </c>
      <c r="S117" t="s">
        <v>28</v>
      </c>
    </row>
    <row r="118" spans="1:19" ht="19.5" customHeight="1" x14ac:dyDescent="0.3">
      <c r="A118" s="179" t="s">
        <v>113</v>
      </c>
      <c r="B118" s="179"/>
      <c r="C118" s="179"/>
      <c r="D118" s="179"/>
      <c r="E118" s="73">
        <f t="shared" ref="E118:L118" si="16">SUM(E117:E117)</f>
        <v>23293674</v>
      </c>
      <c r="F118" s="73">
        <f t="shared" si="16"/>
        <v>0</v>
      </c>
      <c r="G118" s="73">
        <f t="shared" si="16"/>
        <v>8501887.0000000037</v>
      </c>
      <c r="H118" s="73">
        <f t="shared" si="16"/>
        <v>0</v>
      </c>
      <c r="I118" s="73">
        <f t="shared" si="16"/>
        <v>0</v>
      </c>
      <c r="J118" s="73">
        <f t="shared" si="16"/>
        <v>0</v>
      </c>
      <c r="K118" s="73">
        <f t="shared" si="16"/>
        <v>7613331.0531858318</v>
      </c>
      <c r="L118" s="73">
        <f t="shared" si="16"/>
        <v>16115218.053185835</v>
      </c>
      <c r="M118" s="74">
        <f>IF(E118=0,0,L118/E118)</f>
        <v>0.69182809260513545</v>
      </c>
      <c r="N118" s="73">
        <f>SUM(N117:N117)</f>
        <v>16115218.053185837</v>
      </c>
      <c r="O118" s="73">
        <f>SUM(O117:O117)</f>
        <v>0</v>
      </c>
      <c r="P118" s="73">
        <f>SUM(P117:P117)</f>
        <v>0</v>
      </c>
      <c r="Q118" s="73">
        <f>SUM(Q117:Q117)</f>
        <v>0</v>
      </c>
      <c r="R118" t="s">
        <v>101</v>
      </c>
    </row>
    <row r="120" spans="1:19" ht="25.5" customHeight="1" x14ac:dyDescent="0.3">
      <c r="A120" s="180" t="s">
        <v>114</v>
      </c>
      <c r="B120" s="180"/>
      <c r="C120" s="180"/>
      <c r="D120" s="180"/>
      <c r="E120" s="75">
        <f t="shared" ref="E120:L120" si="17">SUMIF($R$6:$R$118,"ITEM",E6:E118)</f>
        <v>177775949</v>
      </c>
      <c r="F120" s="75">
        <f t="shared" si="17"/>
        <v>9792151.796622809</v>
      </c>
      <c r="G120" s="75">
        <f t="shared" si="17"/>
        <v>21520704.284734685</v>
      </c>
      <c r="H120" s="75">
        <f t="shared" si="17"/>
        <v>18078961.777779751</v>
      </c>
      <c r="I120" s="75">
        <f t="shared" si="17"/>
        <v>12275821.315405656</v>
      </c>
      <c r="J120" s="75">
        <f t="shared" si="17"/>
        <v>29035227.03068278</v>
      </c>
      <c r="K120" s="75">
        <f t="shared" si="17"/>
        <v>29297133.794774331</v>
      </c>
      <c r="L120" s="75">
        <f t="shared" si="17"/>
        <v>120000000</v>
      </c>
      <c r="M120" s="76">
        <f>IF(E120=0,0,L120/E120)</f>
        <v>0.67500694371205405</v>
      </c>
      <c r="N120" s="75">
        <f>SUMIF($R$6:$R$118,"ITEM",N6:N118)</f>
        <v>70008105.530503318</v>
      </c>
      <c r="O120" s="75">
        <f>SUMIF($R$6:$R$118,"ITEM",O6:O118)</f>
        <v>35993435.263575166</v>
      </c>
      <c r="P120" s="75">
        <f>SUMIF($R$6:$R$118,"ITEM",P6:P118)</f>
        <v>2157358.3281437126</v>
      </c>
      <c r="Q120" s="75">
        <f>SUMIF($R$6:$R$118,"ITEM",Q6:Q118)</f>
        <v>11841100.877777789</v>
      </c>
    </row>
    <row r="121" spans="1:19" x14ac:dyDescent="0.3">
      <c r="A121" s="157" t="s">
        <v>115</v>
      </c>
      <c r="B121" s="157"/>
      <c r="C121" s="157"/>
      <c r="D121" s="157"/>
      <c r="F121" s="37">
        <f t="shared" ref="F121:L121" si="18">F120/ANTICIPO</f>
        <v>8.1601264971856741E-2</v>
      </c>
      <c r="G121" s="37">
        <f t="shared" si="18"/>
        <v>0.17933920237278905</v>
      </c>
      <c r="H121" s="37">
        <f t="shared" si="18"/>
        <v>0.15065801481483126</v>
      </c>
      <c r="I121" s="37">
        <f t="shared" si="18"/>
        <v>0.1022985109617138</v>
      </c>
      <c r="J121" s="37">
        <f t="shared" si="18"/>
        <v>0.24196022525568983</v>
      </c>
      <c r="K121" s="37">
        <f t="shared" si="18"/>
        <v>0.24414278162311942</v>
      </c>
      <c r="L121" s="37">
        <f t="shared" si="18"/>
        <v>1</v>
      </c>
    </row>
    <row r="122" spans="1:19" x14ac:dyDescent="0.3">
      <c r="A122" s="157" t="s">
        <v>63</v>
      </c>
      <c r="B122" s="157"/>
      <c r="C122" s="157"/>
      <c r="D122" s="157"/>
      <c r="F122" s="37">
        <f>F121</f>
        <v>8.1601264971856741E-2</v>
      </c>
      <c r="G122" s="37">
        <f>F122+G121</f>
        <v>0.26094046734464582</v>
      </c>
      <c r="H122" s="37">
        <f>G122+H121</f>
        <v>0.41159848215947709</v>
      </c>
      <c r="I122" s="37">
        <f>H122+I121</f>
        <v>0.51389699312119086</v>
      </c>
      <c r="J122" s="37">
        <f>I122+J121</f>
        <v>0.75585721837688069</v>
      </c>
      <c r="K122" s="37">
        <f>J122+K121</f>
        <v>1</v>
      </c>
    </row>
    <row r="123" spans="1:19" x14ac:dyDescent="0.3">
      <c r="A123" s="181" t="s">
        <v>116</v>
      </c>
      <c r="B123" s="181"/>
      <c r="C123" s="181"/>
      <c r="D123" s="181"/>
      <c r="L123" s="77">
        <f>ROUND(ANTICIPO-L120,0)</f>
        <v>0</v>
      </c>
      <c r="N123" s="78">
        <f>ROUND(L120-SUM(N120:Q120),0)</f>
        <v>0</v>
      </c>
      <c r="O123" s="16" t="s">
        <v>117</v>
      </c>
    </row>
  </sheetData>
  <mergeCells count="31">
    <mergeCell ref="A121:D121"/>
    <mergeCell ref="A122:D122"/>
    <mergeCell ref="A123:D123"/>
    <mergeCell ref="A98:Q98"/>
    <mergeCell ref="A114:D114"/>
    <mergeCell ref="A116:Q116"/>
    <mergeCell ref="A118:D118"/>
    <mergeCell ref="A120:D120"/>
    <mergeCell ref="A69:D69"/>
    <mergeCell ref="A71:Q71"/>
    <mergeCell ref="A92:D92"/>
    <mergeCell ref="A94:Q94"/>
    <mergeCell ref="A96:D96"/>
    <mergeCell ref="A6:Q6"/>
    <mergeCell ref="A18:D18"/>
    <mergeCell ref="A20:Q20"/>
    <mergeCell ref="A43:D43"/>
    <mergeCell ref="A45:Q45"/>
    <mergeCell ref="A1:Q1"/>
    <mergeCell ref="A2:Q2"/>
    <mergeCell ref="A4:A5"/>
    <mergeCell ref="B4:B5"/>
    <mergeCell ref="C4:C5"/>
    <mergeCell ref="D4:D5"/>
    <mergeCell ref="E4:E5"/>
    <mergeCell ref="L4:L5"/>
    <mergeCell ref="M4:M5"/>
    <mergeCell ref="N4:N5"/>
    <mergeCell ref="O4:O5"/>
    <mergeCell ref="P4:P5"/>
    <mergeCell ref="Q4:Q5"/>
  </mergeCells>
  <printOptions horizontalCentered="1"/>
  <pageMargins left="0.4" right="0.4" top="0.5" bottom="0.5" header="0.511811023622047" footer="0.5"/>
  <pageSetup scale="43" fitToHeight="0" orientation="landscape" horizontalDpi="300" verticalDpi="300" r:id="rId1"/>
  <headerFooter>
    <oddFooter>&amp;C&amp;8 Plan de Inversión del Anticipo – Contrato de Obra No. 233 de 2026 – Página &amp;P de &amp;N</oddFooter>
  </headerFooter>
  <rowBreaks count="2" manualBreakCount="2">
    <brk id="43" max="16383" man="1"/>
    <brk id="93" max="16383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4FB0C6"/>
    <pageSetUpPr fitToPage="1"/>
  </sheetPr>
  <dimension ref="A1:AM116"/>
  <sheetViews>
    <sheetView showGridLines="0" view="pageBreakPreview" zoomScale="60" zoomScaleNormal="90" workbookViewId="0">
      <pane xSplit="5" ySplit="5" topLeftCell="F90" activePane="bottomRight" state="frozen"/>
      <selection pane="topRight" activeCell="F1" sqref="F1"/>
      <selection pane="bottomLeft" activeCell="A6" sqref="A6"/>
      <selection pane="bottomRight" activeCell="D123" sqref="D123"/>
    </sheetView>
  </sheetViews>
  <sheetFormatPr baseColWidth="10" defaultColWidth="8.6640625" defaultRowHeight="14.4" x14ac:dyDescent="0.3"/>
  <cols>
    <col min="1" max="1" width="4.44140625" customWidth="1"/>
    <col min="2" max="2" width="12" customWidth="1"/>
    <col min="3" max="3" width="5.5546875" customWidth="1"/>
    <col min="4" max="4" width="44" customWidth="1"/>
    <col min="5" max="5" width="13" customWidth="1"/>
    <col min="6" max="18" width="7" customWidth="1"/>
    <col min="19" max="19" width="8" customWidth="1"/>
    <col min="20" max="20" width="2" customWidth="1"/>
    <col min="21" max="33" width="7" customWidth="1"/>
    <col min="34" max="34" width="6" customWidth="1"/>
    <col min="36" max="39" width="13" hidden="1" customWidth="1"/>
  </cols>
  <sheetData>
    <row r="1" spans="1:39" ht="33.75" customHeight="1" x14ac:dyDescent="0.3">
      <c r="A1" s="165" t="s">
        <v>118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</row>
    <row r="2" spans="1:39" ht="42" customHeight="1" x14ac:dyDescent="0.3">
      <c r="A2" s="12" t="s">
        <v>119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</row>
    <row r="3" spans="1:39" ht="15" customHeight="1" x14ac:dyDescent="0.3">
      <c r="F3" s="182" t="s">
        <v>120</v>
      </c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U3" s="183" t="s">
        <v>121</v>
      </c>
      <c r="V3" s="183"/>
      <c r="W3" s="183"/>
      <c r="X3" s="183"/>
      <c r="Y3" s="183"/>
      <c r="Z3" s="183"/>
      <c r="AA3" s="183"/>
      <c r="AB3" s="183"/>
      <c r="AC3" s="183"/>
      <c r="AD3" s="183"/>
      <c r="AE3" s="183"/>
      <c r="AF3" s="183"/>
      <c r="AG3" s="183"/>
      <c r="AH3" s="183"/>
    </row>
    <row r="4" spans="1:39" ht="21.75" customHeight="1" x14ac:dyDescent="0.3">
      <c r="A4" s="148" t="s">
        <v>122</v>
      </c>
      <c r="B4" s="148" t="s">
        <v>123</v>
      </c>
      <c r="C4" s="148" t="s">
        <v>87</v>
      </c>
      <c r="D4" s="148" t="s">
        <v>88</v>
      </c>
      <c r="E4" s="148" t="s">
        <v>124</v>
      </c>
      <c r="F4" s="25" t="s">
        <v>125</v>
      </c>
      <c r="G4" s="25" t="s">
        <v>126</v>
      </c>
      <c r="H4" s="25" t="s">
        <v>127</v>
      </c>
      <c r="I4" s="25" t="s">
        <v>128</v>
      </c>
      <c r="J4" s="25" t="s">
        <v>129</v>
      </c>
      <c r="K4" s="25" t="s">
        <v>130</v>
      </c>
      <c r="L4" s="17" t="s">
        <v>131</v>
      </c>
      <c r="M4" s="17" t="s">
        <v>132</v>
      </c>
      <c r="N4" s="17" t="s">
        <v>133</v>
      </c>
      <c r="O4" s="17" t="s">
        <v>134</v>
      </c>
      <c r="P4" s="17" t="s">
        <v>135</v>
      </c>
      <c r="Q4" s="17" t="s">
        <v>136</v>
      </c>
      <c r="R4" s="17" t="s">
        <v>137</v>
      </c>
      <c r="S4" s="184" t="s">
        <v>138</v>
      </c>
      <c r="U4" s="25" t="s">
        <v>125</v>
      </c>
      <c r="V4" s="25" t="s">
        <v>126</v>
      </c>
      <c r="W4" s="25" t="s">
        <v>127</v>
      </c>
      <c r="X4" s="25" t="s">
        <v>128</v>
      </c>
      <c r="Y4" s="25" t="s">
        <v>129</v>
      </c>
      <c r="Z4" s="25" t="s">
        <v>130</v>
      </c>
      <c r="AA4" s="17" t="s">
        <v>131</v>
      </c>
      <c r="AB4" s="17" t="s">
        <v>132</v>
      </c>
      <c r="AC4" s="17" t="s">
        <v>133</v>
      </c>
      <c r="AD4" s="17" t="s">
        <v>134</v>
      </c>
      <c r="AE4" s="17" t="s">
        <v>135</v>
      </c>
      <c r="AF4" s="17" t="s">
        <v>136</v>
      </c>
      <c r="AG4" s="17" t="s">
        <v>137</v>
      </c>
      <c r="AH4" s="184" t="s">
        <v>138</v>
      </c>
      <c r="AJ4" s="79" t="s">
        <v>139</v>
      </c>
      <c r="AK4" s="79" t="s">
        <v>140</v>
      </c>
      <c r="AL4" s="79" t="s">
        <v>141</v>
      </c>
      <c r="AM4" s="79" t="s">
        <v>142</v>
      </c>
    </row>
    <row r="5" spans="1:39" ht="18" customHeight="1" x14ac:dyDescent="0.3">
      <c r="A5" s="148"/>
      <c r="B5" s="148"/>
      <c r="C5" s="148"/>
      <c r="D5" s="148"/>
      <c r="E5" s="148"/>
      <c r="F5" s="33">
        <f>F_INICIO+7*0</f>
        <v>46295</v>
      </c>
      <c r="G5" s="33">
        <f>F_INICIO+7*1</f>
        <v>46302</v>
      </c>
      <c r="H5" s="33">
        <f>F_INICIO+7*2</f>
        <v>46309</v>
      </c>
      <c r="I5" s="33">
        <f>F_INICIO+7*3</f>
        <v>46316</v>
      </c>
      <c r="J5" s="33">
        <f>F_INICIO+7*4</f>
        <v>46323</v>
      </c>
      <c r="K5" s="33">
        <f>F_INICIO+7*5</f>
        <v>46330</v>
      </c>
      <c r="L5" s="80">
        <f>F_INICIO+7*6</f>
        <v>46337</v>
      </c>
      <c r="M5" s="80">
        <f>F_INICIO+7*7</f>
        <v>46344</v>
      </c>
      <c r="N5" s="80">
        <f>F_INICIO+7*8</f>
        <v>46351</v>
      </c>
      <c r="O5" s="80">
        <f>F_INICIO+7*9</f>
        <v>46358</v>
      </c>
      <c r="P5" s="80">
        <f>F_INICIO+7*10</f>
        <v>46365</v>
      </c>
      <c r="Q5" s="80">
        <f>F_INICIO+7*11</f>
        <v>46372</v>
      </c>
      <c r="R5" s="80">
        <f>F_INICIO+7*12</f>
        <v>46379</v>
      </c>
      <c r="S5" s="184"/>
      <c r="U5" s="33">
        <f>F_INICIO+7*0</f>
        <v>46295</v>
      </c>
      <c r="V5" s="33">
        <f>F_INICIO+7*1</f>
        <v>46302</v>
      </c>
      <c r="W5" s="33">
        <f>F_INICIO+7*2</f>
        <v>46309</v>
      </c>
      <c r="X5" s="33">
        <f>F_INICIO+7*3</f>
        <v>46316</v>
      </c>
      <c r="Y5" s="33">
        <f>F_INICIO+7*4</f>
        <v>46323</v>
      </c>
      <c r="Z5" s="33">
        <f>F_INICIO+7*5</f>
        <v>46330</v>
      </c>
      <c r="AA5" s="80">
        <f>F_INICIO+7*6</f>
        <v>46337</v>
      </c>
      <c r="AB5" s="80">
        <f>F_INICIO+7*7</f>
        <v>46344</v>
      </c>
      <c r="AC5" s="80">
        <f>F_INICIO+7*8</f>
        <v>46351</v>
      </c>
      <c r="AD5" s="80">
        <f>F_INICIO+7*9</f>
        <v>46358</v>
      </c>
      <c r="AE5" s="80">
        <f>F_INICIO+7*10</f>
        <v>46365</v>
      </c>
      <c r="AF5" s="80">
        <f>F_INICIO+7*11</f>
        <v>46372</v>
      </c>
      <c r="AG5" s="80">
        <f>F_INICIO+7*12</f>
        <v>46379</v>
      </c>
      <c r="AH5" s="184"/>
    </row>
    <row r="6" spans="1:39" ht="15" x14ac:dyDescent="0.3">
      <c r="A6" s="185" t="s">
        <v>22</v>
      </c>
      <c r="B6" s="185"/>
      <c r="C6" s="185"/>
      <c r="D6" s="185"/>
      <c r="E6" s="185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9" x14ac:dyDescent="0.3">
      <c r="A7" s="82">
        <f>'BASE PRESUPUESTO'!A5</f>
        <v>1</v>
      </c>
      <c r="B7" s="83" t="s">
        <v>143</v>
      </c>
      <c r="C7" s="82" t="str">
        <f>'BASE PRESUPUESTO'!C5</f>
        <v>1.1</v>
      </c>
      <c r="D7" s="84" t="str">
        <f>'BASE PRESUPUESTO'!D5</f>
        <v>LOCALIZACION-REPLANTEO ACUEDUCTO-ALCANTARILLADO</v>
      </c>
      <c r="E7" s="85">
        <f>'BASE PRESUPUESTO'!H5</f>
        <v>676750</v>
      </c>
      <c r="F7" s="86">
        <v>1</v>
      </c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7">
        <f t="shared" ref="S7:S17" si="0">SUM(F7:R7)</f>
        <v>1</v>
      </c>
      <c r="U7" s="86">
        <v>1</v>
      </c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7">
        <f t="shared" ref="AH7:AH17" si="1">SUM(U7:AG7)</f>
        <v>1</v>
      </c>
      <c r="AJ7" s="88">
        <f>'BASE PRESUPUESTO'!O5</f>
        <v>111506.59071093975</v>
      </c>
      <c r="AK7" s="88">
        <f>'BASE PRESUPUESTO'!P5</f>
        <v>475238.08943269658</v>
      </c>
      <c r="AL7" s="88">
        <f>'BASE PRESUPUESTO'!Q5</f>
        <v>90005.319856363625</v>
      </c>
      <c r="AM7" s="88">
        <f>'BASE PRESUPUESTO'!R5</f>
        <v>0</v>
      </c>
    </row>
    <row r="8" spans="1:39" x14ac:dyDescent="0.3">
      <c r="A8" s="82">
        <f>'BASE PRESUPUESTO'!A6</f>
        <v>2</v>
      </c>
      <c r="B8" s="83" t="s">
        <v>143</v>
      </c>
      <c r="C8" s="82" t="str">
        <f>'BASE PRESUPUESTO'!C6</f>
        <v>1.2</v>
      </c>
      <c r="D8" s="84" t="str">
        <f>'BASE PRESUPUESTO'!D6</f>
        <v>BODEGAJE</v>
      </c>
      <c r="E8" s="85">
        <f>'BASE PRESUPUESTO'!H6</f>
        <v>187668</v>
      </c>
      <c r="F8" s="86">
        <v>0.25</v>
      </c>
      <c r="G8" s="86">
        <v>0.25</v>
      </c>
      <c r="H8" s="86">
        <v>0.25</v>
      </c>
      <c r="I8" s="86">
        <v>0.25</v>
      </c>
      <c r="J8" s="86"/>
      <c r="K8" s="86"/>
      <c r="L8" s="86"/>
      <c r="M8" s="86"/>
      <c r="N8" s="86"/>
      <c r="O8" s="86"/>
      <c r="P8" s="86"/>
      <c r="Q8" s="86"/>
      <c r="R8" s="86"/>
      <c r="S8" s="87">
        <f t="shared" si="0"/>
        <v>1</v>
      </c>
      <c r="U8" s="86">
        <v>1</v>
      </c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7">
        <f t="shared" si="1"/>
        <v>1</v>
      </c>
      <c r="AJ8" s="88">
        <f>'BASE PRESUPUESTO'!O6</f>
        <v>0</v>
      </c>
      <c r="AK8" s="88">
        <f>'BASE PRESUPUESTO'!P6</f>
        <v>0</v>
      </c>
      <c r="AL8" s="88">
        <f>'BASE PRESUPUESTO'!Q6</f>
        <v>0</v>
      </c>
      <c r="AM8" s="88">
        <f>'BASE PRESUPUESTO'!R6</f>
        <v>187668</v>
      </c>
    </row>
    <row r="9" spans="1:39" x14ac:dyDescent="0.3">
      <c r="A9" s="82">
        <f>'BASE PRESUPUESTO'!A7</f>
        <v>3</v>
      </c>
      <c r="B9" s="83" t="s">
        <v>143</v>
      </c>
      <c r="C9" s="82" t="str">
        <f>'BASE PRESUPUESTO'!C7</f>
        <v>1.3</v>
      </c>
      <c r="D9" s="84" t="str">
        <f>'BASE PRESUPUESTO'!D7</f>
        <v>EXCAVACION EN CONGLOMERADO (MANUAL)</v>
      </c>
      <c r="E9" s="85">
        <f>'BASE PRESUPUESTO'!H7</f>
        <v>1754063</v>
      </c>
      <c r="F9" s="86">
        <v>0.5</v>
      </c>
      <c r="G9" s="86">
        <v>0.5</v>
      </c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7">
        <f t="shared" si="0"/>
        <v>1</v>
      </c>
      <c r="U9" s="86">
        <v>1</v>
      </c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7">
        <f t="shared" si="1"/>
        <v>1</v>
      </c>
      <c r="AJ9" s="88">
        <f>'BASE PRESUPUESTO'!O7</f>
        <v>0</v>
      </c>
      <c r="AK9" s="88">
        <f>'BASE PRESUPUESTO'!P7</f>
        <v>1694773.8304898925</v>
      </c>
      <c r="AL9" s="88">
        <f>'BASE PRESUPUESTO'!Q7</f>
        <v>59289.169510107378</v>
      </c>
      <c r="AM9" s="88">
        <f>'BASE PRESUPUESTO'!R7</f>
        <v>0</v>
      </c>
    </row>
    <row r="10" spans="1:39" x14ac:dyDescent="0.3">
      <c r="A10" s="82">
        <f>'BASE PRESUPUESTO'!A8</f>
        <v>4</v>
      </c>
      <c r="B10" s="83" t="s">
        <v>143</v>
      </c>
      <c r="C10" s="82" t="str">
        <f>'BASE PRESUPUESTO'!C8</f>
        <v>2.1</v>
      </c>
      <c r="D10" s="84" t="str">
        <f>'BASE PRESUPUESTO'!D8</f>
        <v>VALVULA VENTOSA 2" DOBLE EFECTO"</v>
      </c>
      <c r="E10" s="85">
        <f>'BASE PRESUPUESTO'!H8</f>
        <v>1218064</v>
      </c>
      <c r="F10" s="86"/>
      <c r="G10" s="86"/>
      <c r="H10" s="86">
        <v>1</v>
      </c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7">
        <f t="shared" si="0"/>
        <v>1</v>
      </c>
      <c r="U10" s="86"/>
      <c r="V10" s="86">
        <v>1</v>
      </c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7">
        <f t="shared" si="1"/>
        <v>1</v>
      </c>
      <c r="AJ10" s="88">
        <f>'BASE PRESUPUESTO'!O8</f>
        <v>1080715.3223867677</v>
      </c>
      <c r="AK10" s="88">
        <f>'BASE PRESUPUESTO'!P8</f>
        <v>132020.66615382885</v>
      </c>
      <c r="AL10" s="88">
        <f>'BASE PRESUPUESTO'!Q8</f>
        <v>5328.0114594031065</v>
      </c>
      <c r="AM10" s="88">
        <f>'BASE PRESUPUESTO'!R8</f>
        <v>0</v>
      </c>
    </row>
    <row r="11" spans="1:39" x14ac:dyDescent="0.3">
      <c r="A11" s="82">
        <f>'BASE PRESUPUESTO'!A9</f>
        <v>5</v>
      </c>
      <c r="B11" s="83" t="s">
        <v>143</v>
      </c>
      <c r="C11" s="82" t="str">
        <f>'BASE PRESUPUESTO'!C9</f>
        <v>2.2</v>
      </c>
      <c r="D11" s="84" t="str">
        <f>'BASE PRESUPUESTO'!D9</f>
        <v>VALVULA CIERRE RAPIDO 2"</v>
      </c>
      <c r="E11" s="85">
        <f>'BASE PRESUPUESTO'!H9</f>
        <v>189699</v>
      </c>
      <c r="F11" s="86"/>
      <c r="G11" s="86"/>
      <c r="H11" s="86">
        <v>1</v>
      </c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7">
        <f t="shared" si="0"/>
        <v>1</v>
      </c>
      <c r="U11" s="86"/>
      <c r="V11" s="86">
        <v>1</v>
      </c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7">
        <f t="shared" si="1"/>
        <v>1</v>
      </c>
      <c r="AJ11" s="88">
        <f>'BASE PRESUPUESTO'!O9</f>
        <v>171284.78169354275</v>
      </c>
      <c r="AK11" s="88">
        <f>'BASE PRESUPUESTO'!P9</f>
        <v>16627.732404334733</v>
      </c>
      <c r="AL11" s="88">
        <f>'BASE PRESUPUESTO'!Q9</f>
        <v>1786.4859021224747</v>
      </c>
      <c r="AM11" s="88">
        <f>'BASE PRESUPUESTO'!R9</f>
        <v>0</v>
      </c>
    </row>
    <row r="12" spans="1:39" x14ac:dyDescent="0.3">
      <c r="A12" s="82">
        <f>'BASE PRESUPUESTO'!A10</f>
        <v>6</v>
      </c>
      <c r="B12" s="83" t="s">
        <v>143</v>
      </c>
      <c r="C12" s="82" t="str">
        <f>'BASE PRESUPUESTO'!C10</f>
        <v>2.3</v>
      </c>
      <c r="D12" s="84" t="str">
        <f>'BASE PRESUPUESTO'!D10</f>
        <v>COLCHON ARENA GRUESA E=5-7CM</v>
      </c>
      <c r="E12" s="85">
        <f>'BASE PRESUPUESTO'!H10</f>
        <v>254667</v>
      </c>
      <c r="F12" s="86"/>
      <c r="G12" s="86">
        <v>1</v>
      </c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7">
        <f t="shared" si="0"/>
        <v>1</v>
      </c>
      <c r="U12" s="86">
        <v>1</v>
      </c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7">
        <f t="shared" si="1"/>
        <v>1</v>
      </c>
      <c r="AJ12" s="88">
        <f>'BASE PRESUPUESTO'!O10</f>
        <v>229431.93868863335</v>
      </c>
      <c r="AK12" s="88">
        <f>'BASE PRESUPUESTO'!P10</f>
        <v>24643.091881773147</v>
      </c>
      <c r="AL12" s="88">
        <f>'BASE PRESUPUESTO'!Q10</f>
        <v>591.96942959357261</v>
      </c>
      <c r="AM12" s="88">
        <f>'BASE PRESUPUESTO'!R10</f>
        <v>0</v>
      </c>
    </row>
    <row r="13" spans="1:39" x14ac:dyDescent="0.3">
      <c r="A13" s="82">
        <f>'BASE PRESUPUESTO'!A11</f>
        <v>7</v>
      </c>
      <c r="B13" s="83" t="s">
        <v>143</v>
      </c>
      <c r="C13" s="82" t="str">
        <f>'BASE PRESUPUESTO'!C11</f>
        <v>2.4</v>
      </c>
      <c r="D13" s="84" t="str">
        <f>'BASE PRESUPUESTO'!D11</f>
        <v>TUBERIA PVC RED 21 DIAMETRO 2"</v>
      </c>
      <c r="E13" s="85">
        <f>'BASE PRESUPUESTO'!H11</f>
        <v>7769250</v>
      </c>
      <c r="F13" s="86"/>
      <c r="G13" s="86">
        <v>0.5</v>
      </c>
      <c r="H13" s="86">
        <v>0.5</v>
      </c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7">
        <f t="shared" si="0"/>
        <v>1</v>
      </c>
      <c r="U13" s="86">
        <v>1</v>
      </c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7">
        <f t="shared" si="1"/>
        <v>1</v>
      </c>
      <c r="AJ13" s="88">
        <f>'BASE PRESUPUESTO'!O11</f>
        <v>5086536.5266890228</v>
      </c>
      <c r="AK13" s="88">
        <f>'BASE PRESUPUESTO'!P11</f>
        <v>2471347.5781198693</v>
      </c>
      <c r="AL13" s="88">
        <f>'BASE PRESUPUESTO'!Q11</f>
        <v>211365.89519110805</v>
      </c>
      <c r="AM13" s="88">
        <f>'BASE PRESUPUESTO'!R11</f>
        <v>0</v>
      </c>
    </row>
    <row r="14" spans="1:39" x14ac:dyDescent="0.3">
      <c r="A14" s="82">
        <f>'BASE PRESUPUESTO'!A12</f>
        <v>8</v>
      </c>
      <c r="B14" s="83" t="s">
        <v>143</v>
      </c>
      <c r="C14" s="82" t="str">
        <f>'BASE PRESUPUESTO'!C12</f>
        <v>2.5</v>
      </c>
      <c r="D14" s="84" t="str">
        <f>'BASE PRESUPUESTO'!D12</f>
        <v>CAJA INSPECCION 80x 80 CM [CONCRETO]</v>
      </c>
      <c r="E14" s="85">
        <f>'BASE PRESUPUESTO'!H12</f>
        <v>1817481</v>
      </c>
      <c r="F14" s="86"/>
      <c r="G14" s="86"/>
      <c r="H14" s="86">
        <v>0.5</v>
      </c>
      <c r="I14" s="86">
        <v>0.5</v>
      </c>
      <c r="J14" s="86"/>
      <c r="K14" s="86"/>
      <c r="L14" s="86"/>
      <c r="M14" s="86"/>
      <c r="N14" s="86"/>
      <c r="O14" s="86"/>
      <c r="P14" s="86"/>
      <c r="Q14" s="86"/>
      <c r="R14" s="86"/>
      <c r="S14" s="87">
        <f t="shared" si="0"/>
        <v>1</v>
      </c>
      <c r="U14" s="86"/>
      <c r="V14" s="86">
        <v>1</v>
      </c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7">
        <f t="shared" si="1"/>
        <v>1</v>
      </c>
      <c r="AJ14" s="88">
        <f>'BASE PRESUPUESTO'!O12</f>
        <v>1030878.9033396359</v>
      </c>
      <c r="AK14" s="88">
        <f>'BASE PRESUPUESTO'!P12</f>
        <v>786094.53676078736</v>
      </c>
      <c r="AL14" s="88">
        <f>'BASE PRESUPUESTO'!Q12</f>
        <v>507.55989957675581</v>
      </c>
      <c r="AM14" s="88">
        <f>'BASE PRESUPUESTO'!R12</f>
        <v>0</v>
      </c>
    </row>
    <row r="15" spans="1:39" x14ac:dyDescent="0.3">
      <c r="A15" s="82">
        <f>'BASE PRESUPUESTO'!A13</f>
        <v>9</v>
      </c>
      <c r="B15" s="83" t="s">
        <v>143</v>
      </c>
      <c r="C15" s="82" t="str">
        <f>'BASE PRESUPUESTO'!C13</f>
        <v>2.6</v>
      </c>
      <c r="D15" s="84" t="str">
        <f>'BASE PRESUPUESTO'!D13</f>
        <v>ACARREO MATERIALES TRACCION ANIMAL</v>
      </c>
      <c r="E15" s="85">
        <f>'BASE PRESUPUESTO'!H13</f>
        <v>84177</v>
      </c>
      <c r="F15" s="86"/>
      <c r="G15" s="86">
        <v>0.5</v>
      </c>
      <c r="H15" s="86">
        <v>0.5</v>
      </c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7">
        <f t="shared" si="0"/>
        <v>1</v>
      </c>
      <c r="U15" s="86">
        <v>1</v>
      </c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7">
        <f t="shared" si="1"/>
        <v>1</v>
      </c>
      <c r="AJ15" s="88">
        <f>'BASE PRESUPUESTO'!O13</f>
        <v>0</v>
      </c>
      <c r="AK15" s="88">
        <f>'BASE PRESUPUESTO'!P13</f>
        <v>0</v>
      </c>
      <c r="AL15" s="88">
        <f>'BASE PRESUPUESTO'!Q13</f>
        <v>0</v>
      </c>
      <c r="AM15" s="88">
        <f>'BASE PRESUPUESTO'!R13</f>
        <v>84177</v>
      </c>
    </row>
    <row r="16" spans="1:39" x14ac:dyDescent="0.3">
      <c r="A16" s="82">
        <f>'BASE PRESUPUESTO'!A14</f>
        <v>10</v>
      </c>
      <c r="B16" s="83" t="s">
        <v>143</v>
      </c>
      <c r="C16" s="82" t="str">
        <f>'BASE PRESUPUESTO'!C14</f>
        <v>2.7</v>
      </c>
      <c r="D16" s="84" t="str">
        <f>'BASE PRESUPUESTO'!D14</f>
        <v>ACARREO MATERIALES DESDE O HACIA LA OBRA&lt;- 10 KM.</v>
      </c>
      <c r="E16" s="85">
        <f>'BASE PRESUPUESTO'!H14</f>
        <v>55282</v>
      </c>
      <c r="F16" s="86">
        <v>0.5</v>
      </c>
      <c r="G16" s="86">
        <v>0.5</v>
      </c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7">
        <f t="shared" si="0"/>
        <v>1</v>
      </c>
      <c r="U16" s="86">
        <v>1</v>
      </c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7">
        <f t="shared" si="1"/>
        <v>1</v>
      </c>
      <c r="AJ16" s="88">
        <f>'BASE PRESUPUESTO'!O14</f>
        <v>0</v>
      </c>
      <c r="AK16" s="88">
        <f>'BASE PRESUPUESTO'!P14</f>
        <v>0</v>
      </c>
      <c r="AL16" s="88">
        <f>'BASE PRESUPUESTO'!Q14</f>
        <v>0</v>
      </c>
      <c r="AM16" s="88">
        <f>'BASE PRESUPUESTO'!R14</f>
        <v>55282</v>
      </c>
    </row>
    <row r="17" spans="1:39" x14ac:dyDescent="0.3">
      <c r="A17" s="82">
        <f>'BASE PRESUPUESTO'!A15</f>
        <v>11</v>
      </c>
      <c r="B17" s="83" t="s">
        <v>143</v>
      </c>
      <c r="C17" s="82" t="str">
        <f>'BASE PRESUPUESTO'!C15</f>
        <v>2.8</v>
      </c>
      <c r="D17" s="84" t="str">
        <f>'BASE PRESUPUESTO'!D15</f>
        <v>ACARREO MATERIALES CAMPERO-CAMIONETA</v>
      </c>
      <c r="E17" s="85">
        <f>'BASE PRESUPUESTO'!H15</f>
        <v>785520</v>
      </c>
      <c r="F17" s="86">
        <v>0.33333333333333298</v>
      </c>
      <c r="G17" s="86">
        <v>0.33333333333333298</v>
      </c>
      <c r="H17" s="86">
        <v>0.33333333333333298</v>
      </c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7">
        <f t="shared" si="0"/>
        <v>0.99999999999999889</v>
      </c>
      <c r="U17" s="86">
        <v>1</v>
      </c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7">
        <f t="shared" si="1"/>
        <v>1</v>
      </c>
      <c r="AJ17" s="88">
        <f>'BASE PRESUPUESTO'!O15</f>
        <v>0</v>
      </c>
      <c r="AK17" s="88">
        <f>'BASE PRESUPUESTO'!P15</f>
        <v>0</v>
      </c>
      <c r="AL17" s="88">
        <f>'BASE PRESUPUESTO'!Q15</f>
        <v>0</v>
      </c>
      <c r="AM17" s="88">
        <f>'BASE PRESUPUESTO'!R15</f>
        <v>785520</v>
      </c>
    </row>
    <row r="18" spans="1:39" ht="15" x14ac:dyDescent="0.3">
      <c r="A18" s="186" t="s">
        <v>23</v>
      </c>
      <c r="B18" s="186"/>
      <c r="C18" s="186"/>
      <c r="D18" s="186"/>
      <c r="E18" s="186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</row>
    <row r="19" spans="1:39" x14ac:dyDescent="0.3">
      <c r="A19" s="82">
        <f>'BASE PRESUPUESTO'!A16</f>
        <v>12</v>
      </c>
      <c r="B19" s="90" t="s">
        <v>144</v>
      </c>
      <c r="C19" s="82" t="str">
        <f>'BASE PRESUPUESTO'!C16</f>
        <v>1.1</v>
      </c>
      <c r="D19" s="84" t="str">
        <f>'BASE PRESUPUESTO'!D16</f>
        <v>LOCALIZACION-REPLANTEO CERRAMIENTO-VARIO</v>
      </c>
      <c r="E19" s="85">
        <f>'BASE PRESUPUESTO'!H16</f>
        <v>88276</v>
      </c>
      <c r="F19" s="86"/>
      <c r="G19" s="86">
        <v>1</v>
      </c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7">
        <f t="shared" ref="S19:S40" si="2">SUM(F19:R19)</f>
        <v>1</v>
      </c>
      <c r="U19" s="86">
        <v>1</v>
      </c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7">
        <f t="shared" ref="AH19:AH40" si="3">SUM(U19:AG19)</f>
        <v>1</v>
      </c>
      <c r="AJ19" s="88">
        <f>'BASE PRESUPUESTO'!O16</f>
        <v>12990.031245154065</v>
      </c>
      <c r="AK19" s="88">
        <f>'BASE PRESUPUESTO'!P16</f>
        <v>64800.741740820304</v>
      </c>
      <c r="AL19" s="88">
        <f>'BASE PRESUPUESTO'!Q16</f>
        <v>10485.227014025715</v>
      </c>
      <c r="AM19" s="88">
        <f>'BASE PRESUPUESTO'!R16</f>
        <v>0</v>
      </c>
    </row>
    <row r="20" spans="1:39" x14ac:dyDescent="0.3">
      <c r="A20" s="82">
        <f>'BASE PRESUPUESTO'!A17</f>
        <v>13</v>
      </c>
      <c r="B20" s="90" t="s">
        <v>144</v>
      </c>
      <c r="C20" s="82" t="str">
        <f>'BASE PRESUPUESTO'!C17</f>
        <v>1.2</v>
      </c>
      <c r="D20" s="84" t="str">
        <f>'BASE PRESUPUESTO'!D17</f>
        <v>BODEGAJE</v>
      </c>
      <c r="E20" s="85">
        <f>'BASE PRESUPUESTO'!H17</f>
        <v>375336</v>
      </c>
      <c r="F20" s="86"/>
      <c r="G20" s="86">
        <v>0.125</v>
      </c>
      <c r="H20" s="86">
        <v>0.125</v>
      </c>
      <c r="I20" s="86">
        <v>0.125</v>
      </c>
      <c r="J20" s="86">
        <v>0.125</v>
      </c>
      <c r="K20" s="86">
        <v>0.125</v>
      </c>
      <c r="L20" s="86">
        <v>0.125</v>
      </c>
      <c r="M20" s="86">
        <v>0.125</v>
      </c>
      <c r="N20" s="86">
        <v>0.125</v>
      </c>
      <c r="O20" s="86"/>
      <c r="P20" s="86"/>
      <c r="Q20" s="86"/>
      <c r="R20" s="86"/>
      <c r="S20" s="87">
        <f t="shared" si="2"/>
        <v>1</v>
      </c>
      <c r="U20" s="86">
        <v>1</v>
      </c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7">
        <f t="shared" si="3"/>
        <v>1</v>
      </c>
      <c r="AJ20" s="88">
        <f>'BASE PRESUPUESTO'!O17</f>
        <v>0</v>
      </c>
      <c r="AK20" s="88">
        <f>'BASE PRESUPUESTO'!P17</f>
        <v>0</v>
      </c>
      <c r="AL20" s="88">
        <f>'BASE PRESUPUESTO'!Q17</f>
        <v>0</v>
      </c>
      <c r="AM20" s="88">
        <f>'BASE PRESUPUESTO'!R17</f>
        <v>375336</v>
      </c>
    </row>
    <row r="21" spans="1:39" x14ac:dyDescent="0.3">
      <c r="A21" s="82">
        <f>'BASE PRESUPUESTO'!A18</f>
        <v>14</v>
      </c>
      <c r="B21" s="90" t="s">
        <v>144</v>
      </c>
      <c r="C21" s="82" t="str">
        <f>'BASE PRESUPUESTO'!C18</f>
        <v>1.3</v>
      </c>
      <c r="D21" s="84" t="str">
        <f>'BASE PRESUPUESTO'!D18</f>
        <v>EXCAVACION EN CONGLOMERADO (MANUAL)</v>
      </c>
      <c r="E21" s="85">
        <f>'BASE PRESUPUESTO'!H18</f>
        <v>3481931</v>
      </c>
      <c r="F21" s="86"/>
      <c r="G21" s="86">
        <v>0.5</v>
      </c>
      <c r="H21" s="86">
        <v>0.5</v>
      </c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7">
        <f t="shared" si="2"/>
        <v>1</v>
      </c>
      <c r="U21" s="86">
        <v>1</v>
      </c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7">
        <f t="shared" si="3"/>
        <v>1</v>
      </c>
      <c r="AJ21" s="88">
        <f>'BASE PRESUPUESTO'!O18</f>
        <v>0</v>
      </c>
      <c r="AK21" s="88">
        <f>'BASE PRESUPUESTO'!P18</f>
        <v>3364238.0794598036</v>
      </c>
      <c r="AL21" s="88">
        <f>'BASE PRESUPUESTO'!Q18</f>
        <v>117692.92054019593</v>
      </c>
      <c r="AM21" s="88">
        <f>'BASE PRESUPUESTO'!R18</f>
        <v>0</v>
      </c>
    </row>
    <row r="22" spans="1:39" x14ac:dyDescent="0.3">
      <c r="A22" s="82">
        <f>'BASE PRESUPUESTO'!A19</f>
        <v>15</v>
      </c>
      <c r="B22" s="90" t="s">
        <v>144</v>
      </c>
      <c r="C22" s="82" t="str">
        <f>'BASE PRESUPUESTO'!C19</f>
        <v>2.1</v>
      </c>
      <c r="D22" s="84" t="str">
        <f>'BASE PRESUPUESTO'!D19</f>
        <v>SOLADO ESPESOR E=0.05M 3000 PSI 210 MPA</v>
      </c>
      <c r="E22" s="85">
        <f>'BASE PRESUPUESTO'!H19</f>
        <v>226706</v>
      </c>
      <c r="F22" s="86"/>
      <c r="G22" s="86"/>
      <c r="H22" s="86"/>
      <c r="I22" s="86">
        <v>1</v>
      </c>
      <c r="J22" s="86"/>
      <c r="K22" s="86"/>
      <c r="L22" s="86"/>
      <c r="M22" s="86"/>
      <c r="N22" s="86"/>
      <c r="O22" s="86"/>
      <c r="P22" s="86"/>
      <c r="Q22" s="86"/>
      <c r="R22" s="86"/>
      <c r="S22" s="87">
        <f t="shared" si="2"/>
        <v>1</v>
      </c>
      <c r="U22" s="86"/>
      <c r="V22" s="86"/>
      <c r="W22" s="86">
        <v>1</v>
      </c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7">
        <f t="shared" si="3"/>
        <v>1</v>
      </c>
      <c r="AJ22" s="88">
        <f>'BASE PRESUPUESTO'!O19</f>
        <v>139582.09332643388</v>
      </c>
      <c r="AK22" s="88">
        <f>'BASE PRESUPUESTO'!P19</f>
        <v>86137.576272451915</v>
      </c>
      <c r="AL22" s="88">
        <f>'BASE PRESUPUESTO'!Q19</f>
        <v>986.33040111419268</v>
      </c>
      <c r="AM22" s="88">
        <f>'BASE PRESUPUESTO'!R19</f>
        <v>0</v>
      </c>
    </row>
    <row r="23" spans="1:39" x14ac:dyDescent="0.3">
      <c r="A23" s="82">
        <f>'BASE PRESUPUESTO'!A20</f>
        <v>16</v>
      </c>
      <c r="B23" s="90" t="s">
        <v>144</v>
      </c>
      <c r="C23" s="82" t="str">
        <f>'BASE PRESUPUESTO'!C20</f>
        <v>2.2</v>
      </c>
      <c r="D23" s="84" t="str">
        <f>'BASE PRESUPUESTO'!D20</f>
        <v>VIGA CIMIENTO ENLACE H-20-40CM 3100 PSI</v>
      </c>
      <c r="E23" s="85">
        <f>'BASE PRESUPUESTO'!H20</f>
        <v>2791721</v>
      </c>
      <c r="F23" s="86"/>
      <c r="G23" s="86"/>
      <c r="H23" s="86"/>
      <c r="I23" s="86">
        <v>0.5</v>
      </c>
      <c r="J23" s="86">
        <v>0.5</v>
      </c>
      <c r="K23" s="86"/>
      <c r="L23" s="86"/>
      <c r="M23" s="86"/>
      <c r="N23" s="86"/>
      <c r="O23" s="86"/>
      <c r="P23" s="86"/>
      <c r="Q23" s="86"/>
      <c r="R23" s="86"/>
      <c r="S23" s="87">
        <f t="shared" si="2"/>
        <v>1</v>
      </c>
      <c r="U23" s="86"/>
      <c r="V23" s="86"/>
      <c r="W23" s="86">
        <v>1</v>
      </c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7">
        <f t="shared" si="3"/>
        <v>1</v>
      </c>
      <c r="AJ23" s="88">
        <f>'BASE PRESUPUESTO'!O20</f>
        <v>1755483.8525108234</v>
      </c>
      <c r="AK23" s="88">
        <f>'BASE PRESUPUESTO'!P20</f>
        <v>1022880.3207227837</v>
      </c>
      <c r="AL23" s="88">
        <f>'BASE PRESUPUESTO'!Q20</f>
        <v>13356.826766392467</v>
      </c>
      <c r="AM23" s="88">
        <f>'BASE PRESUPUESTO'!R20</f>
        <v>0</v>
      </c>
    </row>
    <row r="24" spans="1:39" x14ac:dyDescent="0.3">
      <c r="A24" s="82">
        <f>'BASE PRESUPUESTO'!A21</f>
        <v>17</v>
      </c>
      <c r="B24" s="90" t="s">
        <v>144</v>
      </c>
      <c r="C24" s="82" t="str">
        <f>'BASE PRESUPUESTO'!C21</f>
        <v>2.3</v>
      </c>
      <c r="D24" s="84" t="str">
        <f>'BASE PRESUPUESTO'!D21</f>
        <v>COLUMNA AMARRE MURO</v>
      </c>
      <c r="E24" s="85">
        <f>'BASE PRESUPUESTO'!H21</f>
        <v>462402</v>
      </c>
      <c r="F24" s="86"/>
      <c r="G24" s="86"/>
      <c r="H24" s="86"/>
      <c r="I24" s="86"/>
      <c r="J24" s="86">
        <v>1</v>
      </c>
      <c r="K24" s="86"/>
      <c r="L24" s="86"/>
      <c r="M24" s="86"/>
      <c r="N24" s="86"/>
      <c r="O24" s="86"/>
      <c r="P24" s="86"/>
      <c r="Q24" s="86"/>
      <c r="R24" s="86"/>
      <c r="S24" s="87">
        <f t="shared" si="2"/>
        <v>1</v>
      </c>
      <c r="U24" s="86"/>
      <c r="V24" s="86"/>
      <c r="W24" s="86"/>
      <c r="X24" s="86">
        <v>1</v>
      </c>
      <c r="Y24" s="86"/>
      <c r="Z24" s="86"/>
      <c r="AA24" s="86"/>
      <c r="AB24" s="86"/>
      <c r="AC24" s="86"/>
      <c r="AD24" s="86"/>
      <c r="AE24" s="86"/>
      <c r="AF24" s="86"/>
      <c r="AG24" s="86"/>
      <c r="AH24" s="87">
        <f t="shared" si="3"/>
        <v>1</v>
      </c>
      <c r="AJ24" s="88">
        <f>'BASE PRESUPUESTO'!O21</f>
        <v>146249.86026749251</v>
      </c>
      <c r="AK24" s="88">
        <f>'BASE PRESUPUESTO'!P21</f>
        <v>307898.55448969913</v>
      </c>
      <c r="AL24" s="88">
        <f>'BASE PRESUPUESTO'!Q21</f>
        <v>8253.5852428085436</v>
      </c>
      <c r="AM24" s="88">
        <f>'BASE PRESUPUESTO'!R21</f>
        <v>0</v>
      </c>
    </row>
    <row r="25" spans="1:39" x14ac:dyDescent="0.3">
      <c r="A25" s="82">
        <f>'BASE PRESUPUESTO'!A22</f>
        <v>18</v>
      </c>
      <c r="B25" s="90" t="s">
        <v>144</v>
      </c>
      <c r="C25" s="82" t="str">
        <f>'BASE PRESUPUESTO'!C22</f>
        <v>2.4</v>
      </c>
      <c r="D25" s="84" t="str">
        <f>'BASE PRESUPUESTO'!D22</f>
        <v>MURO LADRILLO SOGA LIMPIO 2C</v>
      </c>
      <c r="E25" s="85">
        <f>'BASE PRESUPUESTO'!H22</f>
        <v>1639428</v>
      </c>
      <c r="F25" s="86"/>
      <c r="G25" s="86"/>
      <c r="H25" s="86"/>
      <c r="I25" s="86"/>
      <c r="J25" s="86">
        <v>1</v>
      </c>
      <c r="K25" s="86"/>
      <c r="L25" s="86"/>
      <c r="M25" s="86"/>
      <c r="N25" s="86"/>
      <c r="O25" s="86"/>
      <c r="P25" s="86"/>
      <c r="Q25" s="86"/>
      <c r="R25" s="86"/>
      <c r="S25" s="87">
        <f t="shared" si="2"/>
        <v>1</v>
      </c>
      <c r="U25" s="86"/>
      <c r="V25" s="86"/>
      <c r="W25" s="86"/>
      <c r="X25" s="86">
        <v>1</v>
      </c>
      <c r="Y25" s="86"/>
      <c r="Z25" s="86"/>
      <c r="AA25" s="86"/>
      <c r="AB25" s="86"/>
      <c r="AC25" s="86"/>
      <c r="AD25" s="86"/>
      <c r="AE25" s="86"/>
      <c r="AF25" s="86"/>
      <c r="AG25" s="86"/>
      <c r="AH25" s="87">
        <f t="shared" si="3"/>
        <v>1</v>
      </c>
      <c r="AJ25" s="88">
        <f>'BASE PRESUPUESTO'!O22</f>
        <v>907153.26339126658</v>
      </c>
      <c r="AK25" s="88">
        <f>'BASE PRESUPUESTO'!P22</f>
        <v>496359.50072037836</v>
      </c>
      <c r="AL25" s="88">
        <f>'BASE PRESUPUESTO'!Q22</f>
        <v>235915.23588835492</v>
      </c>
      <c r="AM25" s="88">
        <f>'BASE PRESUPUESTO'!R22</f>
        <v>0</v>
      </c>
    </row>
    <row r="26" spans="1:39" x14ac:dyDescent="0.3">
      <c r="A26" s="82">
        <f>'BASE PRESUPUESTO'!A23</f>
        <v>19</v>
      </c>
      <c r="B26" s="90" t="s">
        <v>144</v>
      </c>
      <c r="C26" s="82" t="str">
        <f>'BASE PRESUPUESTO'!C23</f>
        <v>2.5</v>
      </c>
      <c r="D26" s="84" t="str">
        <f>'BASE PRESUPUESTO'!D23</f>
        <v>CINTA CONFINAMIENTO MURO</v>
      </c>
      <c r="E26" s="85">
        <f>'BASE PRESUPUESTO'!H23</f>
        <v>1509004</v>
      </c>
      <c r="F26" s="86"/>
      <c r="G26" s="86"/>
      <c r="H26" s="86"/>
      <c r="I26" s="86"/>
      <c r="J26" s="86"/>
      <c r="K26" s="86">
        <v>1</v>
      </c>
      <c r="L26" s="86"/>
      <c r="M26" s="86"/>
      <c r="N26" s="86"/>
      <c r="O26" s="86"/>
      <c r="P26" s="86"/>
      <c r="Q26" s="86"/>
      <c r="R26" s="86"/>
      <c r="S26" s="87">
        <f t="shared" si="2"/>
        <v>1</v>
      </c>
      <c r="U26" s="86"/>
      <c r="V26" s="86"/>
      <c r="W26" s="86"/>
      <c r="X26" s="86"/>
      <c r="Y26" s="86">
        <v>1</v>
      </c>
      <c r="Z26" s="86"/>
      <c r="AA26" s="86"/>
      <c r="AB26" s="86"/>
      <c r="AC26" s="86"/>
      <c r="AD26" s="86"/>
      <c r="AE26" s="86"/>
      <c r="AF26" s="86"/>
      <c r="AG26" s="86"/>
      <c r="AH26" s="87">
        <f t="shared" si="3"/>
        <v>1</v>
      </c>
      <c r="AJ26" s="88">
        <f>'BASE PRESUPUESTO'!O23</f>
        <v>303122.20324049646</v>
      </c>
      <c r="AK26" s="88">
        <f>'BASE PRESUPUESTO'!P23</f>
        <v>1182877.5192359602</v>
      </c>
      <c r="AL26" s="88">
        <f>'BASE PRESUPUESTO'!Q23</f>
        <v>23004.277523543711</v>
      </c>
      <c r="AM26" s="88">
        <f>'BASE PRESUPUESTO'!R23</f>
        <v>0</v>
      </c>
    </row>
    <row r="27" spans="1:39" x14ac:dyDescent="0.3">
      <c r="A27" s="82">
        <f>'BASE PRESUPUESTO'!A24</f>
        <v>20</v>
      </c>
      <c r="B27" s="90" t="s">
        <v>144</v>
      </c>
      <c r="C27" s="82" t="str">
        <f>'BASE PRESUPUESTO'!C24</f>
        <v>2.6</v>
      </c>
      <c r="D27" s="84" t="str">
        <f>'BASE PRESUPUESTO'!D24</f>
        <v>ACERO REFUERZO FLEJADO 60000 PSI 420 Mpa</v>
      </c>
      <c r="E27" s="85">
        <f>'BASE PRESUPUESTO'!H24</f>
        <v>1524500</v>
      </c>
      <c r="F27" s="86"/>
      <c r="G27" s="86"/>
      <c r="H27" s="86"/>
      <c r="I27" s="86">
        <v>1</v>
      </c>
      <c r="J27" s="86"/>
      <c r="K27" s="86"/>
      <c r="L27" s="86"/>
      <c r="M27" s="86"/>
      <c r="N27" s="86"/>
      <c r="O27" s="86"/>
      <c r="P27" s="86"/>
      <c r="Q27" s="86"/>
      <c r="R27" s="86"/>
      <c r="S27" s="87">
        <f t="shared" si="2"/>
        <v>1</v>
      </c>
      <c r="U27" s="86"/>
      <c r="V27" s="86"/>
      <c r="W27" s="86">
        <v>1</v>
      </c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7">
        <f t="shared" si="3"/>
        <v>1</v>
      </c>
      <c r="AJ27" s="88">
        <f>'BASE PRESUPUESTO'!O24</f>
        <v>1231350.9635096353</v>
      </c>
      <c r="AK27" s="88">
        <f>'BASE PRESUPUESTO'!P24</f>
        <v>293149.03649036464</v>
      </c>
      <c r="AL27" s="88">
        <f>'BASE PRESUPUESTO'!Q24</f>
        <v>0</v>
      </c>
      <c r="AM27" s="88">
        <f>'BASE PRESUPUESTO'!R24</f>
        <v>0</v>
      </c>
    </row>
    <row r="28" spans="1:39" x14ac:dyDescent="0.3">
      <c r="A28" s="82">
        <f>'BASE PRESUPUESTO'!A25</f>
        <v>21</v>
      </c>
      <c r="B28" s="90" t="s">
        <v>144</v>
      </c>
      <c r="C28" s="82" t="str">
        <f>'BASE PRESUPUESTO'!C25</f>
        <v>2.7</v>
      </c>
      <c r="D28" s="84" t="str">
        <f>'BASE PRESUPUESTO'!D25</f>
        <v>POSTE TUBO GALV. 1 1/2"X3.0MM C.11</v>
      </c>
      <c r="E28" s="85">
        <f>'BASE PRESUPUESTO'!H25</f>
        <v>1952352</v>
      </c>
      <c r="F28" s="86"/>
      <c r="G28" s="86"/>
      <c r="H28" s="86"/>
      <c r="I28" s="86"/>
      <c r="J28" s="86"/>
      <c r="K28" s="86">
        <v>1</v>
      </c>
      <c r="L28" s="86"/>
      <c r="M28" s="86"/>
      <c r="N28" s="86"/>
      <c r="O28" s="86"/>
      <c r="P28" s="86"/>
      <c r="Q28" s="86"/>
      <c r="R28" s="86"/>
      <c r="S28" s="87">
        <f t="shared" si="2"/>
        <v>1</v>
      </c>
      <c r="U28" s="86"/>
      <c r="V28" s="86"/>
      <c r="W28" s="86"/>
      <c r="X28" s="86"/>
      <c r="Y28" s="86">
        <v>1</v>
      </c>
      <c r="Z28" s="86"/>
      <c r="AA28" s="86"/>
      <c r="AB28" s="86"/>
      <c r="AC28" s="86"/>
      <c r="AD28" s="86"/>
      <c r="AE28" s="86"/>
      <c r="AF28" s="86"/>
      <c r="AG28" s="86"/>
      <c r="AH28" s="87">
        <f t="shared" si="3"/>
        <v>1</v>
      </c>
      <c r="AJ28" s="88">
        <f>'BASE PRESUPUESTO'!O25</f>
        <v>840057.75544332294</v>
      </c>
      <c r="AK28" s="88">
        <f>'BASE PRESUPUESTO'!P25</f>
        <v>721022.84147052339</v>
      </c>
      <c r="AL28" s="88">
        <f>'BASE PRESUPUESTO'!Q25</f>
        <v>391271.40308615559</v>
      </c>
      <c r="AM28" s="88">
        <f>'BASE PRESUPUESTO'!R25</f>
        <v>0</v>
      </c>
    </row>
    <row r="29" spans="1:39" x14ac:dyDescent="0.3">
      <c r="A29" s="82">
        <f>'BASE PRESUPUESTO'!A26</f>
        <v>22</v>
      </c>
      <c r="B29" s="90" t="s">
        <v>144</v>
      </c>
      <c r="C29" s="82" t="str">
        <f>'BASE PRESUPUESTO'!C26</f>
        <v>2.8</v>
      </c>
      <c r="D29" s="84" t="str">
        <f>'BASE PRESUPUESTO'!D26</f>
        <v>ESMALTE SOBRE TUBERIA METALICA-PVC</v>
      </c>
      <c r="E29" s="85">
        <f>'BASE PRESUPUESTO'!H26</f>
        <v>741636</v>
      </c>
      <c r="F29" s="86"/>
      <c r="G29" s="86"/>
      <c r="H29" s="86"/>
      <c r="I29" s="86"/>
      <c r="J29" s="86"/>
      <c r="K29" s="86"/>
      <c r="L29" s="86"/>
      <c r="M29" s="86">
        <v>1</v>
      </c>
      <c r="N29" s="86"/>
      <c r="O29" s="86"/>
      <c r="P29" s="86"/>
      <c r="Q29" s="86"/>
      <c r="R29" s="86"/>
      <c r="S29" s="87">
        <f t="shared" si="2"/>
        <v>1</v>
      </c>
      <c r="U29" s="86"/>
      <c r="V29" s="86"/>
      <c r="W29" s="86"/>
      <c r="X29" s="86"/>
      <c r="Y29" s="86"/>
      <c r="Z29" s="86"/>
      <c r="AA29" s="86">
        <v>1</v>
      </c>
      <c r="AB29" s="86"/>
      <c r="AC29" s="86"/>
      <c r="AD29" s="86"/>
      <c r="AE29" s="86"/>
      <c r="AF29" s="86"/>
      <c r="AG29" s="86"/>
      <c r="AH29" s="87">
        <f t="shared" si="3"/>
        <v>1</v>
      </c>
      <c r="AJ29" s="88">
        <f>'BASE PRESUPUESTO'!O26</f>
        <v>489513.27019404044</v>
      </c>
      <c r="AK29" s="88">
        <f>'BASE PRESUPUESTO'!P26</f>
        <v>232326.97525858079</v>
      </c>
      <c r="AL29" s="88">
        <f>'BASE PRESUPUESTO'!Q26</f>
        <v>19795.754547379445</v>
      </c>
      <c r="AM29" s="88">
        <f>'BASE PRESUPUESTO'!R26</f>
        <v>0</v>
      </c>
    </row>
    <row r="30" spans="1:39" x14ac:dyDescent="0.3">
      <c r="A30" s="82">
        <f>'BASE PRESUPUESTO'!A27</f>
        <v>23</v>
      </c>
      <c r="B30" s="90" t="s">
        <v>144</v>
      </c>
      <c r="C30" s="82" t="str">
        <f>'BASE PRESUPUESTO'!C27</f>
        <v>2.9</v>
      </c>
      <c r="D30" s="84" t="str">
        <f>'BASE PRESUPUESTO'!D27</f>
        <v>MALLA ESLABONADA GALV# 10 ROMBO 2"</v>
      </c>
      <c r="E30" s="85">
        <f>'BASE PRESUPUESTO'!H27</f>
        <v>2696904</v>
      </c>
      <c r="F30" s="86"/>
      <c r="G30" s="86"/>
      <c r="H30" s="86"/>
      <c r="I30" s="86"/>
      <c r="J30" s="86"/>
      <c r="K30" s="86"/>
      <c r="L30" s="86">
        <v>1</v>
      </c>
      <c r="M30" s="86"/>
      <c r="N30" s="86"/>
      <c r="O30" s="86"/>
      <c r="P30" s="86"/>
      <c r="Q30" s="86"/>
      <c r="R30" s="86"/>
      <c r="S30" s="87">
        <f t="shared" si="2"/>
        <v>1</v>
      </c>
      <c r="U30" s="86"/>
      <c r="V30" s="86"/>
      <c r="W30" s="86"/>
      <c r="X30" s="86"/>
      <c r="Y30" s="86"/>
      <c r="Z30" s="86">
        <v>1</v>
      </c>
      <c r="AA30" s="86"/>
      <c r="AB30" s="86"/>
      <c r="AC30" s="86"/>
      <c r="AD30" s="86"/>
      <c r="AE30" s="86"/>
      <c r="AF30" s="86"/>
      <c r="AG30" s="86"/>
      <c r="AH30" s="87">
        <f t="shared" si="3"/>
        <v>1</v>
      </c>
      <c r="AJ30" s="88">
        <f>'BASE PRESUPUESTO'!O27</f>
        <v>1573340.6555250089</v>
      </c>
      <c r="AK30" s="88">
        <f>'BASE PRESUPUESTO'!P27</f>
        <v>1067261.0783644856</v>
      </c>
      <c r="AL30" s="88">
        <f>'BASE PRESUPUESTO'!Q27</f>
        <v>56302.266110505298</v>
      </c>
      <c r="AM30" s="88">
        <f>'BASE PRESUPUESTO'!R27</f>
        <v>0</v>
      </c>
    </row>
    <row r="31" spans="1:39" x14ac:dyDescent="0.3">
      <c r="A31" s="82">
        <f>'BASE PRESUPUESTO'!A28</f>
        <v>24</v>
      </c>
      <c r="B31" s="90" t="s">
        <v>144</v>
      </c>
      <c r="C31" s="82" t="str">
        <f>'BASE PRESUPUESTO'!C28</f>
        <v>2.10</v>
      </c>
      <c r="D31" s="84" t="str">
        <f>'BASE PRESUPUESTO'!D28</f>
        <v>ESMALTE MALLA ESLABONADA 2,1/2"-2"</v>
      </c>
      <c r="E31" s="85">
        <f>'BASE PRESUPUESTO'!H28</f>
        <v>408128</v>
      </c>
      <c r="F31" s="86"/>
      <c r="G31" s="86"/>
      <c r="H31" s="86"/>
      <c r="I31" s="86"/>
      <c r="J31" s="86"/>
      <c r="K31" s="86"/>
      <c r="L31" s="86"/>
      <c r="M31" s="86">
        <v>1</v>
      </c>
      <c r="N31" s="86"/>
      <c r="O31" s="86"/>
      <c r="P31" s="86"/>
      <c r="Q31" s="86"/>
      <c r="R31" s="86"/>
      <c r="S31" s="87">
        <f t="shared" si="2"/>
        <v>1</v>
      </c>
      <c r="U31" s="86"/>
      <c r="V31" s="86"/>
      <c r="W31" s="86"/>
      <c r="X31" s="86"/>
      <c r="Y31" s="86"/>
      <c r="Z31" s="86"/>
      <c r="AA31" s="86">
        <v>1</v>
      </c>
      <c r="AB31" s="86"/>
      <c r="AC31" s="86"/>
      <c r="AD31" s="86"/>
      <c r="AE31" s="86"/>
      <c r="AF31" s="86"/>
      <c r="AG31" s="86"/>
      <c r="AH31" s="87">
        <f t="shared" si="3"/>
        <v>1</v>
      </c>
      <c r="AJ31" s="88">
        <f>'BASE PRESUPUESTO'!O28</f>
        <v>149157.26770259431</v>
      </c>
      <c r="AK31" s="88">
        <f>'BASE PRESUPUESTO'!P28</f>
        <v>254230.0418989805</v>
      </c>
      <c r="AL31" s="88">
        <f>'BASE PRESUPUESTO'!Q28</f>
        <v>4740.6903984252094</v>
      </c>
      <c r="AM31" s="88">
        <f>'BASE PRESUPUESTO'!R28</f>
        <v>0</v>
      </c>
    </row>
    <row r="32" spans="1:39" x14ac:dyDescent="0.3">
      <c r="A32" s="82">
        <f>'BASE PRESUPUESTO'!A29</f>
        <v>25</v>
      </c>
      <c r="B32" s="90" t="s">
        <v>144</v>
      </c>
      <c r="C32" s="82" t="str">
        <f>'BASE PRESUPUESTO'!C29</f>
        <v>2.11</v>
      </c>
      <c r="D32" s="84" t="str">
        <f>'BASE PRESUPUESTO'!D29</f>
        <v>DIAGONAL-HORIZ.TUBO GALV ACUEDUCTO 1 1/2"</v>
      </c>
      <c r="E32" s="85">
        <f>'BASE PRESUPUESTO'!H29</f>
        <v>975040</v>
      </c>
      <c r="F32" s="86"/>
      <c r="G32" s="86"/>
      <c r="H32" s="86"/>
      <c r="I32" s="86"/>
      <c r="J32" s="86"/>
      <c r="K32" s="86">
        <v>0.5</v>
      </c>
      <c r="L32" s="86">
        <v>0.5</v>
      </c>
      <c r="M32" s="86"/>
      <c r="N32" s="86"/>
      <c r="O32" s="86"/>
      <c r="P32" s="86"/>
      <c r="Q32" s="86"/>
      <c r="R32" s="86"/>
      <c r="S32" s="87">
        <f t="shared" si="2"/>
        <v>1</v>
      </c>
      <c r="U32" s="86"/>
      <c r="V32" s="86"/>
      <c r="W32" s="86"/>
      <c r="X32" s="86"/>
      <c r="Y32" s="86">
        <v>1</v>
      </c>
      <c r="Z32" s="86"/>
      <c r="AA32" s="86"/>
      <c r="AB32" s="86"/>
      <c r="AC32" s="86"/>
      <c r="AD32" s="86"/>
      <c r="AE32" s="86"/>
      <c r="AF32" s="86"/>
      <c r="AG32" s="86"/>
      <c r="AH32" s="87">
        <f t="shared" si="3"/>
        <v>1</v>
      </c>
      <c r="AJ32" s="88">
        <f>'BASE PRESUPUESTO'!O29</f>
        <v>401225.93609288638</v>
      </c>
      <c r="AK32" s="88">
        <f>'BASE PRESUPUESTO'!P29</f>
        <v>395061.05058427394</v>
      </c>
      <c r="AL32" s="88">
        <f>'BASE PRESUPUESTO'!Q29</f>
        <v>178753.01332283969</v>
      </c>
      <c r="AM32" s="88">
        <f>'BASE PRESUPUESTO'!R29</f>
        <v>0</v>
      </c>
    </row>
    <row r="33" spans="1:39" x14ac:dyDescent="0.3">
      <c r="A33" s="82">
        <f>'BASE PRESUPUESTO'!A30</f>
        <v>26</v>
      </c>
      <c r="B33" s="90" t="s">
        <v>144</v>
      </c>
      <c r="C33" s="82" t="str">
        <f>'BASE PRESUPUESTO'!C30</f>
        <v>2.12</v>
      </c>
      <c r="D33" s="84" t="str">
        <f>'BASE PRESUPUESTO'!D30</f>
        <v>WASH - PRIMER</v>
      </c>
      <c r="E33" s="85">
        <f>'BASE PRESUPUESTO'!H30</f>
        <v>897064</v>
      </c>
      <c r="F33" s="86"/>
      <c r="G33" s="86"/>
      <c r="H33" s="86"/>
      <c r="I33" s="86"/>
      <c r="J33" s="86"/>
      <c r="K33" s="86"/>
      <c r="L33" s="86">
        <v>1</v>
      </c>
      <c r="M33" s="86"/>
      <c r="N33" s="86"/>
      <c r="O33" s="86"/>
      <c r="P33" s="86"/>
      <c r="Q33" s="86"/>
      <c r="R33" s="86"/>
      <c r="S33" s="87">
        <f t="shared" si="2"/>
        <v>1</v>
      </c>
      <c r="U33" s="86"/>
      <c r="V33" s="86"/>
      <c r="W33" s="86"/>
      <c r="X33" s="86"/>
      <c r="Y33" s="86"/>
      <c r="Z33" s="86">
        <v>1</v>
      </c>
      <c r="AA33" s="86"/>
      <c r="AB33" s="86"/>
      <c r="AC33" s="86"/>
      <c r="AD33" s="86"/>
      <c r="AE33" s="86"/>
      <c r="AF33" s="86"/>
      <c r="AG33" s="86"/>
      <c r="AH33" s="87">
        <f t="shared" si="3"/>
        <v>1</v>
      </c>
      <c r="AJ33" s="88">
        <f>'BASE PRESUPUESTO'!O30</f>
        <v>412951.35338510328</v>
      </c>
      <c r="AK33" s="88">
        <f>'BASE PRESUPUESTO'!P30</f>
        <v>439624.57399103144</v>
      </c>
      <c r="AL33" s="88">
        <f>'BASE PRESUPUESTO'!Q30</f>
        <v>44488.072623865242</v>
      </c>
      <c r="AM33" s="88">
        <f>'BASE PRESUPUESTO'!R30</f>
        <v>0</v>
      </c>
    </row>
    <row r="34" spans="1:39" x14ac:dyDescent="0.3">
      <c r="A34" s="82">
        <f>'BASE PRESUPUESTO'!A31</f>
        <v>27</v>
      </c>
      <c r="B34" s="90" t="s">
        <v>144</v>
      </c>
      <c r="C34" s="82" t="str">
        <f>'BASE PRESUPUESTO'!C31</f>
        <v>2.13</v>
      </c>
      <c r="D34" s="84" t="str">
        <f>'BASE PRESUPUESTO'!D31</f>
        <v>ALAMBRE DE PUAS # 12.5 - 3 HILOS</v>
      </c>
      <c r="E34" s="85">
        <f>'BASE PRESUPUESTO'!H31</f>
        <v>123801</v>
      </c>
      <c r="F34" s="86"/>
      <c r="G34" s="86"/>
      <c r="H34" s="86"/>
      <c r="I34" s="86"/>
      <c r="J34" s="86"/>
      <c r="K34" s="86"/>
      <c r="L34" s="86"/>
      <c r="M34" s="86">
        <v>1</v>
      </c>
      <c r="N34" s="86"/>
      <c r="O34" s="86"/>
      <c r="P34" s="86"/>
      <c r="Q34" s="86"/>
      <c r="R34" s="86"/>
      <c r="S34" s="87">
        <f t="shared" si="2"/>
        <v>1</v>
      </c>
      <c r="U34" s="86"/>
      <c r="V34" s="86"/>
      <c r="W34" s="86"/>
      <c r="X34" s="86"/>
      <c r="Y34" s="86"/>
      <c r="Z34" s="86"/>
      <c r="AA34" s="86">
        <v>1</v>
      </c>
      <c r="AB34" s="86"/>
      <c r="AC34" s="86"/>
      <c r="AD34" s="86"/>
      <c r="AE34" s="86"/>
      <c r="AF34" s="86"/>
      <c r="AG34" s="86"/>
      <c r="AH34" s="87">
        <f t="shared" si="3"/>
        <v>1</v>
      </c>
      <c r="AJ34" s="88">
        <f>'BASE PRESUPUESTO'!O31</f>
        <v>82610.664029574196</v>
      </c>
      <c r="AK34" s="88">
        <f>'BASE PRESUPUESTO'!P31</f>
        <v>38739.600598792545</v>
      </c>
      <c r="AL34" s="88">
        <f>'BASE PRESUPUESTO'!Q31</f>
        <v>2450.73537163326</v>
      </c>
      <c r="AM34" s="88">
        <f>'BASE PRESUPUESTO'!R31</f>
        <v>0</v>
      </c>
    </row>
    <row r="35" spans="1:39" x14ac:dyDescent="0.3">
      <c r="A35" s="82">
        <f>'BASE PRESUPUESTO'!A32</f>
        <v>28</v>
      </c>
      <c r="B35" s="90" t="s">
        <v>144</v>
      </c>
      <c r="C35" s="82" t="str">
        <f>'BASE PRESUPUESTO'!C32</f>
        <v>2.14</v>
      </c>
      <c r="D35" s="84" t="str">
        <f>'BASE PRESUPUESTO'!D32</f>
        <v>PUERTA EN TUBERIA GALVANIZADA 11/2" Y MALLA ESLABONADA (0,8x2,0)</v>
      </c>
      <c r="E35" s="85">
        <f>'BASE PRESUPUESTO'!H32</f>
        <v>1107371</v>
      </c>
      <c r="F35" s="86"/>
      <c r="G35" s="86"/>
      <c r="H35" s="86"/>
      <c r="I35" s="86"/>
      <c r="J35" s="86"/>
      <c r="K35" s="86"/>
      <c r="L35" s="86">
        <v>1</v>
      </c>
      <c r="M35" s="86"/>
      <c r="N35" s="86"/>
      <c r="O35" s="86"/>
      <c r="P35" s="86"/>
      <c r="Q35" s="86"/>
      <c r="R35" s="86"/>
      <c r="S35" s="87">
        <f t="shared" si="2"/>
        <v>1</v>
      </c>
      <c r="U35" s="86"/>
      <c r="V35" s="86"/>
      <c r="W35" s="86"/>
      <c r="X35" s="86"/>
      <c r="Y35" s="86"/>
      <c r="Z35" s="86">
        <v>1</v>
      </c>
      <c r="AA35" s="86"/>
      <c r="AB35" s="86"/>
      <c r="AC35" s="86"/>
      <c r="AD35" s="86"/>
      <c r="AE35" s="86"/>
      <c r="AF35" s="86"/>
      <c r="AG35" s="86"/>
      <c r="AH35" s="87">
        <f t="shared" si="3"/>
        <v>1</v>
      </c>
      <c r="AJ35" s="88">
        <f>'BASE PRESUPUESTO'!O32</f>
        <v>465375.78366800537</v>
      </c>
      <c r="AK35" s="88">
        <f>'BASE PRESUPUESTO'!P32</f>
        <v>550739.29299376521</v>
      </c>
      <c r="AL35" s="88">
        <f>'BASE PRESUPUESTO'!Q32</f>
        <v>91255.923338229142</v>
      </c>
      <c r="AM35" s="88">
        <f>'BASE PRESUPUESTO'!R32</f>
        <v>0</v>
      </c>
    </row>
    <row r="36" spans="1:39" x14ac:dyDescent="0.3">
      <c r="A36" s="82">
        <f>'BASE PRESUPUESTO'!A33</f>
        <v>29</v>
      </c>
      <c r="B36" s="90" t="s">
        <v>144</v>
      </c>
      <c r="C36" s="82" t="str">
        <f>'BASE PRESUPUESTO'!C33</f>
        <v>2.15</v>
      </c>
      <c r="D36" s="84" t="str">
        <f>'BASE PRESUPUESTO'!D33</f>
        <v>ACARREO MATERIALES-ESCOMBROS 10 PERS</v>
      </c>
      <c r="E36" s="85">
        <f>'BASE PRESUPUESTO'!H33</f>
        <v>1415132</v>
      </c>
      <c r="F36" s="86"/>
      <c r="G36" s="86"/>
      <c r="H36" s="86"/>
      <c r="I36" s="86">
        <v>0.5</v>
      </c>
      <c r="J36" s="86"/>
      <c r="K36" s="86"/>
      <c r="L36" s="86"/>
      <c r="M36" s="86">
        <v>0.5</v>
      </c>
      <c r="N36" s="86"/>
      <c r="O36" s="86"/>
      <c r="P36" s="86"/>
      <c r="Q36" s="86"/>
      <c r="R36" s="86"/>
      <c r="S36" s="87">
        <f t="shared" si="2"/>
        <v>1</v>
      </c>
      <c r="U36" s="86"/>
      <c r="V36" s="86"/>
      <c r="W36" s="86">
        <v>1</v>
      </c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7">
        <f t="shared" si="3"/>
        <v>1</v>
      </c>
      <c r="AJ36" s="88">
        <f>'BASE PRESUPUESTO'!O33</f>
        <v>0</v>
      </c>
      <c r="AK36" s="88">
        <f>'BASE PRESUPUESTO'!P33</f>
        <v>0</v>
      </c>
      <c r="AL36" s="88">
        <f>'BASE PRESUPUESTO'!Q33</f>
        <v>0</v>
      </c>
      <c r="AM36" s="88">
        <f>'BASE PRESUPUESTO'!R33</f>
        <v>1415132</v>
      </c>
    </row>
    <row r="37" spans="1:39" x14ac:dyDescent="0.3">
      <c r="A37" s="82">
        <f>'BASE PRESUPUESTO'!A34</f>
        <v>30</v>
      </c>
      <c r="B37" s="90" t="s">
        <v>144</v>
      </c>
      <c r="C37" s="82" t="str">
        <f>'BASE PRESUPUESTO'!C34</f>
        <v>2.16</v>
      </c>
      <c r="D37" s="84" t="str">
        <f>'BASE PRESUPUESTO'!D34</f>
        <v>ACARREO MATERIALES CAMPERO-CAMIONETA</v>
      </c>
      <c r="E37" s="85">
        <f>'BASE PRESUPUESTO'!H34</f>
        <v>2929743</v>
      </c>
      <c r="F37" s="86"/>
      <c r="G37" s="86">
        <v>0.16666666666666699</v>
      </c>
      <c r="H37" s="86">
        <v>0.16666666666666699</v>
      </c>
      <c r="I37" s="86">
        <v>0.16666666666666699</v>
      </c>
      <c r="J37" s="86">
        <v>0.16666666666666699</v>
      </c>
      <c r="K37" s="86">
        <v>0.16666666666666699</v>
      </c>
      <c r="L37" s="86">
        <v>0.16666666666666699</v>
      </c>
      <c r="M37" s="86"/>
      <c r="N37" s="86"/>
      <c r="O37" s="86"/>
      <c r="P37" s="86"/>
      <c r="Q37" s="86"/>
      <c r="R37" s="86"/>
      <c r="S37" s="87">
        <f t="shared" si="2"/>
        <v>1.000000000000002</v>
      </c>
      <c r="U37" s="86">
        <v>1</v>
      </c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7">
        <f t="shared" si="3"/>
        <v>1</v>
      </c>
      <c r="AJ37" s="88">
        <f>'BASE PRESUPUESTO'!O34</f>
        <v>0</v>
      </c>
      <c r="AK37" s="88">
        <f>'BASE PRESUPUESTO'!P34</f>
        <v>0</v>
      </c>
      <c r="AL37" s="88">
        <f>'BASE PRESUPUESTO'!Q34</f>
        <v>0</v>
      </c>
      <c r="AM37" s="88">
        <f>'BASE PRESUPUESTO'!R34</f>
        <v>2929743</v>
      </c>
    </row>
    <row r="38" spans="1:39" x14ac:dyDescent="0.3">
      <c r="A38" s="82">
        <f>'BASE PRESUPUESTO'!A35</f>
        <v>31</v>
      </c>
      <c r="B38" s="90" t="s">
        <v>144</v>
      </c>
      <c r="C38" s="82" t="str">
        <f>'BASE PRESUPUESTO'!C35</f>
        <v>2.17</v>
      </c>
      <c r="D38" s="84" t="str">
        <f>'BASE PRESUPUESTO'!D35</f>
        <v>DESVIACION CAUCE ANCHOS ENTRE 0 Y 1 ML</v>
      </c>
      <c r="E38" s="85">
        <f>'BASE PRESUPUESTO'!H35</f>
        <v>935295</v>
      </c>
      <c r="F38" s="86"/>
      <c r="G38" s="86"/>
      <c r="H38" s="86">
        <v>1</v>
      </c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7">
        <f t="shared" si="2"/>
        <v>1</v>
      </c>
      <c r="U38" s="86"/>
      <c r="V38" s="86">
        <v>1</v>
      </c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7">
        <f t="shared" si="3"/>
        <v>1</v>
      </c>
      <c r="AJ38" s="88">
        <f>'BASE PRESUPUESTO'!O35</f>
        <v>0</v>
      </c>
      <c r="AK38" s="88">
        <f>'BASE PRESUPUESTO'!P35</f>
        <v>925961.67967296997</v>
      </c>
      <c r="AL38" s="88">
        <f>'BASE PRESUPUESTO'!Q35</f>
        <v>9333.3203270301401</v>
      </c>
      <c r="AM38" s="88">
        <f>'BASE PRESUPUESTO'!R35</f>
        <v>0</v>
      </c>
    </row>
    <row r="39" spans="1:39" x14ac:dyDescent="0.3">
      <c r="A39" s="82">
        <f>'BASE PRESUPUESTO'!A36</f>
        <v>32</v>
      </c>
      <c r="B39" s="90" t="s">
        <v>144</v>
      </c>
      <c r="C39" s="82" t="str">
        <f>'BASE PRESUPUESTO'!C36</f>
        <v>2.18</v>
      </c>
      <c r="D39" s="84" t="str">
        <f>'BASE PRESUPUESTO'!D36</f>
        <v>REJILLA HIERRO D=1/2" E=1/2" 0.8x0.40MTS</v>
      </c>
      <c r="E39" s="85">
        <f>'BASE PRESUPUESTO'!H36</f>
        <v>135450</v>
      </c>
      <c r="F39" s="86"/>
      <c r="G39" s="86"/>
      <c r="H39" s="86">
        <v>1</v>
      </c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7">
        <f t="shared" si="2"/>
        <v>1</v>
      </c>
      <c r="U39" s="86"/>
      <c r="V39" s="86">
        <v>1</v>
      </c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7">
        <f t="shared" si="3"/>
        <v>1</v>
      </c>
      <c r="AJ39" s="88">
        <f>'BASE PRESUPUESTO'!O36</f>
        <v>100095.0905412869</v>
      </c>
      <c r="AK39" s="88">
        <f>'BASE PRESUPUESTO'!P36</f>
        <v>34883.139053638559</v>
      </c>
      <c r="AL39" s="88">
        <f>'BASE PRESUPUESTO'!Q36</f>
        <v>471.77040507453904</v>
      </c>
      <c r="AM39" s="88">
        <f>'BASE PRESUPUESTO'!R36</f>
        <v>0</v>
      </c>
    </row>
    <row r="40" spans="1:39" x14ac:dyDescent="0.3">
      <c r="A40" s="82">
        <f>'BASE PRESUPUESTO'!A37</f>
        <v>33</v>
      </c>
      <c r="B40" s="90" t="s">
        <v>144</v>
      </c>
      <c r="C40" s="82" t="str">
        <f>'BASE PRESUPUESTO'!C37</f>
        <v>2.19</v>
      </c>
      <c r="D40" s="84" t="str">
        <f>'BASE PRESUPUESTO'!D37</f>
        <v>ADECUACION DESARENADOR, CONSTRUCCION PANTALLA DEFLECTORA, CANAL RECOLECTOR SALIDA</v>
      </c>
      <c r="E40" s="85">
        <f>'BASE PRESUPUESTO'!H37</f>
        <v>1538871</v>
      </c>
      <c r="F40" s="86"/>
      <c r="G40" s="86"/>
      <c r="H40" s="86">
        <v>0.5</v>
      </c>
      <c r="I40" s="86">
        <v>0.5</v>
      </c>
      <c r="J40" s="86"/>
      <c r="K40" s="86"/>
      <c r="L40" s="86"/>
      <c r="M40" s="86"/>
      <c r="N40" s="86"/>
      <c r="O40" s="86"/>
      <c r="P40" s="86"/>
      <c r="Q40" s="86"/>
      <c r="R40" s="86"/>
      <c r="S40" s="87">
        <f t="shared" si="2"/>
        <v>1</v>
      </c>
      <c r="U40" s="86"/>
      <c r="V40" s="86">
        <v>1</v>
      </c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7">
        <f t="shared" si="3"/>
        <v>1</v>
      </c>
      <c r="AJ40" s="88">
        <f>'BASE PRESUPUESTO'!O37</f>
        <v>357305.62377156044</v>
      </c>
      <c r="AK40" s="88">
        <f>'BASE PRESUPUESTO'!P37</f>
        <v>1180720.3759593784</v>
      </c>
      <c r="AL40" s="88">
        <f>'BASE PRESUPUESTO'!Q37</f>
        <v>845.0002690609756</v>
      </c>
      <c r="AM40" s="88">
        <f>'BASE PRESUPUESTO'!R37</f>
        <v>0</v>
      </c>
    </row>
    <row r="41" spans="1:39" ht="15" x14ac:dyDescent="0.3">
      <c r="A41" s="187" t="s">
        <v>24</v>
      </c>
      <c r="B41" s="187"/>
      <c r="C41" s="187"/>
      <c r="D41" s="187"/>
      <c r="E41" s="187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</row>
    <row r="42" spans="1:39" x14ac:dyDescent="0.3">
      <c r="A42" s="82">
        <f>'BASE PRESUPUESTO'!A38</f>
        <v>34</v>
      </c>
      <c r="B42" s="92" t="s">
        <v>145</v>
      </c>
      <c r="C42" s="82" t="str">
        <f>'BASE PRESUPUESTO'!C38</f>
        <v>1.1</v>
      </c>
      <c r="D42" s="84" t="str">
        <f>'BASE PRESUPUESTO'!D38</f>
        <v>LOCALIZACION-REPLANTEO CERRAMIENTO-VARIO</v>
      </c>
      <c r="E42" s="85">
        <f>'BASE PRESUPUESTO'!H38</f>
        <v>79753</v>
      </c>
      <c r="F42" s="86"/>
      <c r="G42" s="86"/>
      <c r="H42" s="86">
        <v>1</v>
      </c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7">
        <f t="shared" ref="S42:S64" si="4">SUM(F42:R42)</f>
        <v>1</v>
      </c>
      <c r="U42" s="86"/>
      <c r="V42" s="86">
        <v>1</v>
      </c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7">
        <f t="shared" ref="AH42:AH64" si="5">SUM(U42:AG42)</f>
        <v>1</v>
      </c>
      <c r="AJ42" s="88">
        <f>'BASE PRESUPUESTO'!O38</f>
        <v>11735.8507623224</v>
      </c>
      <c r="AK42" s="88">
        <f>'BASE PRESUPUESTO'!P38</f>
        <v>58544.265214278421</v>
      </c>
      <c r="AL42" s="88">
        <f>'BASE PRESUPUESTO'!Q38</f>
        <v>9472.8840233992578</v>
      </c>
      <c r="AM42" s="88">
        <f>'BASE PRESUPUESTO'!R38</f>
        <v>0</v>
      </c>
    </row>
    <row r="43" spans="1:39" x14ac:dyDescent="0.3">
      <c r="A43" s="82">
        <f>'BASE PRESUPUESTO'!A39</f>
        <v>35</v>
      </c>
      <c r="B43" s="92" t="s">
        <v>145</v>
      </c>
      <c r="C43" s="82" t="str">
        <f>'BASE PRESUPUESTO'!C39</f>
        <v>1.2</v>
      </c>
      <c r="D43" s="84" t="str">
        <f>'BASE PRESUPUESTO'!D39</f>
        <v>EXCAVACION EN CONGLOMERADO (MANUAL)</v>
      </c>
      <c r="E43" s="85">
        <f>'BASE PRESUPUESTO'!H39</f>
        <v>316433</v>
      </c>
      <c r="F43" s="86"/>
      <c r="G43" s="86"/>
      <c r="H43" s="86">
        <v>1</v>
      </c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7">
        <f t="shared" si="4"/>
        <v>1</v>
      </c>
      <c r="U43" s="86"/>
      <c r="V43" s="86">
        <v>1</v>
      </c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7">
        <f t="shared" si="5"/>
        <v>1</v>
      </c>
      <c r="AJ43" s="88">
        <f>'BASE PRESUPUESTO'!O39</f>
        <v>0</v>
      </c>
      <c r="AK43" s="88">
        <f>'BASE PRESUPUESTO'!P39</f>
        <v>305737.23264410009</v>
      </c>
      <c r="AL43" s="88">
        <f>'BASE PRESUPUESTO'!Q39</f>
        <v>10695.767355899878</v>
      </c>
      <c r="AM43" s="88">
        <f>'BASE PRESUPUESTO'!R39</f>
        <v>0</v>
      </c>
    </row>
    <row r="44" spans="1:39" x14ac:dyDescent="0.3">
      <c r="A44" s="82">
        <f>'BASE PRESUPUESTO'!A40</f>
        <v>36</v>
      </c>
      <c r="B44" s="92" t="s">
        <v>145</v>
      </c>
      <c r="C44" s="82" t="str">
        <f>'BASE PRESUPUESTO'!C40</f>
        <v>2.1</v>
      </c>
      <c r="D44" s="84" t="str">
        <f>'BASE PRESUPUESTO'!D40</f>
        <v>NIVELACION PISO Y GRAVA E=0,10 MTS</v>
      </c>
      <c r="E44" s="85">
        <f>'BASE PRESUPUESTO'!H40</f>
        <v>1476114</v>
      </c>
      <c r="F44" s="86"/>
      <c r="G44" s="86"/>
      <c r="H44" s="86"/>
      <c r="I44" s="86">
        <v>1</v>
      </c>
      <c r="J44" s="86"/>
      <c r="K44" s="86"/>
      <c r="L44" s="86"/>
      <c r="M44" s="86"/>
      <c r="N44" s="86"/>
      <c r="O44" s="86"/>
      <c r="P44" s="86"/>
      <c r="Q44" s="86"/>
      <c r="R44" s="86"/>
      <c r="S44" s="87">
        <f t="shared" si="4"/>
        <v>1</v>
      </c>
      <c r="U44" s="86"/>
      <c r="V44" s="86"/>
      <c r="W44" s="86">
        <v>1</v>
      </c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7">
        <f t="shared" si="5"/>
        <v>1</v>
      </c>
      <c r="AJ44" s="88">
        <f>'BASE PRESUPUESTO'!O40</f>
        <v>669735.0090742989</v>
      </c>
      <c r="AK44" s="88">
        <f>'BASE PRESUPUESTO'!P40</f>
        <v>798757.09082243114</v>
      </c>
      <c r="AL44" s="88">
        <f>'BASE PRESUPUESTO'!Q40</f>
        <v>7621.9001032698106</v>
      </c>
      <c r="AM44" s="88">
        <f>'BASE PRESUPUESTO'!R40</f>
        <v>0</v>
      </c>
    </row>
    <row r="45" spans="1:39" x14ac:dyDescent="0.3">
      <c r="A45" s="82">
        <f>'BASE PRESUPUESTO'!A41</f>
        <v>37</v>
      </c>
      <c r="B45" s="92" t="s">
        <v>145</v>
      </c>
      <c r="C45" s="82" t="str">
        <f>'BASE PRESUPUESTO'!C41</f>
        <v>2.2</v>
      </c>
      <c r="D45" s="84" t="str">
        <f>'BASE PRESUPUESTO'!D41</f>
        <v>TANQUE PLASTICO 5.000 LTS</v>
      </c>
      <c r="E45" s="85">
        <f>'BASE PRESUPUESTO'!H41</f>
        <v>9197064</v>
      </c>
      <c r="F45" s="86"/>
      <c r="G45" s="86"/>
      <c r="H45" s="86"/>
      <c r="I45" s="86"/>
      <c r="J45" s="86"/>
      <c r="K45" s="86">
        <v>1</v>
      </c>
      <c r="L45" s="86"/>
      <c r="M45" s="86"/>
      <c r="N45" s="86"/>
      <c r="O45" s="86"/>
      <c r="P45" s="86"/>
      <c r="Q45" s="86"/>
      <c r="R45" s="86"/>
      <c r="S45" s="87">
        <f t="shared" si="4"/>
        <v>1</v>
      </c>
      <c r="U45" s="86"/>
      <c r="V45" s="86"/>
      <c r="W45" s="86"/>
      <c r="X45" s="86"/>
      <c r="Y45" s="86">
        <v>1</v>
      </c>
      <c r="Z45" s="86"/>
      <c r="AA45" s="86"/>
      <c r="AB45" s="86"/>
      <c r="AC45" s="86"/>
      <c r="AD45" s="86"/>
      <c r="AE45" s="86"/>
      <c r="AF45" s="86"/>
      <c r="AG45" s="86"/>
      <c r="AH45" s="87">
        <f t="shared" si="5"/>
        <v>1</v>
      </c>
      <c r="AJ45" s="88">
        <f>'BASE PRESUPUESTO'!O41</f>
        <v>8620264.8390870094</v>
      </c>
      <c r="AK45" s="88">
        <f>'BASE PRESUPUESTO'!P41</f>
        <v>576799.16091298964</v>
      </c>
      <c r="AL45" s="88">
        <f>'BASE PRESUPUESTO'!Q41</f>
        <v>0</v>
      </c>
      <c r="AM45" s="88">
        <f>'BASE PRESUPUESTO'!R41</f>
        <v>0</v>
      </c>
    </row>
    <row r="46" spans="1:39" x14ac:dyDescent="0.3">
      <c r="A46" s="82">
        <f>'BASE PRESUPUESTO'!A42</f>
        <v>38</v>
      </c>
      <c r="B46" s="92" t="s">
        <v>145</v>
      </c>
      <c r="C46" s="82" t="str">
        <f>'BASE PRESUPUESTO'!C42</f>
        <v>2.3</v>
      </c>
      <c r="D46" s="84" t="str">
        <f>'BASE PRESUPUESTO'!D42</f>
        <v>FLOTADOR DE 1" PARA TANQUE 5,000 LTS, INCLUYE ACCESORIOS INSTALACION</v>
      </c>
      <c r="E46" s="85">
        <f>'BASE PRESUPUESTO'!H42</f>
        <v>409298</v>
      </c>
      <c r="F46" s="86"/>
      <c r="G46" s="86"/>
      <c r="H46" s="86"/>
      <c r="I46" s="86"/>
      <c r="J46" s="86"/>
      <c r="K46" s="86">
        <v>1</v>
      </c>
      <c r="L46" s="86"/>
      <c r="M46" s="86"/>
      <c r="N46" s="86"/>
      <c r="O46" s="86"/>
      <c r="P46" s="86"/>
      <c r="Q46" s="86"/>
      <c r="R46" s="86"/>
      <c r="S46" s="87">
        <f t="shared" si="4"/>
        <v>1</v>
      </c>
      <c r="U46" s="86"/>
      <c r="V46" s="86"/>
      <c r="W46" s="86"/>
      <c r="X46" s="86"/>
      <c r="Y46" s="86">
        <v>1</v>
      </c>
      <c r="Z46" s="86"/>
      <c r="AA46" s="86"/>
      <c r="AB46" s="86"/>
      <c r="AC46" s="86"/>
      <c r="AD46" s="86"/>
      <c r="AE46" s="86"/>
      <c r="AF46" s="86"/>
      <c r="AG46" s="86"/>
      <c r="AH46" s="87">
        <f t="shared" si="5"/>
        <v>1</v>
      </c>
      <c r="AJ46" s="88">
        <f>'BASE PRESUPUESTO'!O42</f>
        <v>283499.99999999988</v>
      </c>
      <c r="AK46" s="88">
        <f>'BASE PRESUPUESTO'!P42</f>
        <v>125460.0000000002</v>
      </c>
      <c r="AL46" s="88">
        <f>'BASE PRESUPUESTO'!Q42</f>
        <v>338.00000000000006</v>
      </c>
      <c r="AM46" s="88">
        <f>'BASE PRESUPUESTO'!R42</f>
        <v>0</v>
      </c>
    </row>
    <row r="47" spans="1:39" x14ac:dyDescent="0.3">
      <c r="A47" s="82">
        <f>'BASE PRESUPUESTO'!A43</f>
        <v>39</v>
      </c>
      <c r="B47" s="92" t="s">
        <v>145</v>
      </c>
      <c r="C47" s="82" t="str">
        <f>'BASE PRESUPUESTO'!C43</f>
        <v>2.4</v>
      </c>
      <c r="D47" s="84" t="str">
        <f>'BASE PRESUPUESTO'!D43</f>
        <v>CONEXIÓNES EN 2" TANQUE PLASTICOS CON LA RED DE DISTRIBUCION, BY - PASS, LAVADO Y REBOSE</v>
      </c>
      <c r="E47" s="85">
        <f>'BASE PRESUPUESTO'!H43</f>
        <v>2636586</v>
      </c>
      <c r="F47" s="86"/>
      <c r="G47" s="86"/>
      <c r="H47" s="86"/>
      <c r="I47" s="86"/>
      <c r="J47" s="86"/>
      <c r="K47" s="86">
        <v>0.5</v>
      </c>
      <c r="L47" s="86">
        <v>0.5</v>
      </c>
      <c r="M47" s="86"/>
      <c r="N47" s="86"/>
      <c r="O47" s="86"/>
      <c r="P47" s="86"/>
      <c r="Q47" s="86"/>
      <c r="R47" s="86"/>
      <c r="S47" s="87">
        <f t="shared" si="4"/>
        <v>1</v>
      </c>
      <c r="U47" s="86"/>
      <c r="V47" s="86"/>
      <c r="W47" s="86"/>
      <c r="X47" s="86"/>
      <c r="Y47" s="86">
        <v>1</v>
      </c>
      <c r="Z47" s="86"/>
      <c r="AA47" s="86"/>
      <c r="AB47" s="86"/>
      <c r="AC47" s="86"/>
      <c r="AD47" s="86"/>
      <c r="AE47" s="86"/>
      <c r="AF47" s="86"/>
      <c r="AG47" s="86"/>
      <c r="AH47" s="87">
        <f t="shared" si="5"/>
        <v>1</v>
      </c>
      <c r="AJ47" s="88">
        <f>'BASE PRESUPUESTO'!O43</f>
        <v>1375226.1865785259</v>
      </c>
      <c r="AK47" s="88">
        <f>'BASE PRESUPUESTO'!P43</f>
        <v>1254599.8144214035</v>
      </c>
      <c r="AL47" s="88">
        <f>'BASE PRESUPUESTO'!Q43</f>
        <v>6759.9990000707003</v>
      </c>
      <c r="AM47" s="88">
        <f>'BASE PRESUPUESTO'!R43</f>
        <v>0</v>
      </c>
    </row>
    <row r="48" spans="1:39" x14ac:dyDescent="0.3">
      <c r="A48" s="82">
        <f>'BASE PRESUPUESTO'!A44</f>
        <v>40</v>
      </c>
      <c r="B48" s="92" t="s">
        <v>145</v>
      </c>
      <c r="C48" s="82" t="str">
        <f>'BASE PRESUPUESTO'!C44</f>
        <v>2.5</v>
      </c>
      <c r="D48" s="84" t="str">
        <f>'BASE PRESUPUESTO'!D44</f>
        <v>SOLADO ESPESOR E=0.05M 3000 PSI 210 MPA</v>
      </c>
      <c r="E48" s="85">
        <f>'BASE PRESUPUESTO'!H44</f>
        <v>203335</v>
      </c>
      <c r="F48" s="86"/>
      <c r="G48" s="86"/>
      <c r="H48" s="86"/>
      <c r="I48" s="86">
        <v>1</v>
      </c>
      <c r="J48" s="86"/>
      <c r="K48" s="86"/>
      <c r="L48" s="86"/>
      <c r="M48" s="86"/>
      <c r="N48" s="86"/>
      <c r="O48" s="86"/>
      <c r="P48" s="86"/>
      <c r="Q48" s="86"/>
      <c r="R48" s="86"/>
      <c r="S48" s="87">
        <f t="shared" si="4"/>
        <v>1</v>
      </c>
      <c r="U48" s="86"/>
      <c r="V48" s="86"/>
      <c r="W48" s="86">
        <v>1</v>
      </c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7">
        <f t="shared" si="5"/>
        <v>1</v>
      </c>
      <c r="AJ48" s="88">
        <f>'BASE PRESUPUESTO'!O44</f>
        <v>125192.65015716583</v>
      </c>
      <c r="AK48" s="88">
        <f>'BASE PRESUPUESTO'!P44</f>
        <v>77257.699713986454</v>
      </c>
      <c r="AL48" s="88">
        <f>'BASE PRESUPUESTO'!Q44</f>
        <v>884.65012884773398</v>
      </c>
      <c r="AM48" s="88">
        <f>'BASE PRESUPUESTO'!R44</f>
        <v>0</v>
      </c>
    </row>
    <row r="49" spans="1:39" x14ac:dyDescent="0.3">
      <c r="A49" s="82">
        <f>'BASE PRESUPUESTO'!A45</f>
        <v>41</v>
      </c>
      <c r="B49" s="92" t="s">
        <v>145</v>
      </c>
      <c r="C49" s="82" t="str">
        <f>'BASE PRESUPUESTO'!C45</f>
        <v>2.6</v>
      </c>
      <c r="D49" s="84" t="str">
        <f>'BASE PRESUPUESTO'!D45</f>
        <v>VIGA CIMIENTO ENLACE H-20-40CM 3100 PSI</v>
      </c>
      <c r="E49" s="85">
        <f>'BASE PRESUPUESTO'!H45</f>
        <v>2457229</v>
      </c>
      <c r="F49" s="86"/>
      <c r="G49" s="86"/>
      <c r="H49" s="86"/>
      <c r="I49" s="86">
        <v>0.5</v>
      </c>
      <c r="J49" s="86">
        <v>0.5</v>
      </c>
      <c r="K49" s="86"/>
      <c r="L49" s="86"/>
      <c r="M49" s="86"/>
      <c r="N49" s="86"/>
      <c r="O49" s="86"/>
      <c r="P49" s="86"/>
      <c r="Q49" s="86"/>
      <c r="R49" s="86"/>
      <c r="S49" s="87">
        <f t="shared" si="4"/>
        <v>1</v>
      </c>
      <c r="U49" s="86"/>
      <c r="V49" s="86"/>
      <c r="W49" s="86">
        <v>1</v>
      </c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7">
        <f t="shared" si="5"/>
        <v>1</v>
      </c>
      <c r="AJ49" s="88">
        <f>'BASE PRESUPUESTO'!O45</f>
        <v>1545149.3295430732</v>
      </c>
      <c r="AK49" s="88">
        <f>'BASE PRESUPUESTO'!P45</f>
        <v>900323.20121148392</v>
      </c>
      <c r="AL49" s="88">
        <f>'BASE PRESUPUESTO'!Q45</f>
        <v>11756.469245442433</v>
      </c>
      <c r="AM49" s="88">
        <f>'BASE PRESUPUESTO'!R45</f>
        <v>0</v>
      </c>
    </row>
    <row r="50" spans="1:39" x14ac:dyDescent="0.3">
      <c r="A50" s="82">
        <f>'BASE PRESUPUESTO'!A46</f>
        <v>42</v>
      </c>
      <c r="B50" s="92" t="s">
        <v>145</v>
      </c>
      <c r="C50" s="82" t="str">
        <f>'BASE PRESUPUESTO'!C46</f>
        <v>2.7</v>
      </c>
      <c r="D50" s="84" t="str">
        <f>'BASE PRESUPUESTO'!D46</f>
        <v>COLUMNA AMARRE MURO</v>
      </c>
      <c r="E50" s="85">
        <f>'BASE PRESUPUESTO'!H46</f>
        <v>423869</v>
      </c>
      <c r="F50" s="86"/>
      <c r="G50" s="86"/>
      <c r="H50" s="86"/>
      <c r="I50" s="86"/>
      <c r="J50" s="86">
        <v>1</v>
      </c>
      <c r="K50" s="86"/>
      <c r="L50" s="86"/>
      <c r="M50" s="86"/>
      <c r="N50" s="86"/>
      <c r="O50" s="86"/>
      <c r="P50" s="86"/>
      <c r="Q50" s="86"/>
      <c r="R50" s="86"/>
      <c r="S50" s="87">
        <f t="shared" si="4"/>
        <v>1</v>
      </c>
      <c r="U50" s="86"/>
      <c r="V50" s="86"/>
      <c r="W50" s="86"/>
      <c r="X50" s="86">
        <v>1</v>
      </c>
      <c r="Y50" s="86"/>
      <c r="Z50" s="86"/>
      <c r="AA50" s="86"/>
      <c r="AB50" s="86"/>
      <c r="AC50" s="86"/>
      <c r="AD50" s="86"/>
      <c r="AE50" s="86"/>
      <c r="AF50" s="86"/>
      <c r="AG50" s="86"/>
      <c r="AH50" s="87">
        <f t="shared" si="5"/>
        <v>1</v>
      </c>
      <c r="AJ50" s="88">
        <f>'BASE PRESUPUESTO'!O46</f>
        <v>134062.53005333408</v>
      </c>
      <c r="AK50" s="88">
        <f>'BASE PRESUPUESTO'!P46</f>
        <v>282240.67454940564</v>
      </c>
      <c r="AL50" s="88">
        <f>'BASE PRESUPUESTO'!Q46</f>
        <v>7565.7953972604246</v>
      </c>
      <c r="AM50" s="88">
        <f>'BASE PRESUPUESTO'!R46</f>
        <v>0</v>
      </c>
    </row>
    <row r="51" spans="1:39" x14ac:dyDescent="0.3">
      <c r="A51" s="82">
        <f>'BASE PRESUPUESTO'!A47</f>
        <v>43</v>
      </c>
      <c r="B51" s="92" t="s">
        <v>145</v>
      </c>
      <c r="C51" s="82" t="str">
        <f>'BASE PRESUPUESTO'!C47</f>
        <v>2.8</v>
      </c>
      <c r="D51" s="84" t="str">
        <f>'BASE PRESUPUESTO'!D47</f>
        <v>MURO LADRILLO SOGA LIMPIO 2C</v>
      </c>
      <c r="E51" s="85">
        <f>'BASE PRESUPUESTO'!H47</f>
        <v>1475485</v>
      </c>
      <c r="F51" s="86"/>
      <c r="G51" s="86"/>
      <c r="H51" s="86"/>
      <c r="I51" s="86"/>
      <c r="J51" s="86">
        <v>1</v>
      </c>
      <c r="K51" s="86"/>
      <c r="L51" s="86"/>
      <c r="M51" s="86"/>
      <c r="N51" s="86"/>
      <c r="O51" s="86"/>
      <c r="P51" s="86"/>
      <c r="Q51" s="86"/>
      <c r="R51" s="86"/>
      <c r="S51" s="87">
        <f t="shared" si="4"/>
        <v>1</v>
      </c>
      <c r="U51" s="86"/>
      <c r="V51" s="86"/>
      <c r="W51" s="86"/>
      <c r="X51" s="86">
        <v>1</v>
      </c>
      <c r="Y51" s="86"/>
      <c r="Z51" s="86"/>
      <c r="AA51" s="86"/>
      <c r="AB51" s="86"/>
      <c r="AC51" s="86"/>
      <c r="AD51" s="86"/>
      <c r="AE51" s="86"/>
      <c r="AF51" s="86"/>
      <c r="AG51" s="86"/>
      <c r="AH51" s="87">
        <f t="shared" si="5"/>
        <v>1</v>
      </c>
      <c r="AJ51" s="88">
        <f>'BASE PRESUPUESTO'!O47</f>
        <v>816437.82638509467</v>
      </c>
      <c r="AK51" s="88">
        <f>'BASE PRESUPUESTO'!P47</f>
        <v>446723.49009557447</v>
      </c>
      <c r="AL51" s="88">
        <f>'BASE PRESUPUESTO'!Q47</f>
        <v>212323.68351933075</v>
      </c>
      <c r="AM51" s="88">
        <f>'BASE PRESUPUESTO'!R47</f>
        <v>0</v>
      </c>
    </row>
    <row r="52" spans="1:39" x14ac:dyDescent="0.3">
      <c r="A52" s="82">
        <f>'BASE PRESUPUESTO'!A48</f>
        <v>44</v>
      </c>
      <c r="B52" s="92" t="s">
        <v>145</v>
      </c>
      <c r="C52" s="82" t="str">
        <f>'BASE PRESUPUESTO'!C48</f>
        <v>2.9</v>
      </c>
      <c r="D52" s="84" t="str">
        <f>'BASE PRESUPUESTO'!D48</f>
        <v>CINTA CONFINAMIENTO MURO</v>
      </c>
      <c r="E52" s="85">
        <f>'BASE PRESUPUESTO'!H48</f>
        <v>1358104</v>
      </c>
      <c r="F52" s="86"/>
      <c r="G52" s="86"/>
      <c r="H52" s="86"/>
      <c r="I52" s="86"/>
      <c r="J52" s="86"/>
      <c r="K52" s="86">
        <v>1</v>
      </c>
      <c r="L52" s="86"/>
      <c r="M52" s="86"/>
      <c r="N52" s="86"/>
      <c r="O52" s="86"/>
      <c r="P52" s="86"/>
      <c r="Q52" s="86"/>
      <c r="R52" s="86"/>
      <c r="S52" s="87">
        <f t="shared" si="4"/>
        <v>1</v>
      </c>
      <c r="U52" s="86"/>
      <c r="V52" s="86"/>
      <c r="W52" s="86"/>
      <c r="X52" s="86"/>
      <c r="Y52" s="86">
        <v>1</v>
      </c>
      <c r="Z52" s="86"/>
      <c r="AA52" s="86"/>
      <c r="AB52" s="86"/>
      <c r="AC52" s="86"/>
      <c r="AD52" s="86"/>
      <c r="AE52" s="86"/>
      <c r="AF52" s="86"/>
      <c r="AG52" s="86"/>
      <c r="AH52" s="87">
        <f t="shared" si="5"/>
        <v>1</v>
      </c>
      <c r="AJ52" s="88">
        <f>'BASE PRESUPUESTO'!O48</f>
        <v>272810.06326671847</v>
      </c>
      <c r="AK52" s="88">
        <f>'BASE PRESUPUESTO'!P48</f>
        <v>1064590.080864222</v>
      </c>
      <c r="AL52" s="88">
        <f>'BASE PRESUPUESTO'!Q48</f>
        <v>20703.855869059862</v>
      </c>
      <c r="AM52" s="88">
        <f>'BASE PRESUPUESTO'!R48</f>
        <v>0</v>
      </c>
    </row>
    <row r="53" spans="1:39" x14ac:dyDescent="0.3">
      <c r="A53" s="82">
        <f>'BASE PRESUPUESTO'!A49</f>
        <v>45</v>
      </c>
      <c r="B53" s="92" t="s">
        <v>145</v>
      </c>
      <c r="C53" s="82" t="str">
        <f>'BASE PRESUPUESTO'!C49</f>
        <v>2.10</v>
      </c>
      <c r="D53" s="84" t="str">
        <f>'BASE PRESUPUESTO'!D49</f>
        <v>ACERO REFUERZO FLEJADO 60000 PSI 420 Mpa</v>
      </c>
      <c r="E53" s="85">
        <f>'BASE PRESUPUESTO'!H49</f>
        <v>1341560</v>
      </c>
      <c r="F53" s="86"/>
      <c r="G53" s="86"/>
      <c r="H53" s="86"/>
      <c r="I53" s="86">
        <v>1</v>
      </c>
      <c r="J53" s="86"/>
      <c r="K53" s="86"/>
      <c r="L53" s="86"/>
      <c r="M53" s="86"/>
      <c r="N53" s="86"/>
      <c r="O53" s="86"/>
      <c r="P53" s="86"/>
      <c r="Q53" s="86"/>
      <c r="R53" s="86"/>
      <c r="S53" s="87">
        <f t="shared" si="4"/>
        <v>1</v>
      </c>
      <c r="U53" s="86"/>
      <c r="V53" s="86"/>
      <c r="W53" s="86">
        <v>1</v>
      </c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7">
        <f t="shared" si="5"/>
        <v>1</v>
      </c>
      <c r="AJ53" s="88">
        <f>'BASE PRESUPUESTO'!O49</f>
        <v>1083588.847888479</v>
      </c>
      <c r="AK53" s="88">
        <f>'BASE PRESUPUESTO'!P49</f>
        <v>257971.15211152087</v>
      </c>
      <c r="AL53" s="88">
        <f>'BASE PRESUPUESTO'!Q49</f>
        <v>0</v>
      </c>
      <c r="AM53" s="88">
        <f>'BASE PRESUPUESTO'!R49</f>
        <v>0</v>
      </c>
    </row>
    <row r="54" spans="1:39" x14ac:dyDescent="0.3">
      <c r="A54" s="82">
        <f>'BASE PRESUPUESTO'!A50</f>
        <v>46</v>
      </c>
      <c r="B54" s="92" t="s">
        <v>145</v>
      </c>
      <c r="C54" s="82" t="str">
        <f>'BASE PRESUPUESTO'!C50</f>
        <v>2.11</v>
      </c>
      <c r="D54" s="84" t="str">
        <f>'BASE PRESUPUESTO'!D50</f>
        <v>POSTE TUBO GALV. 1 1/2"X3.0MM C.11</v>
      </c>
      <c r="E54" s="85">
        <f>'BASE PRESUPUESTO'!H50</f>
        <v>1789656</v>
      </c>
      <c r="F54" s="86"/>
      <c r="G54" s="86"/>
      <c r="H54" s="86"/>
      <c r="I54" s="86"/>
      <c r="J54" s="86"/>
      <c r="K54" s="86"/>
      <c r="L54" s="86">
        <v>1</v>
      </c>
      <c r="M54" s="86"/>
      <c r="N54" s="86"/>
      <c r="O54" s="86"/>
      <c r="P54" s="86"/>
      <c r="Q54" s="86"/>
      <c r="R54" s="86"/>
      <c r="S54" s="87">
        <f t="shared" si="4"/>
        <v>1</v>
      </c>
      <c r="U54" s="86"/>
      <c r="V54" s="86"/>
      <c r="W54" s="86"/>
      <c r="X54" s="86"/>
      <c r="Y54" s="86"/>
      <c r="Z54" s="86">
        <v>1</v>
      </c>
      <c r="AA54" s="86"/>
      <c r="AB54" s="86"/>
      <c r="AC54" s="86"/>
      <c r="AD54" s="86"/>
      <c r="AE54" s="86"/>
      <c r="AF54" s="86"/>
      <c r="AG54" s="86"/>
      <c r="AH54" s="87">
        <f t="shared" si="5"/>
        <v>1</v>
      </c>
      <c r="AJ54" s="88">
        <f>'BASE PRESUPUESTO'!O50</f>
        <v>770052.94248971273</v>
      </c>
      <c r="AK54" s="88">
        <f>'BASE PRESUPUESTO'!P50</f>
        <v>660937.60468131315</v>
      </c>
      <c r="AL54" s="88">
        <f>'BASE PRESUPUESTO'!Q50</f>
        <v>358665.45282897592</v>
      </c>
      <c r="AM54" s="88">
        <f>'BASE PRESUPUESTO'!R50</f>
        <v>0</v>
      </c>
    </row>
    <row r="55" spans="1:39" x14ac:dyDescent="0.3">
      <c r="A55" s="82">
        <f>'BASE PRESUPUESTO'!A51</f>
        <v>47</v>
      </c>
      <c r="B55" s="92" t="s">
        <v>145</v>
      </c>
      <c r="C55" s="82" t="str">
        <f>'BASE PRESUPUESTO'!C51</f>
        <v>2.12</v>
      </c>
      <c r="D55" s="84" t="str">
        <f>'BASE PRESUPUESTO'!D51</f>
        <v>ESMALTE SOBRE TUBERIA METALICA-PVC</v>
      </c>
      <c r="E55" s="85">
        <f>'BASE PRESUPUESTO'!H51</f>
        <v>679833</v>
      </c>
      <c r="F55" s="86"/>
      <c r="G55" s="86"/>
      <c r="H55" s="86"/>
      <c r="I55" s="86"/>
      <c r="J55" s="86"/>
      <c r="K55" s="86"/>
      <c r="L55" s="86"/>
      <c r="M55" s="86"/>
      <c r="N55" s="86">
        <v>1</v>
      </c>
      <c r="O55" s="86"/>
      <c r="P55" s="86"/>
      <c r="Q55" s="86"/>
      <c r="R55" s="86"/>
      <c r="S55" s="87">
        <f t="shared" si="4"/>
        <v>1</v>
      </c>
      <c r="U55" s="86"/>
      <c r="V55" s="86"/>
      <c r="W55" s="86"/>
      <c r="X55" s="86"/>
      <c r="Y55" s="86"/>
      <c r="Z55" s="86"/>
      <c r="AA55" s="86"/>
      <c r="AB55" s="86">
        <v>1</v>
      </c>
      <c r="AC55" s="86"/>
      <c r="AD55" s="86"/>
      <c r="AE55" s="86"/>
      <c r="AF55" s="86"/>
      <c r="AG55" s="86"/>
      <c r="AH55" s="87">
        <f t="shared" si="5"/>
        <v>1</v>
      </c>
      <c r="AJ55" s="88">
        <f>'BASE PRESUPUESTO'!O51</f>
        <v>448720.49767787039</v>
      </c>
      <c r="AK55" s="88">
        <f>'BASE PRESUPUESTO'!P51</f>
        <v>212966.39398703238</v>
      </c>
      <c r="AL55" s="88">
        <f>'BASE PRESUPUESTO'!Q51</f>
        <v>18146.108335097826</v>
      </c>
      <c r="AM55" s="88">
        <f>'BASE PRESUPUESTO'!R51</f>
        <v>0</v>
      </c>
    </row>
    <row r="56" spans="1:39" x14ac:dyDescent="0.3">
      <c r="A56" s="82">
        <f>'BASE PRESUPUESTO'!A52</f>
        <v>48</v>
      </c>
      <c r="B56" s="92" t="s">
        <v>145</v>
      </c>
      <c r="C56" s="82" t="str">
        <f>'BASE PRESUPUESTO'!C52</f>
        <v>2.13</v>
      </c>
      <c r="D56" s="84" t="str">
        <f>'BASE PRESUPUESTO'!D52</f>
        <v>MALLA ESLABONADA GALV# 10 ROMBO 2"</v>
      </c>
      <c r="E56" s="85">
        <f>'BASE PRESUPUESTO'!H52</f>
        <v>2427214</v>
      </c>
      <c r="F56" s="86"/>
      <c r="G56" s="86"/>
      <c r="H56" s="86"/>
      <c r="I56" s="86"/>
      <c r="J56" s="86"/>
      <c r="K56" s="86"/>
      <c r="L56" s="86"/>
      <c r="M56" s="86">
        <v>1</v>
      </c>
      <c r="N56" s="86"/>
      <c r="O56" s="86"/>
      <c r="P56" s="86"/>
      <c r="Q56" s="86"/>
      <c r="R56" s="86"/>
      <c r="S56" s="87">
        <f t="shared" si="4"/>
        <v>1</v>
      </c>
      <c r="U56" s="86"/>
      <c r="V56" s="86"/>
      <c r="W56" s="86"/>
      <c r="X56" s="86"/>
      <c r="Y56" s="86"/>
      <c r="Z56" s="86"/>
      <c r="AA56" s="86">
        <v>1</v>
      </c>
      <c r="AB56" s="86"/>
      <c r="AC56" s="86"/>
      <c r="AD56" s="86"/>
      <c r="AE56" s="86"/>
      <c r="AF56" s="86"/>
      <c r="AG56" s="86"/>
      <c r="AH56" s="87">
        <f t="shared" si="5"/>
        <v>1</v>
      </c>
      <c r="AJ56" s="88">
        <f>'BASE PRESUPUESTO'!O52</f>
        <v>1416006.823327593</v>
      </c>
      <c r="AK56" s="88">
        <f>'BASE PRESUPUESTO'!P52</f>
        <v>960535.12882230012</v>
      </c>
      <c r="AL56" s="88">
        <f>'BASE PRESUPUESTO'!Q52</f>
        <v>50672.047850106646</v>
      </c>
      <c r="AM56" s="88">
        <f>'BASE PRESUPUESTO'!R52</f>
        <v>0</v>
      </c>
    </row>
    <row r="57" spans="1:39" x14ac:dyDescent="0.3">
      <c r="A57" s="82">
        <f>'BASE PRESUPUESTO'!A53</f>
        <v>49</v>
      </c>
      <c r="B57" s="92" t="s">
        <v>145</v>
      </c>
      <c r="C57" s="82" t="str">
        <f>'BASE PRESUPUESTO'!C53</f>
        <v>2.14</v>
      </c>
      <c r="D57" s="84" t="str">
        <f>'BASE PRESUPUESTO'!D53</f>
        <v>ESMALTE MALLA ESLABONADA 2,1/2"-2"</v>
      </c>
      <c r="E57" s="85">
        <f>'BASE PRESUPUESTO'!H53</f>
        <v>367315</v>
      </c>
      <c r="F57" s="86"/>
      <c r="G57" s="86"/>
      <c r="H57" s="86"/>
      <c r="I57" s="86"/>
      <c r="J57" s="86"/>
      <c r="K57" s="86"/>
      <c r="L57" s="86"/>
      <c r="M57" s="86"/>
      <c r="N57" s="86">
        <v>1</v>
      </c>
      <c r="O57" s="86"/>
      <c r="P57" s="86"/>
      <c r="Q57" s="86"/>
      <c r="R57" s="86"/>
      <c r="S57" s="87">
        <f t="shared" si="4"/>
        <v>1</v>
      </c>
      <c r="U57" s="86"/>
      <c r="V57" s="86"/>
      <c r="W57" s="86"/>
      <c r="X57" s="86"/>
      <c r="Y57" s="86"/>
      <c r="Z57" s="86"/>
      <c r="AA57" s="86"/>
      <c r="AB57" s="86">
        <v>1</v>
      </c>
      <c r="AC57" s="86"/>
      <c r="AD57" s="86"/>
      <c r="AE57" s="86"/>
      <c r="AF57" s="86"/>
      <c r="AG57" s="86"/>
      <c r="AH57" s="87">
        <f t="shared" si="5"/>
        <v>1</v>
      </c>
      <c r="AJ57" s="88">
        <f>'BASE PRESUPUESTO'!O53</f>
        <v>134241.46783895846</v>
      </c>
      <c r="AK57" s="88">
        <f>'BASE PRESUPUESTO'!P53</f>
        <v>228806.9131255979</v>
      </c>
      <c r="AL57" s="88">
        <f>'BASE PRESUPUESTO'!Q53</f>
        <v>4266.619035443674</v>
      </c>
      <c r="AM57" s="88">
        <f>'BASE PRESUPUESTO'!R53</f>
        <v>0</v>
      </c>
    </row>
    <row r="58" spans="1:39" x14ac:dyDescent="0.3">
      <c r="A58" s="82">
        <f>'BASE PRESUPUESTO'!A54</f>
        <v>50</v>
      </c>
      <c r="B58" s="92" t="s">
        <v>145</v>
      </c>
      <c r="C58" s="82" t="str">
        <f>'BASE PRESUPUESTO'!C54</f>
        <v>2.15</v>
      </c>
      <c r="D58" s="84" t="str">
        <f>'BASE PRESUPUESTO'!D54</f>
        <v>DIAGONAL-HORIZ.TUBO GALV ACUEDUCTO 1 1/2"</v>
      </c>
      <c r="E58" s="85">
        <f>'BASE PRESUPUESTO'!H54</f>
        <v>975040</v>
      </c>
      <c r="F58" s="86"/>
      <c r="G58" s="86"/>
      <c r="H58" s="86"/>
      <c r="I58" s="86"/>
      <c r="J58" s="86"/>
      <c r="K58" s="86"/>
      <c r="L58" s="86">
        <v>1</v>
      </c>
      <c r="M58" s="86"/>
      <c r="N58" s="86"/>
      <c r="O58" s="86"/>
      <c r="P58" s="86"/>
      <c r="Q58" s="86"/>
      <c r="R58" s="86"/>
      <c r="S58" s="87">
        <f t="shared" si="4"/>
        <v>1</v>
      </c>
      <c r="U58" s="86"/>
      <c r="V58" s="86"/>
      <c r="W58" s="86"/>
      <c r="X58" s="86"/>
      <c r="Y58" s="86"/>
      <c r="Z58" s="86">
        <v>1</v>
      </c>
      <c r="AA58" s="86"/>
      <c r="AB58" s="86"/>
      <c r="AC58" s="86"/>
      <c r="AD58" s="86"/>
      <c r="AE58" s="86"/>
      <c r="AF58" s="86"/>
      <c r="AG58" s="86"/>
      <c r="AH58" s="87">
        <f t="shared" si="5"/>
        <v>1</v>
      </c>
      <c r="AJ58" s="88">
        <f>'BASE PRESUPUESTO'!O54</f>
        <v>401225.93609288638</v>
      </c>
      <c r="AK58" s="88">
        <f>'BASE PRESUPUESTO'!P54</f>
        <v>395061.05058427394</v>
      </c>
      <c r="AL58" s="88">
        <f>'BASE PRESUPUESTO'!Q54</f>
        <v>178753.01332283969</v>
      </c>
      <c r="AM58" s="88">
        <f>'BASE PRESUPUESTO'!R54</f>
        <v>0</v>
      </c>
    </row>
    <row r="59" spans="1:39" x14ac:dyDescent="0.3">
      <c r="A59" s="82">
        <f>'BASE PRESUPUESTO'!A55</f>
        <v>51</v>
      </c>
      <c r="B59" s="92" t="s">
        <v>145</v>
      </c>
      <c r="C59" s="82" t="str">
        <f>'BASE PRESUPUESTO'!C55</f>
        <v>2.16</v>
      </c>
      <c r="D59" s="84" t="str">
        <f>'BASE PRESUPUESTO'!D55</f>
        <v>WASH - PRIMER</v>
      </c>
      <c r="E59" s="85">
        <f>'BASE PRESUPUESTO'!H55</f>
        <v>807358</v>
      </c>
      <c r="F59" s="86"/>
      <c r="G59" s="86"/>
      <c r="H59" s="86"/>
      <c r="I59" s="86"/>
      <c r="J59" s="86"/>
      <c r="K59" s="86"/>
      <c r="L59" s="86"/>
      <c r="M59" s="86">
        <v>1</v>
      </c>
      <c r="N59" s="86"/>
      <c r="O59" s="86"/>
      <c r="P59" s="86"/>
      <c r="Q59" s="86"/>
      <c r="R59" s="86"/>
      <c r="S59" s="87">
        <f t="shared" si="4"/>
        <v>1</v>
      </c>
      <c r="U59" s="86"/>
      <c r="V59" s="86"/>
      <c r="W59" s="86"/>
      <c r="X59" s="86"/>
      <c r="Y59" s="86"/>
      <c r="Z59" s="86"/>
      <c r="AA59" s="86">
        <v>1</v>
      </c>
      <c r="AB59" s="86"/>
      <c r="AC59" s="86"/>
      <c r="AD59" s="86"/>
      <c r="AE59" s="86"/>
      <c r="AF59" s="86"/>
      <c r="AG59" s="86"/>
      <c r="AH59" s="87">
        <f t="shared" si="5"/>
        <v>1</v>
      </c>
      <c r="AJ59" s="88">
        <f>'BASE PRESUPUESTO'!O55</f>
        <v>371656.40218121588</v>
      </c>
      <c r="AK59" s="88">
        <f>'BASE PRESUPUESTO'!P55</f>
        <v>395662.31262011535</v>
      </c>
      <c r="AL59" s="88">
        <f>'BASE PRESUPUESTO'!Q55</f>
        <v>40039.28519866876</v>
      </c>
      <c r="AM59" s="88">
        <f>'BASE PRESUPUESTO'!R55</f>
        <v>0</v>
      </c>
    </row>
    <row r="60" spans="1:39" x14ac:dyDescent="0.3">
      <c r="A60" s="82">
        <f>'BASE PRESUPUESTO'!A56</f>
        <v>52</v>
      </c>
      <c r="B60" s="92" t="s">
        <v>145</v>
      </c>
      <c r="C60" s="82" t="str">
        <f>'BASE PRESUPUESTO'!C56</f>
        <v>2.17</v>
      </c>
      <c r="D60" s="84" t="str">
        <f>'BASE PRESUPUESTO'!D56</f>
        <v>ALAMBRE DE PUAS # 12.5 - 3 HILOS</v>
      </c>
      <c r="E60" s="85">
        <f>'BASE PRESUPUESTO'!H56</f>
        <v>111848</v>
      </c>
      <c r="F60" s="86"/>
      <c r="G60" s="86"/>
      <c r="H60" s="86"/>
      <c r="I60" s="86"/>
      <c r="J60" s="86"/>
      <c r="K60" s="86"/>
      <c r="L60" s="86"/>
      <c r="M60" s="86"/>
      <c r="N60" s="86">
        <v>1</v>
      </c>
      <c r="O60" s="86"/>
      <c r="P60" s="86"/>
      <c r="Q60" s="86"/>
      <c r="R60" s="86"/>
      <c r="S60" s="87">
        <f t="shared" si="4"/>
        <v>1</v>
      </c>
      <c r="U60" s="86"/>
      <c r="V60" s="86"/>
      <c r="W60" s="86"/>
      <c r="X60" s="86"/>
      <c r="Y60" s="86"/>
      <c r="Z60" s="86"/>
      <c r="AA60" s="86"/>
      <c r="AB60" s="86">
        <v>1</v>
      </c>
      <c r="AC60" s="86"/>
      <c r="AD60" s="86"/>
      <c r="AE60" s="86"/>
      <c r="AF60" s="86"/>
      <c r="AG60" s="86"/>
      <c r="AH60" s="87">
        <f t="shared" si="5"/>
        <v>1</v>
      </c>
      <c r="AJ60" s="88">
        <f>'BASE PRESUPUESTO'!O56</f>
        <v>74634.595442523205</v>
      </c>
      <c r="AK60" s="88">
        <f>'BASE PRESUPUESTO'!P56</f>
        <v>34999.287952227758</v>
      </c>
      <c r="AL60" s="88">
        <f>'BASE PRESUPUESTO'!Q56</f>
        <v>2214.1166052490435</v>
      </c>
      <c r="AM60" s="88">
        <f>'BASE PRESUPUESTO'!R56</f>
        <v>0</v>
      </c>
    </row>
    <row r="61" spans="1:39" x14ac:dyDescent="0.3">
      <c r="A61" s="82">
        <f>'BASE PRESUPUESTO'!A57</f>
        <v>53</v>
      </c>
      <c r="B61" s="92" t="s">
        <v>145</v>
      </c>
      <c r="C61" s="82" t="str">
        <f>'BASE PRESUPUESTO'!C57</f>
        <v>2.18</v>
      </c>
      <c r="D61" s="84" t="str">
        <f>'BASE PRESUPUESTO'!D57</f>
        <v>NAVE PUERTA TUBO ACUE MALLA(2x0.60-1.0)</v>
      </c>
      <c r="E61" s="85">
        <f>'BASE PRESUPUESTO'!H57</f>
        <v>1107371</v>
      </c>
      <c r="F61" s="86"/>
      <c r="G61" s="86"/>
      <c r="H61" s="86"/>
      <c r="I61" s="86"/>
      <c r="J61" s="86"/>
      <c r="K61" s="86"/>
      <c r="L61" s="86"/>
      <c r="M61" s="86">
        <v>1</v>
      </c>
      <c r="N61" s="86"/>
      <c r="O61" s="86"/>
      <c r="P61" s="86"/>
      <c r="Q61" s="86"/>
      <c r="R61" s="86"/>
      <c r="S61" s="87">
        <f t="shared" si="4"/>
        <v>1</v>
      </c>
      <c r="U61" s="86"/>
      <c r="V61" s="86"/>
      <c r="W61" s="86"/>
      <c r="X61" s="86"/>
      <c r="Y61" s="86"/>
      <c r="Z61" s="86"/>
      <c r="AA61" s="86">
        <v>1</v>
      </c>
      <c r="AB61" s="86"/>
      <c r="AC61" s="86"/>
      <c r="AD61" s="86"/>
      <c r="AE61" s="86"/>
      <c r="AF61" s="86"/>
      <c r="AG61" s="86"/>
      <c r="AH61" s="87">
        <f t="shared" si="5"/>
        <v>1</v>
      </c>
      <c r="AJ61" s="88">
        <f>'BASE PRESUPUESTO'!O57</f>
        <v>465375.78366800537</v>
      </c>
      <c r="AK61" s="88">
        <f>'BASE PRESUPUESTO'!P57</f>
        <v>550739.29299376521</v>
      </c>
      <c r="AL61" s="88">
        <f>'BASE PRESUPUESTO'!Q57</f>
        <v>91255.923338229142</v>
      </c>
      <c r="AM61" s="88">
        <f>'BASE PRESUPUESTO'!R57</f>
        <v>0</v>
      </c>
    </row>
    <row r="62" spans="1:39" x14ac:dyDescent="0.3">
      <c r="A62" s="82">
        <f>'BASE PRESUPUESTO'!A58</f>
        <v>54</v>
      </c>
      <c r="B62" s="92" t="s">
        <v>145</v>
      </c>
      <c r="C62" s="82" t="str">
        <f>'BASE PRESUPUESTO'!C58</f>
        <v>2.19</v>
      </c>
      <c r="D62" s="84" t="str">
        <f>'BASE PRESUPUESTO'!D58</f>
        <v>ACARREO MATERIALES-ESCOMBROS 10 PERS</v>
      </c>
      <c r="E62" s="85">
        <f>'BASE PRESUPUESTO'!H58</f>
        <v>707566</v>
      </c>
      <c r="F62" s="86"/>
      <c r="G62" s="86"/>
      <c r="H62" s="86"/>
      <c r="I62" s="86"/>
      <c r="J62" s="86">
        <v>0.5</v>
      </c>
      <c r="K62" s="86"/>
      <c r="L62" s="86"/>
      <c r="M62" s="86"/>
      <c r="N62" s="86">
        <v>0.5</v>
      </c>
      <c r="O62" s="86"/>
      <c r="P62" s="86"/>
      <c r="Q62" s="86"/>
      <c r="R62" s="86"/>
      <c r="S62" s="87">
        <f t="shared" si="4"/>
        <v>1</v>
      </c>
      <c r="U62" s="86"/>
      <c r="V62" s="86"/>
      <c r="W62" s="86"/>
      <c r="X62" s="86">
        <v>1</v>
      </c>
      <c r="Y62" s="86"/>
      <c r="Z62" s="86"/>
      <c r="AA62" s="86"/>
      <c r="AB62" s="86"/>
      <c r="AC62" s="86"/>
      <c r="AD62" s="86"/>
      <c r="AE62" s="86"/>
      <c r="AF62" s="86"/>
      <c r="AG62" s="86"/>
      <c r="AH62" s="87">
        <f t="shared" si="5"/>
        <v>1</v>
      </c>
      <c r="AJ62" s="88">
        <f>'BASE PRESUPUESTO'!O58</f>
        <v>0</v>
      </c>
      <c r="AK62" s="88">
        <f>'BASE PRESUPUESTO'!P58</f>
        <v>0</v>
      </c>
      <c r="AL62" s="88">
        <f>'BASE PRESUPUESTO'!Q58</f>
        <v>0</v>
      </c>
      <c r="AM62" s="88">
        <f>'BASE PRESUPUESTO'!R58</f>
        <v>707566</v>
      </c>
    </row>
    <row r="63" spans="1:39" x14ac:dyDescent="0.3">
      <c r="A63" s="82">
        <f>'BASE PRESUPUESTO'!A59</f>
        <v>55</v>
      </c>
      <c r="B63" s="92" t="s">
        <v>145</v>
      </c>
      <c r="C63" s="82" t="str">
        <f>'BASE PRESUPUESTO'!C59</f>
        <v>2.20</v>
      </c>
      <c r="D63" s="84" t="str">
        <f>'BASE PRESUPUESTO'!D59</f>
        <v>ACARREO MATERIALES CAMPERO-CAMIONETA</v>
      </c>
      <c r="E63" s="85">
        <f>'BASE PRESUPUESTO'!H59</f>
        <v>3447749</v>
      </c>
      <c r="F63" s="86"/>
      <c r="G63" s="86"/>
      <c r="H63" s="86">
        <v>0.16666666666666699</v>
      </c>
      <c r="I63" s="86">
        <v>0.16666666666666699</v>
      </c>
      <c r="J63" s="86">
        <v>0.16666666666666699</v>
      </c>
      <c r="K63" s="86">
        <v>0.16666666666666699</v>
      </c>
      <c r="L63" s="86">
        <v>0.16666666666666699</v>
      </c>
      <c r="M63" s="86">
        <v>0.16666666666666699</v>
      </c>
      <c r="N63" s="86"/>
      <c r="O63" s="86"/>
      <c r="P63" s="86"/>
      <c r="Q63" s="86"/>
      <c r="R63" s="86"/>
      <c r="S63" s="87">
        <f t="shared" si="4"/>
        <v>1.000000000000002</v>
      </c>
      <c r="U63" s="86"/>
      <c r="V63" s="86">
        <v>1</v>
      </c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7">
        <f t="shared" si="5"/>
        <v>1</v>
      </c>
      <c r="AJ63" s="88">
        <f>'BASE PRESUPUESTO'!O59</f>
        <v>0</v>
      </c>
      <c r="AK63" s="88">
        <f>'BASE PRESUPUESTO'!P59</f>
        <v>0</v>
      </c>
      <c r="AL63" s="88">
        <f>'BASE PRESUPUESTO'!Q59</f>
        <v>0</v>
      </c>
      <c r="AM63" s="88">
        <f>'BASE PRESUPUESTO'!R59</f>
        <v>3447749</v>
      </c>
    </row>
    <row r="64" spans="1:39" x14ac:dyDescent="0.3">
      <c r="A64" s="82">
        <f>'BASE PRESUPUESTO'!A60</f>
        <v>56</v>
      </c>
      <c r="B64" s="92" t="s">
        <v>145</v>
      </c>
      <c r="C64" s="82" t="str">
        <f>'BASE PRESUPUESTO'!C60</f>
        <v>2.21</v>
      </c>
      <c r="D64" s="84" t="str">
        <f>'BASE PRESUPUESTO'!D60</f>
        <v>ACARREO MATERIALES TRACCION ANIMAL</v>
      </c>
      <c r="E64" s="85">
        <f>'BASE PRESUPUESTO'!H60</f>
        <v>1035139</v>
      </c>
      <c r="F64" s="86"/>
      <c r="G64" s="86"/>
      <c r="H64" s="86">
        <v>0.16666666666666699</v>
      </c>
      <c r="I64" s="86">
        <v>0.16666666666666699</v>
      </c>
      <c r="J64" s="86">
        <v>0.16666666666666699</v>
      </c>
      <c r="K64" s="86">
        <v>0.16666666666666699</v>
      </c>
      <c r="L64" s="86">
        <v>0.16666666666666699</v>
      </c>
      <c r="M64" s="86">
        <v>0.16666666666666699</v>
      </c>
      <c r="N64" s="86"/>
      <c r="O64" s="86"/>
      <c r="P64" s="86"/>
      <c r="Q64" s="86"/>
      <c r="R64" s="86"/>
      <c r="S64" s="87">
        <f t="shared" si="4"/>
        <v>1.000000000000002</v>
      </c>
      <c r="U64" s="86"/>
      <c r="V64" s="86">
        <v>1</v>
      </c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7">
        <f t="shared" si="5"/>
        <v>1</v>
      </c>
      <c r="AJ64" s="88">
        <f>'BASE PRESUPUESTO'!O60</f>
        <v>0</v>
      </c>
      <c r="AK64" s="88">
        <f>'BASE PRESUPUESTO'!P60</f>
        <v>0</v>
      </c>
      <c r="AL64" s="88">
        <f>'BASE PRESUPUESTO'!Q60</f>
        <v>0</v>
      </c>
      <c r="AM64" s="88">
        <f>'BASE PRESUPUESTO'!R60</f>
        <v>1035139</v>
      </c>
    </row>
    <row r="65" spans="1:39" ht="15" x14ac:dyDescent="0.3">
      <c r="A65" s="188" t="s">
        <v>25</v>
      </c>
      <c r="B65" s="188"/>
      <c r="C65" s="188"/>
      <c r="D65" s="188"/>
      <c r="E65" s="188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</row>
    <row r="66" spans="1:39" x14ac:dyDescent="0.3">
      <c r="A66" s="82">
        <f>'BASE PRESUPUESTO'!A61</f>
        <v>57</v>
      </c>
      <c r="B66" s="94" t="s">
        <v>146</v>
      </c>
      <c r="C66" s="82" t="str">
        <f>'BASE PRESUPUESTO'!C61</f>
        <v>1.1</v>
      </c>
      <c r="D66" s="84" t="str">
        <f>'BASE PRESUPUESTO'!D61</f>
        <v>LOCALIZACION-REPLANTEO ACUEDUCTO-ALCANTARILLADO</v>
      </c>
      <c r="E66" s="85">
        <f>'BASE PRESUPUESTO'!H61</f>
        <v>1353500</v>
      </c>
      <c r="F66" s="86">
        <v>1</v>
      </c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7">
        <f t="shared" ref="S66:S85" si="6">SUM(F66:R66)</f>
        <v>1</v>
      </c>
      <c r="U66" s="86">
        <v>1</v>
      </c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7">
        <f t="shared" ref="AH66:AH85" si="7">SUM(U66:AG66)</f>
        <v>1</v>
      </c>
      <c r="AJ66" s="88">
        <f>'BASE PRESUPUESTO'!O61</f>
        <v>223013.1814218795</v>
      </c>
      <c r="AK66" s="88">
        <f>'BASE PRESUPUESTO'!P61</f>
        <v>950476.17886539316</v>
      </c>
      <c r="AL66" s="88">
        <f>'BASE PRESUPUESTO'!Q61</f>
        <v>180010.63971272725</v>
      </c>
      <c r="AM66" s="88">
        <f>'BASE PRESUPUESTO'!R61</f>
        <v>0</v>
      </c>
    </row>
    <row r="67" spans="1:39" x14ac:dyDescent="0.3">
      <c r="A67" s="82">
        <f>'BASE PRESUPUESTO'!A62</f>
        <v>58</v>
      </c>
      <c r="B67" s="94" t="s">
        <v>146</v>
      </c>
      <c r="C67" s="82" t="str">
        <f>'BASE PRESUPUESTO'!C62</f>
        <v>1.2</v>
      </c>
      <c r="D67" s="84" t="str">
        <f>'BASE PRESUPUESTO'!D62</f>
        <v>BODEGAJE</v>
      </c>
      <c r="E67" s="85">
        <f>'BASE PRESUPUESTO'!H62</f>
        <v>563004</v>
      </c>
      <c r="F67" s="86">
        <v>8.3333333333333301E-2</v>
      </c>
      <c r="G67" s="86">
        <v>8.3333333333333301E-2</v>
      </c>
      <c r="H67" s="86">
        <v>8.3333333333333301E-2</v>
      </c>
      <c r="I67" s="86">
        <v>8.3333333333333301E-2</v>
      </c>
      <c r="J67" s="86">
        <v>8.3333333333333301E-2</v>
      </c>
      <c r="K67" s="86">
        <v>8.3333333333333301E-2</v>
      </c>
      <c r="L67" s="86">
        <v>8.3333333333333301E-2</v>
      </c>
      <c r="M67" s="86">
        <v>8.3333333333333301E-2</v>
      </c>
      <c r="N67" s="86">
        <v>8.3333333333333301E-2</v>
      </c>
      <c r="O67" s="86">
        <v>8.3333333333333301E-2</v>
      </c>
      <c r="P67" s="86">
        <v>8.3333333333333301E-2</v>
      </c>
      <c r="Q67" s="86">
        <v>8.3333333333333301E-2</v>
      </c>
      <c r="R67" s="86"/>
      <c r="S67" s="87">
        <f t="shared" si="6"/>
        <v>0.99999999999999944</v>
      </c>
      <c r="U67" s="86">
        <v>1</v>
      </c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7">
        <f t="shared" si="7"/>
        <v>1</v>
      </c>
      <c r="AJ67" s="88">
        <f>'BASE PRESUPUESTO'!O62</f>
        <v>0</v>
      </c>
      <c r="AK67" s="88">
        <f>'BASE PRESUPUESTO'!P62</f>
        <v>0</v>
      </c>
      <c r="AL67" s="88">
        <f>'BASE PRESUPUESTO'!Q62</f>
        <v>0</v>
      </c>
      <c r="AM67" s="88">
        <f>'BASE PRESUPUESTO'!R62</f>
        <v>563004</v>
      </c>
    </row>
    <row r="68" spans="1:39" x14ac:dyDescent="0.3">
      <c r="A68" s="82">
        <f>'BASE PRESUPUESTO'!A63</f>
        <v>59</v>
      </c>
      <c r="B68" s="94" t="s">
        <v>146</v>
      </c>
      <c r="C68" s="82" t="str">
        <f>'BASE PRESUPUESTO'!C63</f>
        <v>1.3</v>
      </c>
      <c r="D68" s="84" t="str">
        <f>'BASE PRESUPUESTO'!D63</f>
        <v>EXCAVACION EN CONGLOMERADO (MANUAL)</v>
      </c>
      <c r="E68" s="85">
        <f>'BASE PRESUPUESTO'!H63</f>
        <v>2806500</v>
      </c>
      <c r="F68" s="86">
        <v>0.33333333333333298</v>
      </c>
      <c r="G68" s="86">
        <v>0.33333333333333298</v>
      </c>
      <c r="H68" s="86">
        <v>0.33333333333333298</v>
      </c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7">
        <f t="shared" si="6"/>
        <v>0.99999999999999889</v>
      </c>
      <c r="U68" s="86">
        <v>1</v>
      </c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7">
        <f t="shared" si="7"/>
        <v>1</v>
      </c>
      <c r="AJ68" s="88">
        <f>'BASE PRESUPUESTO'!O63</f>
        <v>0</v>
      </c>
      <c r="AK68" s="88">
        <f>'BASE PRESUPUESTO'!P63</f>
        <v>2711637.355824667</v>
      </c>
      <c r="AL68" s="88">
        <f>'BASE PRESUPUESTO'!Q63</f>
        <v>94862.644175332563</v>
      </c>
      <c r="AM68" s="88">
        <f>'BASE PRESUPUESTO'!R63</f>
        <v>0</v>
      </c>
    </row>
    <row r="69" spans="1:39" x14ac:dyDescent="0.3">
      <c r="A69" s="82">
        <f>'BASE PRESUPUESTO'!A64</f>
        <v>60</v>
      </c>
      <c r="B69" s="94" t="s">
        <v>146</v>
      </c>
      <c r="C69" s="82" t="str">
        <f>'BASE PRESUPUESTO'!C64</f>
        <v>2.1</v>
      </c>
      <c r="D69" s="84" t="str">
        <f>'BASE PRESUPUESTO'!D64</f>
        <v>DESVIACION CAUCE ANCHOS ENTRE 0 Y 1 ML</v>
      </c>
      <c r="E69" s="85">
        <f>'BASE PRESUPUESTO'!H64</f>
        <v>187059</v>
      </c>
      <c r="F69" s="86"/>
      <c r="G69" s="86">
        <v>1</v>
      </c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7">
        <f t="shared" si="6"/>
        <v>1</v>
      </c>
      <c r="U69" s="86">
        <v>1</v>
      </c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7">
        <f t="shared" si="7"/>
        <v>1</v>
      </c>
      <c r="AJ69" s="88">
        <f>'BASE PRESUPUESTO'!O64</f>
        <v>0</v>
      </c>
      <c r="AK69" s="88">
        <f>'BASE PRESUPUESTO'!P64</f>
        <v>185192.33593459398</v>
      </c>
      <c r="AL69" s="88">
        <f>'BASE PRESUPUESTO'!Q64</f>
        <v>1866.6640654060279</v>
      </c>
      <c r="AM69" s="88">
        <f>'BASE PRESUPUESTO'!R64</f>
        <v>0</v>
      </c>
    </row>
    <row r="70" spans="1:39" x14ac:dyDescent="0.3">
      <c r="A70" s="82">
        <f>'BASE PRESUPUESTO'!A65</f>
        <v>61</v>
      </c>
      <c r="B70" s="94" t="s">
        <v>146</v>
      </c>
      <c r="C70" s="82" t="str">
        <f>'BASE PRESUPUESTO'!C65</f>
        <v>2.2</v>
      </c>
      <c r="D70" s="84" t="str">
        <f>'BASE PRESUPUESTO'!D65</f>
        <v>REJILLA HIERRO D-1/2" E=1/2" 0.8x0.40 MTS</v>
      </c>
      <c r="E70" s="85">
        <f>'BASE PRESUPUESTO'!H65</f>
        <v>135450</v>
      </c>
      <c r="F70" s="86"/>
      <c r="G70" s="86"/>
      <c r="H70" s="86">
        <v>1</v>
      </c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7">
        <f t="shared" si="6"/>
        <v>1</v>
      </c>
      <c r="U70" s="86"/>
      <c r="V70" s="86">
        <v>1</v>
      </c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6"/>
      <c r="AH70" s="87">
        <f t="shared" si="7"/>
        <v>1</v>
      </c>
      <c r="AJ70" s="88">
        <f>'BASE PRESUPUESTO'!O65</f>
        <v>100095.0905412869</v>
      </c>
      <c r="AK70" s="88">
        <f>'BASE PRESUPUESTO'!P65</f>
        <v>34883.139053638559</v>
      </c>
      <c r="AL70" s="88">
        <f>'BASE PRESUPUESTO'!Q65</f>
        <v>471.77040507453904</v>
      </c>
      <c r="AM70" s="88">
        <f>'BASE PRESUPUESTO'!R65</f>
        <v>0</v>
      </c>
    </row>
    <row r="71" spans="1:39" x14ac:dyDescent="0.3">
      <c r="A71" s="82">
        <f>'BASE PRESUPUESTO'!A66</f>
        <v>62</v>
      </c>
      <c r="B71" s="94" t="s">
        <v>146</v>
      </c>
      <c r="C71" s="82" t="str">
        <f>'BASE PRESUPUESTO'!C66</f>
        <v>2.3</v>
      </c>
      <c r="D71" s="84" t="str">
        <f>'BASE PRESUPUESTO'!D66</f>
        <v>LOSA DE PISO EN CONCRETO REFORZADO 3,000 PSI - DESARENADOR</v>
      </c>
      <c r="E71" s="85">
        <f>'BASE PRESUPUESTO'!H66</f>
        <v>1753473</v>
      </c>
      <c r="F71" s="86"/>
      <c r="G71" s="86"/>
      <c r="H71" s="86">
        <v>1</v>
      </c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7">
        <f t="shared" si="6"/>
        <v>1</v>
      </c>
      <c r="U71" s="86"/>
      <c r="V71" s="86">
        <v>1</v>
      </c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6"/>
      <c r="AH71" s="87">
        <f t="shared" si="7"/>
        <v>1</v>
      </c>
      <c r="AJ71" s="88">
        <f>'BASE PRESUPUESTO'!O66</f>
        <v>997552.13820740941</v>
      </c>
      <c r="AK71" s="88">
        <f>'BASE PRESUPUESTO'!P66</f>
        <v>739798.26431376848</v>
      </c>
      <c r="AL71" s="88">
        <f>'BASE PRESUPUESTO'!Q66</f>
        <v>16122.597478822763</v>
      </c>
      <c r="AM71" s="88">
        <f>'BASE PRESUPUESTO'!R66</f>
        <v>0</v>
      </c>
    </row>
    <row r="72" spans="1:39" x14ac:dyDescent="0.3">
      <c r="A72" s="82">
        <f>'BASE PRESUPUESTO'!A67</f>
        <v>63</v>
      </c>
      <c r="B72" s="94" t="s">
        <v>146</v>
      </c>
      <c r="C72" s="82" t="str">
        <f>'BASE PRESUPUESTO'!C67</f>
        <v>2.4</v>
      </c>
      <c r="D72" s="84" t="str">
        <f>'BASE PRESUPUESTO'!D67</f>
        <v>MUROS EN CONCRETO REFORZADO DE 3,000 PSI - DESARENADOR</v>
      </c>
      <c r="E72" s="85">
        <f>'BASE PRESUPUESTO'!H67</f>
        <v>2943663</v>
      </c>
      <c r="F72" s="86"/>
      <c r="G72" s="86"/>
      <c r="H72" s="86"/>
      <c r="I72" s="86">
        <v>0.5</v>
      </c>
      <c r="J72" s="86">
        <v>0.5</v>
      </c>
      <c r="K72" s="86"/>
      <c r="L72" s="86"/>
      <c r="M72" s="86"/>
      <c r="N72" s="86"/>
      <c r="O72" s="86"/>
      <c r="P72" s="86"/>
      <c r="Q72" s="86"/>
      <c r="R72" s="86"/>
      <c r="S72" s="87">
        <f t="shared" si="6"/>
        <v>1</v>
      </c>
      <c r="U72" s="86"/>
      <c r="V72" s="86"/>
      <c r="W72" s="86">
        <v>1</v>
      </c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7">
        <f t="shared" si="7"/>
        <v>1</v>
      </c>
      <c r="AJ72" s="88">
        <f>'BASE PRESUPUESTO'!O67</f>
        <v>1699001.7253199392</v>
      </c>
      <c r="AK72" s="88">
        <f>'BASE PRESUPUESTO'!P67</f>
        <v>1230957.0641000334</v>
      </c>
      <c r="AL72" s="88">
        <f>'BASE PRESUPUESTO'!Q67</f>
        <v>13704.210580028204</v>
      </c>
      <c r="AM72" s="88">
        <f>'BASE PRESUPUESTO'!R67</f>
        <v>0</v>
      </c>
    </row>
    <row r="73" spans="1:39" x14ac:dyDescent="0.3">
      <c r="A73" s="82">
        <f>'BASE PRESUPUESTO'!A68</f>
        <v>64</v>
      </c>
      <c r="B73" s="94" t="s">
        <v>146</v>
      </c>
      <c r="C73" s="82" t="str">
        <f>'BASE PRESUPUESTO'!C68</f>
        <v>2.5</v>
      </c>
      <c r="D73" s="84" t="str">
        <f>'BASE PRESUPUESTO'!D68</f>
        <v>LOSA DE CUBIERTA EN CONCRETO REFORZADO DE 3,000 PSI - DESARENADOR</v>
      </c>
      <c r="E73" s="85">
        <f>'BASE PRESUPUESTO'!H68</f>
        <v>2107262</v>
      </c>
      <c r="F73" s="86"/>
      <c r="G73" s="86"/>
      <c r="H73" s="86"/>
      <c r="I73" s="86"/>
      <c r="J73" s="86"/>
      <c r="K73" s="86">
        <v>1</v>
      </c>
      <c r="L73" s="86"/>
      <c r="M73" s="86"/>
      <c r="N73" s="86"/>
      <c r="O73" s="86"/>
      <c r="P73" s="86"/>
      <c r="Q73" s="86"/>
      <c r="R73" s="86"/>
      <c r="S73" s="87">
        <f t="shared" si="6"/>
        <v>1</v>
      </c>
      <c r="U73" s="86"/>
      <c r="V73" s="86"/>
      <c r="W73" s="86"/>
      <c r="X73" s="86"/>
      <c r="Y73" s="86">
        <v>1</v>
      </c>
      <c r="Z73" s="86"/>
      <c r="AA73" s="86"/>
      <c r="AB73" s="86"/>
      <c r="AC73" s="86"/>
      <c r="AD73" s="86"/>
      <c r="AE73" s="86"/>
      <c r="AF73" s="86"/>
      <c r="AG73" s="86"/>
      <c r="AH73" s="87">
        <f t="shared" si="7"/>
        <v>1</v>
      </c>
      <c r="AJ73" s="88">
        <f>'BASE PRESUPUESTO'!O68</f>
        <v>910764.94531539793</v>
      </c>
      <c r="AK73" s="88">
        <f>'BASE PRESUPUESTO'!P68</f>
        <v>1180374.4574511936</v>
      </c>
      <c r="AL73" s="88">
        <f>'BASE PRESUPUESTO'!Q68</f>
        <v>16122.597233409449</v>
      </c>
      <c r="AM73" s="88">
        <f>'BASE PRESUPUESTO'!R68</f>
        <v>0</v>
      </c>
    </row>
    <row r="74" spans="1:39" x14ac:dyDescent="0.3">
      <c r="A74" s="82">
        <f>'BASE PRESUPUESTO'!A69</f>
        <v>65</v>
      </c>
      <c r="B74" s="94" t="s">
        <v>146</v>
      </c>
      <c r="C74" s="82" t="str">
        <f>'BASE PRESUPUESTO'!C69</f>
        <v>2.6</v>
      </c>
      <c r="D74" s="84" t="str">
        <f>'BASE PRESUPUESTO'!D69</f>
        <v>TAPAS PLASTICA</v>
      </c>
      <c r="E74" s="85">
        <f>'BASE PRESUPUESTO'!H69</f>
        <v>750000</v>
      </c>
      <c r="F74" s="86"/>
      <c r="G74" s="86"/>
      <c r="H74" s="86"/>
      <c r="I74" s="86"/>
      <c r="J74" s="86"/>
      <c r="K74" s="86"/>
      <c r="L74" s="86">
        <v>1</v>
      </c>
      <c r="M74" s="86"/>
      <c r="N74" s="86"/>
      <c r="O74" s="86"/>
      <c r="P74" s="86"/>
      <c r="Q74" s="86"/>
      <c r="R74" s="86"/>
      <c r="S74" s="87">
        <f t="shared" si="6"/>
        <v>1</v>
      </c>
      <c r="U74" s="86"/>
      <c r="V74" s="86"/>
      <c r="W74" s="86"/>
      <c r="X74" s="86"/>
      <c r="Y74" s="86"/>
      <c r="Z74" s="86">
        <v>1</v>
      </c>
      <c r="AA74" s="86"/>
      <c r="AB74" s="86"/>
      <c r="AC74" s="86"/>
      <c r="AD74" s="86"/>
      <c r="AE74" s="86"/>
      <c r="AF74" s="86"/>
      <c r="AG74" s="86"/>
      <c r="AH74" s="87">
        <f t="shared" si="7"/>
        <v>1</v>
      </c>
      <c r="AJ74" s="88">
        <f>'BASE PRESUPUESTO'!O69</f>
        <v>692417.20075113454</v>
      </c>
      <c r="AK74" s="88">
        <f>'BASE PRESUPUESTO'!P69</f>
        <v>57114.725221158071</v>
      </c>
      <c r="AL74" s="88">
        <f>'BASE PRESUPUESTO'!Q69</f>
        <v>468.07402770776696</v>
      </c>
      <c r="AM74" s="88">
        <f>'BASE PRESUPUESTO'!R69</f>
        <v>0</v>
      </c>
    </row>
    <row r="75" spans="1:39" x14ac:dyDescent="0.3">
      <c r="A75" s="82">
        <f>'BASE PRESUPUESTO'!A70</f>
        <v>66</v>
      </c>
      <c r="B75" s="94" t="s">
        <v>146</v>
      </c>
      <c r="C75" s="82" t="str">
        <f>'BASE PRESUPUESTO'!C70</f>
        <v>2.7</v>
      </c>
      <c r="D75" s="84" t="str">
        <f>'BASE PRESUPUESTO'!D70</f>
        <v>ACERO REFUERZO FLEJADO 60000 PSI 420 Mpa</v>
      </c>
      <c r="E75" s="85">
        <f>'BASE PRESUPUESTO'!H70</f>
        <v>3217183</v>
      </c>
      <c r="F75" s="86"/>
      <c r="G75" s="86"/>
      <c r="H75" s="86">
        <v>0.5</v>
      </c>
      <c r="I75" s="86">
        <v>0.5</v>
      </c>
      <c r="J75" s="86"/>
      <c r="K75" s="86"/>
      <c r="L75" s="86"/>
      <c r="M75" s="86"/>
      <c r="N75" s="86"/>
      <c r="O75" s="86"/>
      <c r="P75" s="86"/>
      <c r="Q75" s="86"/>
      <c r="R75" s="86"/>
      <c r="S75" s="87">
        <f t="shared" si="6"/>
        <v>1</v>
      </c>
      <c r="U75" s="86"/>
      <c r="V75" s="86">
        <v>1</v>
      </c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7">
        <f t="shared" si="7"/>
        <v>1</v>
      </c>
      <c r="AJ75" s="88">
        <f>'BASE PRESUPUESTO'!O70</f>
        <v>2598544.6945469459</v>
      </c>
      <c r="AK75" s="88">
        <f>'BASE PRESUPUESTO'!P70</f>
        <v>618638.30545305391</v>
      </c>
      <c r="AL75" s="88">
        <f>'BASE PRESUPUESTO'!Q70</f>
        <v>0</v>
      </c>
      <c r="AM75" s="88">
        <f>'BASE PRESUPUESTO'!R70</f>
        <v>0</v>
      </c>
    </row>
    <row r="76" spans="1:39" x14ac:dyDescent="0.3">
      <c r="A76" s="82">
        <f>'BASE PRESUPUESTO'!A71</f>
        <v>67</v>
      </c>
      <c r="B76" s="94" t="s">
        <v>146</v>
      </c>
      <c r="C76" s="82" t="str">
        <f>'BASE PRESUPUESTO'!C71</f>
        <v>2.8</v>
      </c>
      <c r="D76" s="84" t="str">
        <f>'BASE PRESUPUESTO'!D71</f>
        <v>VALVULAS DE CIERRE, LAVADO Y BY-PASS EN 1/2"</v>
      </c>
      <c r="E76" s="85">
        <f>'BASE PRESUPUESTO'!H71</f>
        <v>1417833</v>
      </c>
      <c r="F76" s="86"/>
      <c r="G76" s="86"/>
      <c r="H76" s="86"/>
      <c r="I76" s="86"/>
      <c r="J76" s="86"/>
      <c r="K76" s="86"/>
      <c r="L76" s="86">
        <v>1</v>
      </c>
      <c r="M76" s="86"/>
      <c r="N76" s="86"/>
      <c r="O76" s="86"/>
      <c r="P76" s="86"/>
      <c r="Q76" s="86"/>
      <c r="R76" s="86"/>
      <c r="S76" s="87">
        <f t="shared" si="6"/>
        <v>1</v>
      </c>
      <c r="U76" s="86"/>
      <c r="V76" s="86"/>
      <c r="W76" s="86"/>
      <c r="X76" s="86"/>
      <c r="Y76" s="86"/>
      <c r="Z76" s="86">
        <v>1</v>
      </c>
      <c r="AA76" s="86"/>
      <c r="AB76" s="86"/>
      <c r="AC76" s="86"/>
      <c r="AD76" s="86"/>
      <c r="AE76" s="86"/>
      <c r="AF76" s="86"/>
      <c r="AG76" s="86"/>
      <c r="AH76" s="87">
        <f t="shared" si="7"/>
        <v>1</v>
      </c>
      <c r="AJ76" s="88">
        <f>'BASE PRESUPUESTO'!O71</f>
        <v>470123.26068429631</v>
      </c>
      <c r="AK76" s="88">
        <f>'BASE PRESUPUESTO'!P71</f>
        <v>940949.74117516004</v>
      </c>
      <c r="AL76" s="88">
        <f>'BASE PRESUPUESTO'!Q71</f>
        <v>6759.9981405431627</v>
      </c>
      <c r="AM76" s="88">
        <f>'BASE PRESUPUESTO'!R71</f>
        <v>0</v>
      </c>
    </row>
    <row r="77" spans="1:39" x14ac:dyDescent="0.3">
      <c r="A77" s="82">
        <f>'BASE PRESUPUESTO'!A72</f>
        <v>68</v>
      </c>
      <c r="B77" s="94" t="s">
        <v>146</v>
      </c>
      <c r="C77" s="82" t="str">
        <f>'BASE PRESUPUESTO'!C72</f>
        <v>2.9</v>
      </c>
      <c r="D77" s="84" t="str">
        <f>'BASE PRESUPUESTO'!D72</f>
        <v>COLCHON ARENA GRUESA E=5-7CM</v>
      </c>
      <c r="E77" s="85">
        <f>'BASE PRESUPUESTO'!H72</f>
        <v>509334</v>
      </c>
      <c r="F77" s="86"/>
      <c r="G77" s="86"/>
      <c r="H77" s="86"/>
      <c r="I77" s="86"/>
      <c r="J77" s="86"/>
      <c r="K77" s="86"/>
      <c r="L77" s="86">
        <v>0.33333333333333298</v>
      </c>
      <c r="M77" s="86">
        <v>0.33333333333333298</v>
      </c>
      <c r="N77" s="86">
        <v>0.33333333333333298</v>
      </c>
      <c r="O77" s="86"/>
      <c r="P77" s="86"/>
      <c r="Q77" s="86"/>
      <c r="R77" s="86"/>
      <c r="S77" s="87">
        <f t="shared" si="6"/>
        <v>0.99999999999999889</v>
      </c>
      <c r="U77" s="86"/>
      <c r="V77" s="86"/>
      <c r="W77" s="86"/>
      <c r="X77" s="86"/>
      <c r="Y77" s="86"/>
      <c r="Z77" s="86">
        <v>1</v>
      </c>
      <c r="AA77" s="86"/>
      <c r="AB77" s="86"/>
      <c r="AC77" s="86"/>
      <c r="AD77" s="86"/>
      <c r="AE77" s="86"/>
      <c r="AF77" s="86"/>
      <c r="AG77" s="86"/>
      <c r="AH77" s="87">
        <f t="shared" si="7"/>
        <v>1</v>
      </c>
      <c r="AJ77" s="88">
        <f>'BASE PRESUPUESTO'!O72</f>
        <v>458863.8773772667</v>
      </c>
      <c r="AK77" s="88">
        <f>'BASE PRESUPUESTO'!P72</f>
        <v>49286.183763546294</v>
      </c>
      <c r="AL77" s="88">
        <f>'BASE PRESUPUESTO'!Q72</f>
        <v>1183.9388591871452</v>
      </c>
      <c r="AM77" s="88">
        <f>'BASE PRESUPUESTO'!R72</f>
        <v>0</v>
      </c>
    </row>
    <row r="78" spans="1:39" x14ac:dyDescent="0.3">
      <c r="A78" s="82">
        <f>'BASE PRESUPUESTO'!A73</f>
        <v>69</v>
      </c>
      <c r="B78" s="94" t="s">
        <v>146</v>
      </c>
      <c r="C78" s="82" t="str">
        <f>'BASE PRESUPUESTO'!C73</f>
        <v>2.10</v>
      </c>
      <c r="D78" s="84" t="str">
        <f>'BASE PRESUPUESTO'!D73</f>
        <v>TUBERIA PVC 1,1/2"</v>
      </c>
      <c r="E78" s="85">
        <f>'BASE PRESUPUESTO'!H73</f>
        <v>9876000</v>
      </c>
      <c r="F78" s="86"/>
      <c r="G78" s="86"/>
      <c r="H78" s="86"/>
      <c r="I78" s="86"/>
      <c r="J78" s="86"/>
      <c r="K78" s="86"/>
      <c r="L78" s="86">
        <v>0.33333333333333298</v>
      </c>
      <c r="M78" s="86">
        <v>0.33333333333333298</v>
      </c>
      <c r="N78" s="86">
        <v>0.33333333333333298</v>
      </c>
      <c r="O78" s="86"/>
      <c r="P78" s="86"/>
      <c r="Q78" s="86"/>
      <c r="R78" s="86"/>
      <c r="S78" s="87">
        <f t="shared" si="6"/>
        <v>0.99999999999999889</v>
      </c>
      <c r="U78" s="86"/>
      <c r="V78" s="86"/>
      <c r="W78" s="86"/>
      <c r="X78" s="86"/>
      <c r="Y78" s="86"/>
      <c r="Z78" s="86">
        <v>1</v>
      </c>
      <c r="AA78" s="86"/>
      <c r="AB78" s="86"/>
      <c r="AC78" s="86"/>
      <c r="AD78" s="86"/>
      <c r="AE78" s="86"/>
      <c r="AF78" s="86"/>
      <c r="AG78" s="86"/>
      <c r="AH78" s="87">
        <f t="shared" si="7"/>
        <v>1</v>
      </c>
      <c r="AJ78" s="88">
        <f>'BASE PRESUPUESTO'!O73</f>
        <v>5218880.7617412033</v>
      </c>
      <c r="AK78" s="88">
        <f>'BASE PRESUPUESTO'!P73</f>
        <v>4234588.0062013455</v>
      </c>
      <c r="AL78" s="88">
        <f>'BASE PRESUPUESTO'!Q73</f>
        <v>422531.23205745255</v>
      </c>
      <c r="AM78" s="88">
        <f>'BASE PRESUPUESTO'!R73</f>
        <v>0</v>
      </c>
    </row>
    <row r="79" spans="1:39" x14ac:dyDescent="0.3">
      <c r="A79" s="82">
        <f>'BASE PRESUPUESTO'!A74</f>
        <v>70</v>
      </c>
      <c r="B79" s="94" t="s">
        <v>146</v>
      </c>
      <c r="C79" s="82" t="str">
        <f>'BASE PRESUPUESTO'!C74</f>
        <v>2.11</v>
      </c>
      <c r="D79" s="84" t="str">
        <f>'BASE PRESUPUESTO'!D74</f>
        <v>NIVELACION PISO Y GRAVA E=0,10 MTS</v>
      </c>
      <c r="E79" s="85">
        <f>'BASE PRESUPUESTO'!H74</f>
        <v>1476114</v>
      </c>
      <c r="F79" s="86"/>
      <c r="G79" s="86"/>
      <c r="H79" s="86"/>
      <c r="I79" s="86"/>
      <c r="J79" s="86"/>
      <c r="K79" s="86"/>
      <c r="L79" s="86"/>
      <c r="M79" s="86"/>
      <c r="N79" s="86"/>
      <c r="O79" s="86">
        <v>1</v>
      </c>
      <c r="P79" s="86"/>
      <c r="Q79" s="86"/>
      <c r="R79" s="86"/>
      <c r="S79" s="87">
        <f t="shared" si="6"/>
        <v>1</v>
      </c>
      <c r="U79" s="86"/>
      <c r="V79" s="86"/>
      <c r="W79" s="86"/>
      <c r="X79" s="86"/>
      <c r="Y79" s="86"/>
      <c r="Z79" s="86"/>
      <c r="AA79" s="86"/>
      <c r="AB79" s="86"/>
      <c r="AC79" s="86">
        <v>1</v>
      </c>
      <c r="AD79" s="86"/>
      <c r="AE79" s="86"/>
      <c r="AF79" s="86"/>
      <c r="AG79" s="86"/>
      <c r="AH79" s="87">
        <f t="shared" si="7"/>
        <v>1</v>
      </c>
      <c r="AJ79" s="88">
        <f>'BASE PRESUPUESTO'!O74</f>
        <v>669735.0090742989</v>
      </c>
      <c r="AK79" s="88">
        <f>'BASE PRESUPUESTO'!P74</f>
        <v>798757.09082243114</v>
      </c>
      <c r="AL79" s="88">
        <f>'BASE PRESUPUESTO'!Q74</f>
        <v>7621.9001032698106</v>
      </c>
      <c r="AM79" s="88">
        <f>'BASE PRESUPUESTO'!R74</f>
        <v>0</v>
      </c>
    </row>
    <row r="80" spans="1:39" x14ac:dyDescent="0.3">
      <c r="A80" s="82">
        <f>'BASE PRESUPUESTO'!A75</f>
        <v>71</v>
      </c>
      <c r="B80" s="94" t="s">
        <v>146</v>
      </c>
      <c r="C80" s="82" t="str">
        <f>'BASE PRESUPUESTO'!C75</f>
        <v>2.12</v>
      </c>
      <c r="D80" s="84" t="str">
        <f>'BASE PRESUPUESTO'!D75</f>
        <v>TANQUE PLASTICO 5.000 LTS</v>
      </c>
      <c r="E80" s="85">
        <f>'BASE PRESUPUESTO'!H75</f>
        <v>9197064</v>
      </c>
      <c r="F80" s="86"/>
      <c r="G80" s="86"/>
      <c r="H80" s="86"/>
      <c r="I80" s="86"/>
      <c r="J80" s="86"/>
      <c r="K80" s="86"/>
      <c r="L80" s="86"/>
      <c r="M80" s="86"/>
      <c r="N80" s="86"/>
      <c r="O80" s="86">
        <v>1</v>
      </c>
      <c r="P80" s="86"/>
      <c r="Q80" s="86"/>
      <c r="R80" s="86"/>
      <c r="S80" s="87">
        <f t="shared" si="6"/>
        <v>1</v>
      </c>
      <c r="U80" s="86"/>
      <c r="V80" s="86"/>
      <c r="W80" s="86"/>
      <c r="X80" s="86"/>
      <c r="Y80" s="86"/>
      <c r="Z80" s="86"/>
      <c r="AA80" s="86"/>
      <c r="AB80" s="86"/>
      <c r="AC80" s="86">
        <v>1</v>
      </c>
      <c r="AD80" s="86"/>
      <c r="AE80" s="86"/>
      <c r="AF80" s="86"/>
      <c r="AG80" s="86"/>
      <c r="AH80" s="87">
        <f t="shared" si="7"/>
        <v>1</v>
      </c>
      <c r="AJ80" s="88">
        <f>'BASE PRESUPUESTO'!O75</f>
        <v>8620264.8390870094</v>
      </c>
      <c r="AK80" s="88">
        <f>'BASE PRESUPUESTO'!P75</f>
        <v>576799.16091298964</v>
      </c>
      <c r="AL80" s="88">
        <f>'BASE PRESUPUESTO'!Q75</f>
        <v>0</v>
      </c>
      <c r="AM80" s="88">
        <f>'BASE PRESUPUESTO'!R75</f>
        <v>0</v>
      </c>
    </row>
    <row r="81" spans="1:39" x14ac:dyDescent="0.3">
      <c r="A81" s="82">
        <f>'BASE PRESUPUESTO'!A76</f>
        <v>72</v>
      </c>
      <c r="B81" s="94" t="s">
        <v>146</v>
      </c>
      <c r="C81" s="82" t="str">
        <f>'BASE PRESUPUESTO'!C76</f>
        <v>2.13</v>
      </c>
      <c r="D81" s="84" t="str">
        <f>'BASE PRESUPUESTO'!D76</f>
        <v>FLOTADOR DE 1" PARA TANQUE 5,000 LTS, INCLUYE ACCESORIOS INSTALACION</v>
      </c>
      <c r="E81" s="85">
        <f>'BASE PRESUPUESTO'!H76</f>
        <v>409298</v>
      </c>
      <c r="F81" s="86"/>
      <c r="G81" s="86"/>
      <c r="H81" s="86"/>
      <c r="I81" s="86"/>
      <c r="J81" s="86"/>
      <c r="K81" s="86"/>
      <c r="L81" s="86"/>
      <c r="M81" s="86"/>
      <c r="N81" s="86"/>
      <c r="O81" s="86">
        <v>1</v>
      </c>
      <c r="P81" s="86"/>
      <c r="Q81" s="86"/>
      <c r="R81" s="86"/>
      <c r="S81" s="87">
        <f t="shared" si="6"/>
        <v>1</v>
      </c>
      <c r="U81" s="86"/>
      <c r="V81" s="86"/>
      <c r="W81" s="86"/>
      <c r="X81" s="86"/>
      <c r="Y81" s="86"/>
      <c r="Z81" s="86"/>
      <c r="AA81" s="86"/>
      <c r="AB81" s="86"/>
      <c r="AC81" s="86">
        <v>1</v>
      </c>
      <c r="AD81" s="86"/>
      <c r="AE81" s="86"/>
      <c r="AF81" s="86"/>
      <c r="AG81" s="86"/>
      <c r="AH81" s="87">
        <f t="shared" si="7"/>
        <v>1</v>
      </c>
      <c r="AJ81" s="88">
        <f>'BASE PRESUPUESTO'!O76</f>
        <v>283499.99999999988</v>
      </c>
      <c r="AK81" s="88">
        <f>'BASE PRESUPUESTO'!P76</f>
        <v>125460.0000000002</v>
      </c>
      <c r="AL81" s="88">
        <f>'BASE PRESUPUESTO'!Q76</f>
        <v>338.00000000000006</v>
      </c>
      <c r="AM81" s="88">
        <f>'BASE PRESUPUESTO'!R76</f>
        <v>0</v>
      </c>
    </row>
    <row r="82" spans="1:39" x14ac:dyDescent="0.3">
      <c r="A82" s="82">
        <f>'BASE PRESUPUESTO'!A77</f>
        <v>73</v>
      </c>
      <c r="B82" s="94" t="s">
        <v>146</v>
      </c>
      <c r="C82" s="82" t="str">
        <f>'BASE PRESUPUESTO'!C77</f>
        <v>2.14</v>
      </c>
      <c r="D82" s="84" t="str">
        <f>'BASE PRESUPUESTO'!D77</f>
        <v>CONEXIÓN TANQUE PLASTICOS CON LA RED DE DISTRIBUCION, BY - PASS, LAVADO Y REBOSE</v>
      </c>
      <c r="E82" s="85">
        <f>'BASE PRESUPUESTO'!H77</f>
        <v>1984056</v>
      </c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>
        <v>1</v>
      </c>
      <c r="Q82" s="86"/>
      <c r="R82" s="86"/>
      <c r="S82" s="87">
        <f t="shared" si="6"/>
        <v>1</v>
      </c>
      <c r="U82" s="86"/>
      <c r="V82" s="86"/>
      <c r="W82" s="86"/>
      <c r="X82" s="86"/>
      <c r="Y82" s="86"/>
      <c r="Z82" s="86"/>
      <c r="AA82" s="86"/>
      <c r="AB82" s="86"/>
      <c r="AC82" s="86"/>
      <c r="AD82" s="86">
        <v>1</v>
      </c>
      <c r="AE82" s="86"/>
      <c r="AF82" s="86"/>
      <c r="AG82" s="86"/>
      <c r="AH82" s="87">
        <f t="shared" si="7"/>
        <v>1</v>
      </c>
      <c r="AJ82" s="88">
        <f>'BASE PRESUPUESTO'!O77</f>
        <v>722695.99364251841</v>
      </c>
      <c r="AK82" s="88">
        <f>'BASE PRESUPUESTO'!P77</f>
        <v>1254600.0063234093</v>
      </c>
      <c r="AL82" s="88">
        <f>'BASE PRESUPUESTO'!Q77</f>
        <v>6760.0000340716142</v>
      </c>
      <c r="AM82" s="88">
        <f>'BASE PRESUPUESTO'!R77</f>
        <v>0</v>
      </c>
    </row>
    <row r="83" spans="1:39" x14ac:dyDescent="0.3">
      <c r="A83" s="82">
        <f>'BASE PRESUPUESTO'!A78</f>
        <v>74</v>
      </c>
      <c r="B83" s="94" t="s">
        <v>146</v>
      </c>
      <c r="C83" s="82" t="str">
        <f>'BASE PRESUPUESTO'!C78</f>
        <v>2.15</v>
      </c>
      <c r="D83" s="84" t="str">
        <f>'BASE PRESUPUESTO'!D78</f>
        <v>ACARREO MATERIALES TRACCION ANIMAL</v>
      </c>
      <c r="E83" s="85">
        <f>'BASE PRESUPUESTO'!H78</f>
        <v>1714214</v>
      </c>
      <c r="F83" s="86"/>
      <c r="G83" s="86">
        <v>0.11111111111111099</v>
      </c>
      <c r="H83" s="86">
        <v>0.11111111111111099</v>
      </c>
      <c r="I83" s="86">
        <v>0.11111111111111099</v>
      </c>
      <c r="J83" s="86">
        <v>0.11111111111111099</v>
      </c>
      <c r="K83" s="86">
        <v>0.11111111111111099</v>
      </c>
      <c r="L83" s="86">
        <v>0.11111111111111099</v>
      </c>
      <c r="M83" s="86">
        <v>0.11111111111111099</v>
      </c>
      <c r="N83" s="86">
        <v>0.11111111111111099</v>
      </c>
      <c r="O83" s="86">
        <v>0.11111111111111099</v>
      </c>
      <c r="P83" s="86"/>
      <c r="Q83" s="86"/>
      <c r="R83" s="86"/>
      <c r="S83" s="87">
        <f t="shared" si="6"/>
        <v>0.99999999999999867</v>
      </c>
      <c r="U83" s="86">
        <v>1</v>
      </c>
      <c r="V83" s="86"/>
      <c r="W83" s="86"/>
      <c r="X83" s="86"/>
      <c r="Y83" s="86"/>
      <c r="Z83" s="86"/>
      <c r="AA83" s="86"/>
      <c r="AB83" s="86"/>
      <c r="AC83" s="86"/>
      <c r="AD83" s="86"/>
      <c r="AE83" s="86"/>
      <c r="AF83" s="86"/>
      <c r="AG83" s="86"/>
      <c r="AH83" s="87">
        <f t="shared" si="7"/>
        <v>1</v>
      </c>
      <c r="AJ83" s="88">
        <f>'BASE PRESUPUESTO'!O78</f>
        <v>0</v>
      </c>
      <c r="AK83" s="88">
        <f>'BASE PRESUPUESTO'!P78</f>
        <v>0</v>
      </c>
      <c r="AL83" s="88">
        <f>'BASE PRESUPUESTO'!Q78</f>
        <v>0</v>
      </c>
      <c r="AM83" s="88">
        <f>'BASE PRESUPUESTO'!R78</f>
        <v>1714214</v>
      </c>
    </row>
    <row r="84" spans="1:39" x14ac:dyDescent="0.3">
      <c r="A84" s="82">
        <f>'BASE PRESUPUESTO'!A79</f>
        <v>75</v>
      </c>
      <c r="B84" s="94" t="s">
        <v>146</v>
      </c>
      <c r="C84" s="82" t="str">
        <f>'BASE PRESUPUESTO'!C79</f>
        <v>2.16</v>
      </c>
      <c r="D84" s="84" t="str">
        <f>'BASE PRESUPUESTO'!D79</f>
        <v>ACARREO MATERIALES-ESCOMBROS 10 PERS</v>
      </c>
      <c r="E84" s="85">
        <f>'BASE PRESUPUESTO'!H79</f>
        <v>707566</v>
      </c>
      <c r="F84" s="86"/>
      <c r="G84" s="86"/>
      <c r="H84" s="86"/>
      <c r="I84" s="86"/>
      <c r="J84" s="86">
        <v>0.5</v>
      </c>
      <c r="K84" s="86"/>
      <c r="L84" s="86"/>
      <c r="M84" s="86"/>
      <c r="N84" s="86"/>
      <c r="O84" s="86"/>
      <c r="P84" s="86">
        <v>0.5</v>
      </c>
      <c r="Q84" s="86"/>
      <c r="R84" s="86"/>
      <c r="S84" s="87">
        <f t="shared" si="6"/>
        <v>1</v>
      </c>
      <c r="U84" s="86"/>
      <c r="V84" s="86"/>
      <c r="W84" s="86"/>
      <c r="X84" s="86">
        <v>1</v>
      </c>
      <c r="Y84" s="86"/>
      <c r="Z84" s="86"/>
      <c r="AA84" s="86"/>
      <c r="AB84" s="86"/>
      <c r="AC84" s="86"/>
      <c r="AD84" s="86"/>
      <c r="AE84" s="86"/>
      <c r="AF84" s="86"/>
      <c r="AG84" s="86"/>
      <c r="AH84" s="87">
        <f t="shared" si="7"/>
        <v>1</v>
      </c>
      <c r="AJ84" s="88">
        <f>'BASE PRESUPUESTO'!O79</f>
        <v>0</v>
      </c>
      <c r="AK84" s="88">
        <f>'BASE PRESUPUESTO'!P79</f>
        <v>0</v>
      </c>
      <c r="AL84" s="88">
        <f>'BASE PRESUPUESTO'!Q79</f>
        <v>0</v>
      </c>
      <c r="AM84" s="88">
        <f>'BASE PRESUPUESTO'!R79</f>
        <v>707566</v>
      </c>
    </row>
    <row r="85" spans="1:39" x14ac:dyDescent="0.3">
      <c r="A85" s="82">
        <f>'BASE PRESUPUESTO'!A80</f>
        <v>76</v>
      </c>
      <c r="B85" s="94" t="s">
        <v>146</v>
      </c>
      <c r="C85" s="82" t="str">
        <f>'BASE PRESUPUESTO'!C80</f>
        <v>2.17</v>
      </c>
      <c r="D85" s="84" t="str">
        <f>'BASE PRESUPUESTO'!D80</f>
        <v>ACARREO MATERIALES CAMPERO-CAMIONETA</v>
      </c>
      <c r="E85" s="85">
        <f>'BASE PRESUPUESTO'!H80</f>
        <v>2370968</v>
      </c>
      <c r="F85" s="86">
        <v>0.1</v>
      </c>
      <c r="G85" s="86">
        <v>0.1</v>
      </c>
      <c r="H85" s="86">
        <v>0.1</v>
      </c>
      <c r="I85" s="86">
        <v>0.1</v>
      </c>
      <c r="J85" s="86">
        <v>0.1</v>
      </c>
      <c r="K85" s="86">
        <v>0.1</v>
      </c>
      <c r="L85" s="86">
        <v>0.1</v>
      </c>
      <c r="M85" s="86">
        <v>0.1</v>
      </c>
      <c r="N85" s="86">
        <v>0.1</v>
      </c>
      <c r="O85" s="86">
        <v>0.1</v>
      </c>
      <c r="P85" s="86"/>
      <c r="Q85" s="86"/>
      <c r="R85" s="86"/>
      <c r="S85" s="87">
        <f t="shared" si="6"/>
        <v>0.99999999999999989</v>
      </c>
      <c r="U85" s="86">
        <v>1</v>
      </c>
      <c r="V85" s="86"/>
      <c r="W85" s="86"/>
      <c r="X85" s="86"/>
      <c r="Y85" s="86"/>
      <c r="Z85" s="86"/>
      <c r="AA85" s="86"/>
      <c r="AB85" s="86"/>
      <c r="AC85" s="86"/>
      <c r="AD85" s="86"/>
      <c r="AE85" s="86"/>
      <c r="AF85" s="86"/>
      <c r="AG85" s="86"/>
      <c r="AH85" s="87">
        <f t="shared" si="7"/>
        <v>1</v>
      </c>
      <c r="AJ85" s="88">
        <f>'BASE PRESUPUESTO'!O80</f>
        <v>0</v>
      </c>
      <c r="AK85" s="88">
        <f>'BASE PRESUPUESTO'!P80</f>
        <v>0</v>
      </c>
      <c r="AL85" s="88">
        <f>'BASE PRESUPUESTO'!Q80</f>
        <v>0</v>
      </c>
      <c r="AM85" s="88">
        <f>'BASE PRESUPUESTO'!R80</f>
        <v>2370968</v>
      </c>
    </row>
    <row r="86" spans="1:39" ht="15" x14ac:dyDescent="0.3">
      <c r="A86" s="189" t="s">
        <v>26</v>
      </c>
      <c r="B86" s="189"/>
      <c r="C86" s="189"/>
      <c r="D86" s="189"/>
      <c r="E86" s="189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  <c r="AA86" s="95"/>
      <c r="AB86" s="95"/>
      <c r="AC86" s="95"/>
      <c r="AD86" s="95"/>
      <c r="AE86" s="95"/>
      <c r="AF86" s="95"/>
      <c r="AG86" s="95"/>
      <c r="AH86" s="95"/>
    </row>
    <row r="87" spans="1:39" x14ac:dyDescent="0.3">
      <c r="A87" s="82">
        <f>'BASE PRESUPUESTO'!A81</f>
        <v>77</v>
      </c>
      <c r="B87" s="96" t="s">
        <v>147</v>
      </c>
      <c r="C87" s="82" t="str">
        <f>'BASE PRESUPUESTO'!C81</f>
        <v>1.1</v>
      </c>
      <c r="D87" s="84" t="str">
        <f>'BASE PRESUPUESTO'!D81</f>
        <v>SUMINISTRO E INSTALACION DOSIFICADOR DE CLORO</v>
      </c>
      <c r="E87" s="85">
        <f>'BASE PRESUPUESTO'!H81</f>
        <v>3000000</v>
      </c>
      <c r="F87" s="86"/>
      <c r="G87" s="86"/>
      <c r="H87" s="86"/>
      <c r="I87" s="86"/>
      <c r="J87" s="86"/>
      <c r="K87" s="86">
        <v>1</v>
      </c>
      <c r="L87" s="86"/>
      <c r="M87" s="86"/>
      <c r="N87" s="86"/>
      <c r="O87" s="86"/>
      <c r="P87" s="86"/>
      <c r="Q87" s="86"/>
      <c r="R87" s="86"/>
      <c r="S87" s="87">
        <f>SUM(F87:R87)</f>
        <v>1</v>
      </c>
      <c r="U87" s="86"/>
      <c r="V87" s="86"/>
      <c r="W87" s="86"/>
      <c r="X87" s="86"/>
      <c r="Y87" s="86">
        <v>1</v>
      </c>
      <c r="Z87" s="86"/>
      <c r="AA87" s="86"/>
      <c r="AB87" s="86"/>
      <c r="AC87" s="86"/>
      <c r="AD87" s="86"/>
      <c r="AE87" s="86"/>
      <c r="AF87" s="86"/>
      <c r="AG87" s="86"/>
      <c r="AH87" s="87">
        <f>SUM(U87:AG87)</f>
        <v>1</v>
      </c>
      <c r="AJ87" s="88">
        <f>'BASE PRESUPUESTO'!O81</f>
        <v>2550000</v>
      </c>
      <c r="AK87" s="88">
        <f>'BASE PRESUPUESTO'!P81</f>
        <v>420000.00000000006</v>
      </c>
      <c r="AL87" s="88">
        <f>'BASE PRESUPUESTO'!Q81</f>
        <v>30000</v>
      </c>
      <c r="AM87" s="88">
        <f>'BASE PRESUPUESTO'!R81</f>
        <v>0</v>
      </c>
    </row>
    <row r="88" spans="1:39" ht="15" x14ac:dyDescent="0.3">
      <c r="A88" s="190" t="s">
        <v>27</v>
      </c>
      <c r="B88" s="190"/>
      <c r="C88" s="190"/>
      <c r="D88" s="190"/>
      <c r="E88" s="190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  <c r="AA88" s="97"/>
      <c r="AB88" s="97"/>
      <c r="AC88" s="97"/>
      <c r="AD88" s="97"/>
      <c r="AE88" s="97"/>
      <c r="AF88" s="97"/>
      <c r="AG88" s="97"/>
      <c r="AH88" s="97"/>
    </row>
    <row r="89" spans="1:39" x14ac:dyDescent="0.3">
      <c r="A89" s="82">
        <f>'BASE PRESUPUESTO'!A82</f>
        <v>78</v>
      </c>
      <c r="B89" s="98" t="s">
        <v>148</v>
      </c>
      <c r="C89" s="82" t="str">
        <f>'BASE PRESUPUESTO'!C82</f>
        <v>1.1</v>
      </c>
      <c r="D89" s="84" t="str">
        <f>'BASE PRESUPUESTO'!D82</f>
        <v>LOCALIZACION-REPLANTEO ACUEDUCTO-ALCANTARILLADO</v>
      </c>
      <c r="E89" s="85">
        <f>'BASE PRESUPUESTO'!H82</f>
        <v>660508</v>
      </c>
      <c r="F89" s="86"/>
      <c r="G89" s="86"/>
      <c r="H89" s="86"/>
      <c r="I89" s="86">
        <v>1</v>
      </c>
      <c r="J89" s="86"/>
      <c r="K89" s="86"/>
      <c r="L89" s="86"/>
      <c r="M89" s="86"/>
      <c r="N89" s="86"/>
      <c r="O89" s="86"/>
      <c r="P89" s="86"/>
      <c r="Q89" s="86"/>
      <c r="R89" s="86"/>
      <c r="S89" s="87">
        <f t="shared" ref="S89:S103" si="8">SUM(F89:R89)</f>
        <v>1</v>
      </c>
      <c r="U89" s="86"/>
      <c r="V89" s="86"/>
      <c r="W89" s="86">
        <v>1</v>
      </c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7">
        <f t="shared" ref="AH89:AH103" si="9">SUM(U89:AG89)</f>
        <v>1</v>
      </c>
      <c r="AJ89" s="88">
        <f>'BASE PRESUPUESTO'!O82</f>
        <v>108830.43253387719</v>
      </c>
      <c r="AK89" s="88">
        <f>'BASE PRESUPUESTO'!P82</f>
        <v>463832.3752863119</v>
      </c>
      <c r="AL89" s="88">
        <f>'BASE PRESUPUESTO'!Q82</f>
        <v>87845.192179810896</v>
      </c>
      <c r="AM89" s="88">
        <f>'BASE PRESUPUESTO'!R82</f>
        <v>0</v>
      </c>
    </row>
    <row r="90" spans="1:39" x14ac:dyDescent="0.3">
      <c r="A90" s="82">
        <f>'BASE PRESUPUESTO'!A83</f>
        <v>79</v>
      </c>
      <c r="B90" s="98" t="s">
        <v>148</v>
      </c>
      <c r="C90" s="82" t="str">
        <f>'BASE PRESUPUESTO'!C83</f>
        <v>1.2</v>
      </c>
      <c r="D90" s="84" t="str">
        <f>'BASE PRESUPUESTO'!D83</f>
        <v>EXCAVACION EN CONGLOMERADO (MANUAL)</v>
      </c>
      <c r="E90" s="85">
        <f>'BASE PRESUPUESTO'!H83</f>
        <v>4518465</v>
      </c>
      <c r="F90" s="86"/>
      <c r="G90" s="86"/>
      <c r="H90" s="86"/>
      <c r="I90" s="86">
        <v>0.33333333333333298</v>
      </c>
      <c r="J90" s="86">
        <v>0.33333333333333298</v>
      </c>
      <c r="K90" s="86">
        <v>0.33333333333333298</v>
      </c>
      <c r="L90" s="86"/>
      <c r="M90" s="86"/>
      <c r="N90" s="86"/>
      <c r="O90" s="86"/>
      <c r="P90" s="86"/>
      <c r="Q90" s="86"/>
      <c r="R90" s="86"/>
      <c r="S90" s="87">
        <f t="shared" si="8"/>
        <v>0.99999999999999889</v>
      </c>
      <c r="U90" s="86"/>
      <c r="V90" s="86"/>
      <c r="W90" s="86">
        <v>1</v>
      </c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7">
        <f t="shared" si="9"/>
        <v>1</v>
      </c>
      <c r="AJ90" s="88">
        <f>'BASE PRESUPUESTO'!O83</f>
        <v>0</v>
      </c>
      <c r="AK90" s="88">
        <f>'BASE PRESUPUESTO'!P83</f>
        <v>4365736.1428777138</v>
      </c>
      <c r="AL90" s="88">
        <f>'BASE PRESUPUESTO'!Q83</f>
        <v>152728.85712228544</v>
      </c>
      <c r="AM90" s="88">
        <f>'BASE PRESUPUESTO'!R83</f>
        <v>0</v>
      </c>
    </row>
    <row r="91" spans="1:39" x14ac:dyDescent="0.3">
      <c r="A91" s="82">
        <f>'BASE PRESUPUESTO'!A84</f>
        <v>80</v>
      </c>
      <c r="B91" s="98" t="s">
        <v>148</v>
      </c>
      <c r="C91" s="82" t="str">
        <f>'BASE PRESUPUESTO'!C84</f>
        <v>1.3</v>
      </c>
      <c r="D91" s="84" t="str">
        <f>'BASE PRESUPUESTO'!D84</f>
        <v>BODEGAJE</v>
      </c>
      <c r="E91" s="85">
        <f>'BASE PRESUPUESTO'!H84</f>
        <v>187668</v>
      </c>
      <c r="F91" s="86"/>
      <c r="G91" s="86"/>
      <c r="H91" s="86"/>
      <c r="I91" s="86">
        <v>0.2</v>
      </c>
      <c r="J91" s="86">
        <v>0.2</v>
      </c>
      <c r="K91" s="86">
        <v>0.2</v>
      </c>
      <c r="L91" s="86">
        <v>0.2</v>
      </c>
      <c r="M91" s="86">
        <v>0.2</v>
      </c>
      <c r="N91" s="86"/>
      <c r="O91" s="86"/>
      <c r="P91" s="86"/>
      <c r="Q91" s="86"/>
      <c r="R91" s="86"/>
      <c r="S91" s="87">
        <f t="shared" si="8"/>
        <v>1</v>
      </c>
      <c r="U91" s="86"/>
      <c r="V91" s="86"/>
      <c r="W91" s="86">
        <v>1</v>
      </c>
      <c r="X91" s="86"/>
      <c r="Y91" s="86"/>
      <c r="Z91" s="86"/>
      <c r="AA91" s="86"/>
      <c r="AB91" s="86"/>
      <c r="AC91" s="86"/>
      <c r="AD91" s="86"/>
      <c r="AE91" s="86"/>
      <c r="AF91" s="86"/>
      <c r="AG91" s="86"/>
      <c r="AH91" s="87">
        <f t="shared" si="9"/>
        <v>1</v>
      </c>
      <c r="AJ91" s="88">
        <f>'BASE PRESUPUESTO'!O84</f>
        <v>0</v>
      </c>
      <c r="AK91" s="88">
        <f>'BASE PRESUPUESTO'!P84</f>
        <v>0</v>
      </c>
      <c r="AL91" s="88">
        <f>'BASE PRESUPUESTO'!Q84</f>
        <v>0</v>
      </c>
      <c r="AM91" s="88">
        <f>'BASE PRESUPUESTO'!R84</f>
        <v>187668</v>
      </c>
    </row>
    <row r="92" spans="1:39" x14ac:dyDescent="0.3">
      <c r="A92" s="82">
        <f>'BASE PRESUPUESTO'!A85</f>
        <v>81</v>
      </c>
      <c r="B92" s="98" t="s">
        <v>148</v>
      </c>
      <c r="C92" s="82" t="str">
        <f>'BASE PRESUPUESTO'!C85</f>
        <v>2.1</v>
      </c>
      <c r="D92" s="84" t="str">
        <f>'BASE PRESUPUESTO'!D85</f>
        <v>ADECUACION  BOCATOMA EXISTENTE, INSTALACION DE REJILLA 40 X70</v>
      </c>
      <c r="E92" s="85">
        <f>'BASE PRESUPUESTO'!H85</f>
        <v>2456747</v>
      </c>
      <c r="F92" s="86"/>
      <c r="G92" s="86"/>
      <c r="H92" s="86"/>
      <c r="I92" s="86"/>
      <c r="J92" s="86">
        <v>1</v>
      </c>
      <c r="K92" s="86"/>
      <c r="L92" s="86"/>
      <c r="M92" s="86"/>
      <c r="N92" s="86"/>
      <c r="O92" s="86"/>
      <c r="P92" s="86"/>
      <c r="Q92" s="86"/>
      <c r="R92" s="86"/>
      <c r="S92" s="87">
        <f t="shared" si="8"/>
        <v>1</v>
      </c>
      <c r="U92" s="86"/>
      <c r="V92" s="86"/>
      <c r="W92" s="86"/>
      <c r="X92" s="86">
        <v>1</v>
      </c>
      <c r="Y92" s="86"/>
      <c r="Z92" s="86"/>
      <c r="AA92" s="86"/>
      <c r="AB92" s="86"/>
      <c r="AC92" s="86"/>
      <c r="AD92" s="86"/>
      <c r="AE92" s="86"/>
      <c r="AF92" s="86"/>
      <c r="AG92" s="86"/>
      <c r="AH92" s="87">
        <f t="shared" si="9"/>
        <v>1</v>
      </c>
      <c r="AJ92" s="88">
        <f>'BASE PRESUPUESTO'!O85</f>
        <v>1195386.7740921234</v>
      </c>
      <c r="AK92" s="88">
        <f>'BASE PRESUPUESTO'!P85</f>
        <v>1254600.2246971705</v>
      </c>
      <c r="AL92" s="88">
        <f>'BASE PRESUPUESTO'!Q85</f>
        <v>6760.0012107068942</v>
      </c>
      <c r="AM92" s="88">
        <f>'BASE PRESUPUESTO'!R85</f>
        <v>0</v>
      </c>
    </row>
    <row r="93" spans="1:39" x14ac:dyDescent="0.3">
      <c r="A93" s="82">
        <f>'BASE PRESUPUESTO'!A86</f>
        <v>82</v>
      </c>
      <c r="B93" s="98" t="s">
        <v>148</v>
      </c>
      <c r="C93" s="82" t="str">
        <f>'BASE PRESUPUESTO'!C86</f>
        <v>2.2</v>
      </c>
      <c r="D93" s="84" t="str">
        <f>'BASE PRESUPUESTO'!D86</f>
        <v>CONSTRUCCION BOCATOMA TIPO REPRESA CON REJILLA DE 40 X 80</v>
      </c>
      <c r="E93" s="85">
        <f>'BASE PRESUPUESTO'!H86</f>
        <v>6719753</v>
      </c>
      <c r="F93" s="86"/>
      <c r="G93" s="86"/>
      <c r="H93" s="86"/>
      <c r="I93" s="86"/>
      <c r="J93" s="86"/>
      <c r="K93" s="86">
        <v>0.33333333333333298</v>
      </c>
      <c r="L93" s="86">
        <v>0.33333333333333298</v>
      </c>
      <c r="M93" s="86">
        <v>0.33333333333333298</v>
      </c>
      <c r="N93" s="86"/>
      <c r="O93" s="86"/>
      <c r="P93" s="86"/>
      <c r="Q93" s="86"/>
      <c r="R93" s="86"/>
      <c r="S93" s="87">
        <f t="shared" si="8"/>
        <v>0.99999999999999889</v>
      </c>
      <c r="U93" s="86"/>
      <c r="V93" s="86"/>
      <c r="W93" s="86"/>
      <c r="X93" s="86"/>
      <c r="Y93" s="86">
        <v>1</v>
      </c>
      <c r="Z93" s="86"/>
      <c r="AA93" s="86"/>
      <c r="AB93" s="86"/>
      <c r="AC93" s="86"/>
      <c r="AD93" s="86"/>
      <c r="AE93" s="86"/>
      <c r="AF93" s="86"/>
      <c r="AG93" s="86"/>
      <c r="AH93" s="87">
        <f t="shared" si="9"/>
        <v>1</v>
      </c>
      <c r="AJ93" s="88">
        <f>'BASE PRESUPUESTO'!O86</f>
        <v>4203792.8539790902</v>
      </c>
      <c r="AK93" s="88">
        <f>'BASE PRESUPUESTO'!P86</f>
        <v>2509200.1456285785</v>
      </c>
      <c r="AL93" s="88">
        <f>'BASE PRESUPUESTO'!Q86</f>
        <v>6760.0003923359081</v>
      </c>
      <c r="AM93" s="88">
        <f>'BASE PRESUPUESTO'!R86</f>
        <v>0</v>
      </c>
    </row>
    <row r="94" spans="1:39" x14ac:dyDescent="0.3">
      <c r="A94" s="82">
        <f>'BASE PRESUPUESTO'!A87</f>
        <v>83</v>
      </c>
      <c r="B94" s="98" t="s">
        <v>148</v>
      </c>
      <c r="C94" s="82" t="str">
        <f>'BASE PRESUPUESTO'!C87</f>
        <v>2.3</v>
      </c>
      <c r="D94" s="84" t="str">
        <f>'BASE PRESUPUESTO'!D87</f>
        <v>CONEXIÓN CON TUBERIA PVC RDE 21 DE 2" ENTRE BOCATOMA Y DESARENADOR</v>
      </c>
      <c r="E94" s="85">
        <f>'BASE PRESUPUESTO'!H87</f>
        <v>1367388</v>
      </c>
      <c r="F94" s="86"/>
      <c r="G94" s="86"/>
      <c r="H94" s="86"/>
      <c r="I94" s="86"/>
      <c r="J94" s="86"/>
      <c r="K94" s="86"/>
      <c r="L94" s="86"/>
      <c r="M94" s="86">
        <v>1</v>
      </c>
      <c r="N94" s="86"/>
      <c r="O94" s="86"/>
      <c r="P94" s="86"/>
      <c r="Q94" s="86"/>
      <c r="R94" s="86"/>
      <c r="S94" s="87">
        <f t="shared" si="8"/>
        <v>1</v>
      </c>
      <c r="U94" s="86"/>
      <c r="V94" s="86"/>
      <c r="W94" s="86"/>
      <c r="X94" s="86"/>
      <c r="Y94" s="86"/>
      <c r="Z94" s="86"/>
      <c r="AA94" s="86">
        <v>1</v>
      </c>
      <c r="AB94" s="86"/>
      <c r="AC94" s="86"/>
      <c r="AD94" s="86"/>
      <c r="AE94" s="86"/>
      <c r="AF94" s="86"/>
      <c r="AG94" s="86"/>
      <c r="AH94" s="87">
        <f t="shared" si="9"/>
        <v>1</v>
      </c>
      <c r="AJ94" s="88">
        <f>'BASE PRESUPUESTO'!O87</f>
        <v>864669.63493454491</v>
      </c>
      <c r="AK94" s="88">
        <f>'BASE PRESUPUESTO'!P87</f>
        <v>466787.89047364634</v>
      </c>
      <c r="AL94" s="88">
        <f>'BASE PRESUPUESTO'!Q87</f>
        <v>35930.474591809019</v>
      </c>
      <c r="AM94" s="88">
        <f>'BASE PRESUPUESTO'!R87</f>
        <v>0</v>
      </c>
    </row>
    <row r="95" spans="1:39" x14ac:dyDescent="0.3">
      <c r="A95" s="82">
        <f>'BASE PRESUPUESTO'!A88</f>
        <v>84</v>
      </c>
      <c r="B95" s="98" t="s">
        <v>148</v>
      </c>
      <c r="C95" s="82" t="str">
        <f>'BASE PRESUPUESTO'!C88</f>
        <v>2.4</v>
      </c>
      <c r="D95" s="84" t="str">
        <f>'BASE PRESUPUESTO'!D88</f>
        <v>ACCESORIOS Y VALVULAS DE 2" PARA CONEXIÓN BOCATOMA - DESARENADOR</v>
      </c>
      <c r="E95" s="85">
        <f>'BASE PRESUPUESTO'!H88</f>
        <v>851487</v>
      </c>
      <c r="F95" s="86"/>
      <c r="G95" s="86"/>
      <c r="H95" s="86"/>
      <c r="I95" s="86"/>
      <c r="J95" s="86"/>
      <c r="K95" s="86"/>
      <c r="L95" s="86"/>
      <c r="M95" s="86">
        <v>1</v>
      </c>
      <c r="N95" s="86"/>
      <c r="O95" s="86"/>
      <c r="P95" s="86"/>
      <c r="Q95" s="86"/>
      <c r="R95" s="86"/>
      <c r="S95" s="87">
        <f t="shared" si="8"/>
        <v>1</v>
      </c>
      <c r="U95" s="86"/>
      <c r="V95" s="86"/>
      <c r="W95" s="86"/>
      <c r="X95" s="86"/>
      <c r="Y95" s="86"/>
      <c r="Z95" s="86"/>
      <c r="AA95" s="86">
        <v>1</v>
      </c>
      <c r="AB95" s="86"/>
      <c r="AC95" s="86"/>
      <c r="AD95" s="86"/>
      <c r="AE95" s="86"/>
      <c r="AF95" s="86"/>
      <c r="AG95" s="86"/>
      <c r="AH95" s="87">
        <f t="shared" si="9"/>
        <v>1</v>
      </c>
      <c r="AJ95" s="88">
        <f>'BASE PRESUPUESTO'!O88</f>
        <v>474261.90696596744</v>
      </c>
      <c r="AK95" s="88">
        <f>'BASE PRESUPUESTO'!P88</f>
        <v>376380.09282563307</v>
      </c>
      <c r="AL95" s="88">
        <f>'BASE PRESUPUESTO'!Q88</f>
        <v>845.00020840017976</v>
      </c>
      <c r="AM95" s="88">
        <f>'BASE PRESUPUESTO'!R88</f>
        <v>0</v>
      </c>
    </row>
    <row r="96" spans="1:39" x14ac:dyDescent="0.3">
      <c r="A96" s="82">
        <f>'BASE PRESUPUESTO'!A89</f>
        <v>85</v>
      </c>
      <c r="B96" s="98" t="s">
        <v>148</v>
      </c>
      <c r="C96" s="82" t="str">
        <f>'BASE PRESUPUESTO'!C89</f>
        <v>2.5</v>
      </c>
      <c r="D96" s="84" t="str">
        <f>'BASE PRESUPUESTO'!D89</f>
        <v>COLCHON ARENA GRUESA E=5-7CM</v>
      </c>
      <c r="E96" s="85">
        <f>'BASE PRESUPUESTO'!H89</f>
        <v>203734</v>
      </c>
      <c r="F96" s="86"/>
      <c r="G96" s="86"/>
      <c r="H96" s="86"/>
      <c r="I96" s="86"/>
      <c r="J96" s="86"/>
      <c r="K96" s="86"/>
      <c r="L96" s="86"/>
      <c r="M96" s="86"/>
      <c r="N96" s="86">
        <v>1</v>
      </c>
      <c r="O96" s="86"/>
      <c r="P96" s="86"/>
      <c r="Q96" s="86"/>
      <c r="R96" s="86"/>
      <c r="S96" s="87">
        <f t="shared" si="8"/>
        <v>1</v>
      </c>
      <c r="U96" s="86"/>
      <c r="V96" s="86"/>
      <c r="W96" s="86"/>
      <c r="X96" s="86"/>
      <c r="Y96" s="86"/>
      <c r="Z96" s="86"/>
      <c r="AA96" s="86"/>
      <c r="AB96" s="86">
        <v>1</v>
      </c>
      <c r="AC96" s="86"/>
      <c r="AD96" s="86"/>
      <c r="AE96" s="86"/>
      <c r="AF96" s="86"/>
      <c r="AG96" s="86"/>
      <c r="AH96" s="87">
        <f t="shared" si="9"/>
        <v>1</v>
      </c>
      <c r="AJ96" s="88">
        <f>'BASE PRESUPUESTO'!O89</f>
        <v>183545.91131473659</v>
      </c>
      <c r="AK96" s="88">
        <f>'BASE PRESUPUESTO'!P89</f>
        <v>19714.512211794896</v>
      </c>
      <c r="AL96" s="88">
        <f>'BASE PRESUPUESTO'!Q89</f>
        <v>473.57647346855669</v>
      </c>
      <c r="AM96" s="88">
        <f>'BASE PRESUPUESTO'!R89</f>
        <v>0</v>
      </c>
    </row>
    <row r="97" spans="1:39" x14ac:dyDescent="0.3">
      <c r="A97" s="82">
        <f>'BASE PRESUPUESTO'!A90</f>
        <v>86</v>
      </c>
      <c r="B97" s="98" t="s">
        <v>148</v>
      </c>
      <c r="C97" s="82" t="str">
        <f>'BASE PRESUPUESTO'!C90</f>
        <v>2.6</v>
      </c>
      <c r="D97" s="84" t="str">
        <f>'BASE PRESUPUESTO'!D90</f>
        <v>TUBERIA PVC RED 21 DIAMETRO 2"</v>
      </c>
      <c r="E97" s="85">
        <f>'BASE PRESUPUESTO'!H90</f>
        <v>6215400</v>
      </c>
      <c r="F97" s="86"/>
      <c r="G97" s="86"/>
      <c r="H97" s="86"/>
      <c r="I97" s="86"/>
      <c r="J97" s="86"/>
      <c r="K97" s="86"/>
      <c r="L97" s="86"/>
      <c r="M97" s="86"/>
      <c r="N97" s="86">
        <v>0.5</v>
      </c>
      <c r="O97" s="86">
        <v>0.5</v>
      </c>
      <c r="P97" s="86"/>
      <c r="Q97" s="86"/>
      <c r="R97" s="86"/>
      <c r="S97" s="87">
        <f t="shared" si="8"/>
        <v>1</v>
      </c>
      <c r="U97" s="86"/>
      <c r="V97" s="86"/>
      <c r="W97" s="86"/>
      <c r="X97" s="86"/>
      <c r="Y97" s="86"/>
      <c r="Z97" s="86"/>
      <c r="AA97" s="86"/>
      <c r="AB97" s="86">
        <v>1</v>
      </c>
      <c r="AC97" s="86"/>
      <c r="AD97" s="86"/>
      <c r="AE97" s="86"/>
      <c r="AF97" s="86"/>
      <c r="AG97" s="86"/>
      <c r="AH97" s="87">
        <f t="shared" si="9"/>
        <v>1</v>
      </c>
      <c r="AJ97" s="88">
        <f>'BASE PRESUPUESTO'!O90</f>
        <v>4069229.2213512184</v>
      </c>
      <c r="AK97" s="88">
        <f>'BASE PRESUPUESTO'!P90</f>
        <v>1977078.0624958957</v>
      </c>
      <c r="AL97" s="88">
        <f>'BASE PRESUPUESTO'!Q90</f>
        <v>169092.71615288642</v>
      </c>
      <c r="AM97" s="88">
        <f>'BASE PRESUPUESTO'!R90</f>
        <v>0</v>
      </c>
    </row>
    <row r="98" spans="1:39" x14ac:dyDescent="0.3">
      <c r="A98" s="82">
        <f>'BASE PRESUPUESTO'!A91</f>
        <v>87</v>
      </c>
      <c r="B98" s="98" t="s">
        <v>148</v>
      </c>
      <c r="C98" s="82" t="str">
        <f>'BASE PRESUPUESTO'!C91</f>
        <v>2.7</v>
      </c>
      <c r="D98" s="84" t="str">
        <f>'BASE PRESUPUESTO'!D91</f>
        <v>CAMBIO DE VALVULAS DE 2" SISTEMA CLORACION</v>
      </c>
      <c r="E98" s="85">
        <f>'BASE PRESUPUESTO'!H91</f>
        <v>536746</v>
      </c>
      <c r="F98" s="86"/>
      <c r="G98" s="86"/>
      <c r="H98" s="86"/>
      <c r="I98" s="86"/>
      <c r="J98" s="86"/>
      <c r="K98" s="86"/>
      <c r="L98" s="86"/>
      <c r="M98" s="86"/>
      <c r="N98" s="86"/>
      <c r="O98" s="86">
        <v>1</v>
      </c>
      <c r="P98" s="86"/>
      <c r="Q98" s="86"/>
      <c r="R98" s="86"/>
      <c r="S98" s="87">
        <f t="shared" si="8"/>
        <v>1</v>
      </c>
      <c r="U98" s="86"/>
      <c r="V98" s="86"/>
      <c r="W98" s="86"/>
      <c r="X98" s="86"/>
      <c r="Y98" s="86"/>
      <c r="Z98" s="86"/>
      <c r="AA98" s="86"/>
      <c r="AB98" s="86"/>
      <c r="AC98" s="86">
        <v>1</v>
      </c>
      <c r="AD98" s="86"/>
      <c r="AE98" s="86"/>
      <c r="AF98" s="86"/>
      <c r="AG98" s="86"/>
      <c r="AH98" s="87">
        <f t="shared" si="9"/>
        <v>1</v>
      </c>
      <c r="AJ98" s="88">
        <f>'BASE PRESUPUESTO'!O91</f>
        <v>484643.679908077</v>
      </c>
      <c r="AK98" s="88">
        <f>'BASE PRESUPUESTO'!P91</f>
        <v>47047.527172505128</v>
      </c>
      <c r="AL98" s="88">
        <f>'BASE PRESUPUESTO'!Q91</f>
        <v>5054.7929194177605</v>
      </c>
      <c r="AM98" s="88">
        <f>'BASE PRESUPUESTO'!R91</f>
        <v>0</v>
      </c>
    </row>
    <row r="99" spans="1:39" x14ac:dyDescent="0.3">
      <c r="A99" s="82">
        <f>'BASE PRESUPUESTO'!A92</f>
        <v>88</v>
      </c>
      <c r="B99" s="98" t="s">
        <v>148</v>
      </c>
      <c r="C99" s="82" t="str">
        <f>'BASE PRESUPUESTO'!C92</f>
        <v>2.8</v>
      </c>
      <c r="D99" s="84" t="str">
        <f>'BASE PRESUPUESTO'!D92</f>
        <v>ACCESORIOS A CAMBIAR EN PLANTA DE TRATAMIENTO, UNIONES, TEE, CODOS</v>
      </c>
      <c r="E99" s="85">
        <f>'BASE PRESUPUESTO'!H92</f>
        <v>851487</v>
      </c>
      <c r="F99" s="86"/>
      <c r="G99" s="86"/>
      <c r="H99" s="86"/>
      <c r="I99" s="86"/>
      <c r="J99" s="86"/>
      <c r="K99" s="86"/>
      <c r="L99" s="86"/>
      <c r="M99" s="86"/>
      <c r="N99" s="86"/>
      <c r="O99" s="86">
        <v>1</v>
      </c>
      <c r="P99" s="86"/>
      <c r="Q99" s="86"/>
      <c r="R99" s="86"/>
      <c r="S99" s="87">
        <f t="shared" si="8"/>
        <v>1</v>
      </c>
      <c r="U99" s="86"/>
      <c r="V99" s="86"/>
      <c r="W99" s="86"/>
      <c r="X99" s="86"/>
      <c r="Y99" s="86"/>
      <c r="Z99" s="86"/>
      <c r="AA99" s="86"/>
      <c r="AB99" s="86"/>
      <c r="AC99" s="86">
        <v>1</v>
      </c>
      <c r="AD99" s="86"/>
      <c r="AE99" s="86"/>
      <c r="AF99" s="86"/>
      <c r="AG99" s="86"/>
      <c r="AH99" s="87">
        <f t="shared" si="9"/>
        <v>1</v>
      </c>
      <c r="AJ99" s="88">
        <f>'BASE PRESUPUESTO'!O92</f>
        <v>474261.90696596744</v>
      </c>
      <c r="AK99" s="88">
        <f>'BASE PRESUPUESTO'!P92</f>
        <v>376380.09282563307</v>
      </c>
      <c r="AL99" s="88">
        <f>'BASE PRESUPUESTO'!Q92</f>
        <v>845.00020840017976</v>
      </c>
      <c r="AM99" s="88">
        <f>'BASE PRESUPUESTO'!R92</f>
        <v>0</v>
      </c>
    </row>
    <row r="100" spans="1:39" x14ac:dyDescent="0.3">
      <c r="A100" s="82">
        <f>'BASE PRESUPUESTO'!A93</f>
        <v>89</v>
      </c>
      <c r="B100" s="98" t="s">
        <v>148</v>
      </c>
      <c r="C100" s="82" t="str">
        <f>'BASE PRESUPUESTO'!C93</f>
        <v>2.9</v>
      </c>
      <c r="D100" s="84" t="str">
        <f>'BASE PRESUPUESTO'!D93</f>
        <v>REVISION FUNCIONAMIENTO Y ADECUACION PANTALLA DEFLECTORA Y CANAL REBOSE DE ENTREGA A LA RED</v>
      </c>
      <c r="E100" s="85">
        <f>'BASE PRESUPUESTO'!H93</f>
        <v>678712</v>
      </c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>
        <v>1</v>
      </c>
      <c r="Q100" s="86"/>
      <c r="R100" s="86"/>
      <c r="S100" s="87">
        <f t="shared" si="8"/>
        <v>1</v>
      </c>
      <c r="U100" s="86"/>
      <c r="V100" s="86"/>
      <c r="W100" s="86"/>
      <c r="X100" s="86"/>
      <c r="Y100" s="86"/>
      <c r="Z100" s="86"/>
      <c r="AA100" s="86"/>
      <c r="AB100" s="86"/>
      <c r="AC100" s="86"/>
      <c r="AD100" s="86">
        <v>1</v>
      </c>
      <c r="AE100" s="86"/>
      <c r="AF100" s="86"/>
      <c r="AG100" s="86"/>
      <c r="AH100" s="87">
        <f t="shared" si="9"/>
        <v>1</v>
      </c>
      <c r="AJ100" s="88">
        <f>'BASE PRESUPUESTO'!O93</f>
        <v>301487.07225338666</v>
      </c>
      <c r="AK100" s="88">
        <f>'BASE PRESUPUESTO'!P93</f>
        <v>376379.92790846381</v>
      </c>
      <c r="AL100" s="88">
        <f>'BASE PRESUPUESTO'!Q93</f>
        <v>844.99983814934876</v>
      </c>
      <c r="AM100" s="88">
        <f>'BASE PRESUPUESTO'!R93</f>
        <v>0</v>
      </c>
    </row>
    <row r="101" spans="1:39" x14ac:dyDescent="0.3">
      <c r="A101" s="82">
        <f>'BASE PRESUPUESTO'!A94</f>
        <v>90</v>
      </c>
      <c r="B101" s="98" t="s">
        <v>148</v>
      </c>
      <c r="C101" s="82" t="str">
        <f>'BASE PRESUPUESTO'!C94</f>
        <v>2.10</v>
      </c>
      <c r="D101" s="84" t="str">
        <f>'BASE PRESUPUESTO'!D94</f>
        <v>ACARREO MATERIALES TRACCION ANIMAL</v>
      </c>
      <c r="E101" s="85">
        <f>'BASE PRESUPUESTO'!H94</f>
        <v>2124320</v>
      </c>
      <c r="F101" s="86"/>
      <c r="G101" s="86"/>
      <c r="H101" s="86"/>
      <c r="I101" s="86"/>
      <c r="J101" s="86">
        <v>0.16666666666666699</v>
      </c>
      <c r="K101" s="86">
        <v>0.16666666666666699</v>
      </c>
      <c r="L101" s="86">
        <v>0.16666666666666699</v>
      </c>
      <c r="M101" s="86">
        <v>0.16666666666666699</v>
      </c>
      <c r="N101" s="86">
        <v>0.16666666666666699</v>
      </c>
      <c r="O101" s="86">
        <v>0.16666666666666699</v>
      </c>
      <c r="P101" s="86"/>
      <c r="Q101" s="86"/>
      <c r="R101" s="86"/>
      <c r="S101" s="87">
        <f t="shared" si="8"/>
        <v>1.000000000000002</v>
      </c>
      <c r="U101" s="86"/>
      <c r="V101" s="86"/>
      <c r="W101" s="86"/>
      <c r="X101" s="86">
        <v>1</v>
      </c>
      <c r="Y101" s="86"/>
      <c r="Z101" s="86"/>
      <c r="AA101" s="86"/>
      <c r="AB101" s="86"/>
      <c r="AC101" s="86"/>
      <c r="AD101" s="86"/>
      <c r="AE101" s="86"/>
      <c r="AF101" s="86"/>
      <c r="AG101" s="86"/>
      <c r="AH101" s="87">
        <f t="shared" si="9"/>
        <v>1</v>
      </c>
      <c r="AJ101" s="88">
        <f>'BASE PRESUPUESTO'!O94</f>
        <v>0</v>
      </c>
      <c r="AK101" s="88">
        <f>'BASE PRESUPUESTO'!P94</f>
        <v>0</v>
      </c>
      <c r="AL101" s="88">
        <f>'BASE PRESUPUESTO'!Q94</f>
        <v>0</v>
      </c>
      <c r="AM101" s="88">
        <f>'BASE PRESUPUESTO'!R94</f>
        <v>2124320</v>
      </c>
    </row>
    <row r="102" spans="1:39" x14ac:dyDescent="0.3">
      <c r="A102" s="82">
        <f>'BASE PRESUPUESTO'!A95</f>
        <v>91</v>
      </c>
      <c r="B102" s="98" t="s">
        <v>148</v>
      </c>
      <c r="C102" s="82" t="str">
        <f>'BASE PRESUPUESTO'!C95</f>
        <v>2.11</v>
      </c>
      <c r="D102" s="84" t="str">
        <f>'BASE PRESUPUESTO'!D95</f>
        <v>ACARREO MATERIALES-ESCOMBROS 10 PERS</v>
      </c>
      <c r="E102" s="85">
        <f>'BASE PRESUPUESTO'!H95</f>
        <v>707566</v>
      </c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>
        <v>1</v>
      </c>
      <c r="Q102" s="86"/>
      <c r="R102" s="86"/>
      <c r="S102" s="87">
        <f t="shared" si="8"/>
        <v>1</v>
      </c>
      <c r="U102" s="86"/>
      <c r="V102" s="86"/>
      <c r="W102" s="86"/>
      <c r="X102" s="86"/>
      <c r="Y102" s="86"/>
      <c r="Z102" s="86"/>
      <c r="AA102" s="86"/>
      <c r="AB102" s="86"/>
      <c r="AC102" s="86"/>
      <c r="AD102" s="86">
        <v>1</v>
      </c>
      <c r="AE102" s="86"/>
      <c r="AF102" s="86"/>
      <c r="AG102" s="86"/>
      <c r="AH102" s="87">
        <f t="shared" si="9"/>
        <v>1</v>
      </c>
      <c r="AJ102" s="88">
        <f>'BASE PRESUPUESTO'!O95</f>
        <v>0</v>
      </c>
      <c r="AK102" s="88">
        <f>'BASE PRESUPUESTO'!P95</f>
        <v>0</v>
      </c>
      <c r="AL102" s="88">
        <f>'BASE PRESUPUESTO'!Q95</f>
        <v>0</v>
      </c>
      <c r="AM102" s="88">
        <f>'BASE PRESUPUESTO'!R95</f>
        <v>707566</v>
      </c>
    </row>
    <row r="103" spans="1:39" x14ac:dyDescent="0.3">
      <c r="A103" s="82">
        <f>'BASE PRESUPUESTO'!A96</f>
        <v>92</v>
      </c>
      <c r="B103" s="98" t="s">
        <v>148</v>
      </c>
      <c r="C103" s="82" t="str">
        <f>'BASE PRESUPUESTO'!C96</f>
        <v>2.12</v>
      </c>
      <c r="D103" s="84" t="str">
        <f>'BASE PRESUPUESTO'!D96</f>
        <v>ACARREO MATERIALES CAMPERO-CAMIONETA</v>
      </c>
      <c r="E103" s="85">
        <f>'BASE PRESUPUESTO'!H96</f>
        <v>343122</v>
      </c>
      <c r="F103" s="86"/>
      <c r="G103" s="86"/>
      <c r="H103" s="86"/>
      <c r="I103" s="86">
        <v>0.16666666666666699</v>
      </c>
      <c r="J103" s="86">
        <v>0.16666666666666699</v>
      </c>
      <c r="K103" s="86">
        <v>0.16666666666666699</v>
      </c>
      <c r="L103" s="86">
        <v>0.16666666666666699</v>
      </c>
      <c r="M103" s="86">
        <v>0.16666666666666699</v>
      </c>
      <c r="N103" s="86">
        <v>0.16666666666666699</v>
      </c>
      <c r="O103" s="86"/>
      <c r="P103" s="86"/>
      <c r="Q103" s="86"/>
      <c r="R103" s="86"/>
      <c r="S103" s="87">
        <f t="shared" si="8"/>
        <v>1.000000000000002</v>
      </c>
      <c r="U103" s="86"/>
      <c r="V103" s="86"/>
      <c r="W103" s="86">
        <v>1</v>
      </c>
      <c r="X103" s="86"/>
      <c r="Y103" s="86"/>
      <c r="Z103" s="86"/>
      <c r="AA103" s="86"/>
      <c r="AB103" s="86"/>
      <c r="AC103" s="86"/>
      <c r="AD103" s="86"/>
      <c r="AE103" s="86"/>
      <c r="AF103" s="86"/>
      <c r="AG103" s="86"/>
      <c r="AH103" s="87">
        <f t="shared" si="9"/>
        <v>1</v>
      </c>
      <c r="AJ103" s="88">
        <f>'BASE PRESUPUESTO'!O96</f>
        <v>0</v>
      </c>
      <c r="AK103" s="88">
        <f>'BASE PRESUPUESTO'!P96</f>
        <v>0</v>
      </c>
      <c r="AL103" s="88">
        <f>'BASE PRESUPUESTO'!Q96</f>
        <v>0</v>
      </c>
      <c r="AM103" s="88">
        <f>'BASE PRESUPUESTO'!R96</f>
        <v>343122</v>
      </c>
    </row>
    <row r="104" spans="1:39" ht="15" x14ac:dyDescent="0.3">
      <c r="A104" s="191" t="s">
        <v>28</v>
      </c>
      <c r="B104" s="191"/>
      <c r="C104" s="191"/>
      <c r="D104" s="191"/>
      <c r="E104" s="191"/>
      <c r="F104" s="99"/>
      <c r="G104" s="99"/>
      <c r="H104" s="99"/>
      <c r="I104" s="99"/>
      <c r="J104" s="99"/>
      <c r="K104" s="99"/>
      <c r="L104" s="99"/>
      <c r="M104" s="99"/>
      <c r="N104" s="99"/>
      <c r="O104" s="99"/>
      <c r="P104" s="99"/>
      <c r="Q104" s="99"/>
      <c r="R104" s="99"/>
      <c r="S104" s="99"/>
      <c r="T104" s="99"/>
      <c r="U104" s="99"/>
      <c r="V104" s="99"/>
      <c r="W104" s="99"/>
      <c r="X104" s="99"/>
      <c r="Y104" s="99"/>
      <c r="Z104" s="99"/>
      <c r="AA104" s="99"/>
      <c r="AB104" s="99"/>
      <c r="AC104" s="99"/>
      <c r="AD104" s="99"/>
      <c r="AE104" s="99"/>
      <c r="AF104" s="99"/>
      <c r="AG104" s="99"/>
      <c r="AH104" s="99"/>
    </row>
    <row r="105" spans="1:39" x14ac:dyDescent="0.3">
      <c r="A105" s="82">
        <f>'BASE PRESUPUESTO'!A97</f>
        <v>93</v>
      </c>
      <c r="B105" s="100" t="s">
        <v>149</v>
      </c>
      <c r="C105" s="82" t="str">
        <f>'BASE PRESUPUESTO'!C97</f>
        <v>1.1</v>
      </c>
      <c r="D105" s="84" t="str">
        <f>'BASE PRESUPUESTO'!D97</f>
        <v>SISTEMA DE TRATAMIENTO DE AGUA POTABLE CON FLOCULACION, SEDIMENTACION, FILTROS, BOMBA CENTRIFUGA, TANQUE TRANSFERENCIA Y BOMBA SUMERGIBLE 4HP - 110</v>
      </c>
      <c r="E105" s="85">
        <f>'BASE PRESUPUESTO'!H97</f>
        <v>23293674</v>
      </c>
      <c r="F105" s="86"/>
      <c r="G105" s="86"/>
      <c r="H105" s="86"/>
      <c r="I105" s="86"/>
      <c r="J105" s="86"/>
      <c r="K105" s="86"/>
      <c r="L105" s="86"/>
      <c r="M105" s="86">
        <v>0.5</v>
      </c>
      <c r="N105" s="86">
        <v>0.5</v>
      </c>
      <c r="O105" s="86"/>
      <c r="P105" s="86"/>
      <c r="Q105" s="86"/>
      <c r="R105" s="86"/>
      <c r="S105" s="87">
        <f>SUM(F105:R105)</f>
        <v>1</v>
      </c>
      <c r="U105" s="86"/>
      <c r="V105" s="86">
        <v>0.5</v>
      </c>
      <c r="W105" s="86"/>
      <c r="X105" s="86"/>
      <c r="Y105" s="86"/>
      <c r="Z105" s="101">
        <f>IF('BASE PRESUPUESTO'!O97=0,0,'DETALLE POR ÍTEM'!K117/'BASE PRESUPUESTO'!O97)</f>
        <v>0.4477436040484794</v>
      </c>
      <c r="AA105" s="86"/>
      <c r="AB105" s="86"/>
      <c r="AC105" s="101">
        <f>1-U105-V105-W105-X105-Y105-Z105-AA105-AB105-AD105-AE105-AF105-AG105</f>
        <v>5.2256395951520596E-2</v>
      </c>
      <c r="AD105" s="86"/>
      <c r="AE105" s="86"/>
      <c r="AF105" s="86"/>
      <c r="AG105" s="86"/>
      <c r="AH105" s="87">
        <f>SUM(U105:AG105)</f>
        <v>1</v>
      </c>
      <c r="AJ105" s="88">
        <f>'BASE PRESUPUESTO'!O97</f>
        <v>17003774.000000007</v>
      </c>
      <c r="AK105" s="88">
        <f>'BASE PRESUPUESTO'!P97</f>
        <v>6273000.0000000084</v>
      </c>
      <c r="AL105" s="88">
        <f>'BASE PRESUPUESTO'!Q97</f>
        <v>16899.999999999993</v>
      </c>
      <c r="AM105" s="88">
        <f>'BASE PRESUPUESTO'!R97</f>
        <v>0</v>
      </c>
    </row>
    <row r="107" spans="1:39" ht="19.5" customHeight="1" x14ac:dyDescent="0.3">
      <c r="A107" s="157" t="s">
        <v>150</v>
      </c>
      <c r="B107" s="157"/>
      <c r="C107" s="157"/>
      <c r="D107" s="157"/>
      <c r="E107" s="157"/>
      <c r="F107" s="102">
        <f t="shared" ref="F107:R107" si="10">SUMPRODUCT($AJ$6:$AJ$105,U$6:U$105)</f>
        <v>5663478.2687556297</v>
      </c>
      <c r="G107" s="102">
        <f t="shared" si="10"/>
        <v>14950094.495790763</v>
      </c>
      <c r="H107" s="102">
        <f t="shared" si="10"/>
        <v>8357914.9038637243</v>
      </c>
      <c r="I107" s="102">
        <f t="shared" si="10"/>
        <v>3199290.2541893111</v>
      </c>
      <c r="J107" s="102">
        <f t="shared" si="10"/>
        <v>19760764.783003449</v>
      </c>
      <c r="K107" s="102">
        <f t="shared" si="10"/>
        <v>18076562.824900448</v>
      </c>
      <c r="L107" s="103">
        <f t="shared" si="10"/>
        <v>4313251.7530035358</v>
      </c>
      <c r="M107" s="103">
        <f t="shared" si="10"/>
        <v>4910371.6936253067</v>
      </c>
      <c r="N107" s="103">
        <f t="shared" si="10"/>
        <v>11420961.381849524</v>
      </c>
      <c r="O107" s="103">
        <f t="shared" si="10"/>
        <v>1024183.065895905</v>
      </c>
      <c r="P107" s="103">
        <f t="shared" si="10"/>
        <v>0</v>
      </c>
      <c r="Q107" s="103">
        <f t="shared" si="10"/>
        <v>0</v>
      </c>
      <c r="R107" s="103">
        <f t="shared" si="10"/>
        <v>0</v>
      </c>
      <c r="S107" s="104">
        <f>SUM(F107:R107)</f>
        <v>91676873.424877599</v>
      </c>
    </row>
    <row r="108" spans="1:39" ht="19.5" customHeight="1" x14ac:dyDescent="0.3">
      <c r="A108" s="157" t="s">
        <v>95</v>
      </c>
      <c r="B108" s="157"/>
      <c r="C108" s="157"/>
      <c r="D108" s="157"/>
      <c r="E108" s="157"/>
      <c r="F108" s="102">
        <f t="shared" ref="F108:R108" si="11">SUMPRODUCT($AK$6:$AK$105,F$6:F$105)</f>
        <v>3176980.3021512572</v>
      </c>
      <c r="G108" s="102">
        <f t="shared" si="11"/>
        <v>4943695.0322001921</v>
      </c>
      <c r="H108" s="102">
        <f t="shared" si="11"/>
        <v>7362854.6749952249</v>
      </c>
      <c r="I108" s="102">
        <f t="shared" si="11"/>
        <v>6302157.213760064</v>
      </c>
      <c r="J108" s="102">
        <f t="shared" si="11"/>
        <v>5820148.1185286157</v>
      </c>
      <c r="K108" s="102">
        <f t="shared" si="11"/>
        <v>8387599.9219398219</v>
      </c>
      <c r="L108" s="103">
        <f t="shared" si="11"/>
        <v>7200876.6113785133</v>
      </c>
      <c r="M108" s="103">
        <f t="shared" si="11"/>
        <v>8676259.447356306</v>
      </c>
      <c r="N108" s="103">
        <f t="shared" si="11"/>
        <v>6049484.2018462345</v>
      </c>
      <c r="O108" s="103">
        <f t="shared" si="11"/>
        <v>2912982.9029815071</v>
      </c>
      <c r="P108" s="103">
        <f t="shared" si="11"/>
        <v>1630979.9342318731</v>
      </c>
      <c r="Q108" s="103">
        <f t="shared" si="11"/>
        <v>0</v>
      </c>
      <c r="R108" s="103">
        <f t="shared" si="11"/>
        <v>0</v>
      </c>
      <c r="S108" s="104">
        <f>SUM(F108:R108)</f>
        <v>62464018.361369602</v>
      </c>
    </row>
    <row r="109" spans="1:39" ht="19.5" customHeight="1" x14ac:dyDescent="0.3">
      <c r="A109" s="157" t="s">
        <v>151</v>
      </c>
      <c r="B109" s="157"/>
      <c r="C109" s="157"/>
      <c r="D109" s="157"/>
      <c r="E109" s="157"/>
      <c r="F109" s="102">
        <f t="shared" ref="F109:R109" si="12">SUMPRODUCT($AL$6:$AL$105,F$6:F$105)</f>
        <v>331281.42571592203</v>
      </c>
      <c r="G109" s="102">
        <f t="shared" si="12"/>
        <v>238738.73452150845</v>
      </c>
      <c r="H109" s="102">
        <f t="shared" si="12"/>
        <v>250509.17669857509</v>
      </c>
      <c r="I109" s="102">
        <f t="shared" si="12"/>
        <v>168332.72523405481</v>
      </c>
      <c r="J109" s="102">
        <f t="shared" si="12"/>
        <v>541136.67359515489</v>
      </c>
      <c r="K109" s="102">
        <f t="shared" si="12"/>
        <v>627359.59237849747</v>
      </c>
      <c r="L109" s="103">
        <f t="shared" si="12"/>
        <v>972941.03032378003</v>
      </c>
      <c r="M109" s="103">
        <f t="shared" si="12"/>
        <v>397671.63527431007</v>
      </c>
      <c r="N109" s="103">
        <f t="shared" si="12"/>
        <v>259335.16883124871</v>
      </c>
      <c r="O109" s="103">
        <f t="shared" si="12"/>
        <v>98406.051307530957</v>
      </c>
      <c r="P109" s="103">
        <f t="shared" si="12"/>
        <v>7604.999872220963</v>
      </c>
      <c r="Q109" s="103">
        <f t="shared" si="12"/>
        <v>0</v>
      </c>
      <c r="R109" s="103">
        <f t="shared" si="12"/>
        <v>0</v>
      </c>
      <c r="S109" s="104">
        <f>SUM(F109:R109)</f>
        <v>3893317.2137528043</v>
      </c>
    </row>
    <row r="110" spans="1:39" ht="19.5" customHeight="1" x14ac:dyDescent="0.3">
      <c r="A110" s="157" t="s">
        <v>152</v>
      </c>
      <c r="B110" s="157"/>
      <c r="C110" s="157"/>
      <c r="D110" s="157"/>
      <c r="E110" s="157"/>
      <c r="F110" s="102">
        <f t="shared" ref="F110:R110" si="13">SUMPRODUCT($AM$6:$AM$105,F$6:F$105)</f>
        <v>620411.79999999981</v>
      </c>
      <c r="G110" s="102">
        <f t="shared" si="13"/>
        <v>1388176.0222222228</v>
      </c>
      <c r="H110" s="102">
        <f t="shared" si="13"/>
        <v>2107683.0222222242</v>
      </c>
      <c r="I110" s="102">
        <f t="shared" si="13"/>
        <v>2606041.1222222243</v>
      </c>
      <c r="J110" s="102">
        <f t="shared" si="13"/>
        <v>2913177.4555555582</v>
      </c>
      <c r="K110" s="102">
        <f t="shared" si="13"/>
        <v>2205611.4555555587</v>
      </c>
      <c r="L110" s="103">
        <f t="shared" si="13"/>
        <v>2205611.4555555587</v>
      </c>
      <c r="M110" s="103">
        <f t="shared" si="13"/>
        <v>2424886.9555555577</v>
      </c>
      <c r="N110" s="103">
        <f t="shared" si="13"/>
        <v>1286422.355555556</v>
      </c>
      <c r="O110" s="103">
        <f t="shared" si="13"/>
        <v>828535.35555555602</v>
      </c>
      <c r="P110" s="103">
        <f t="shared" si="13"/>
        <v>1108266</v>
      </c>
      <c r="Q110" s="103">
        <f t="shared" si="13"/>
        <v>46916.999999999978</v>
      </c>
      <c r="R110" s="103">
        <f t="shared" si="13"/>
        <v>0</v>
      </c>
      <c r="S110" s="104">
        <f>SUM(F110:R110)</f>
        <v>19741740.000000015</v>
      </c>
    </row>
    <row r="111" spans="1:39" ht="19.5" customHeight="1" x14ac:dyDescent="0.3">
      <c r="A111" s="192" t="s">
        <v>153</v>
      </c>
      <c r="B111" s="192"/>
      <c r="C111" s="192"/>
      <c r="D111" s="192"/>
      <c r="E111" s="192"/>
      <c r="F111" s="105">
        <f t="shared" ref="F111:R111" si="14">SUM(F107:F110)</f>
        <v>9792151.796622809</v>
      </c>
      <c r="G111" s="105">
        <f t="shared" si="14"/>
        <v>21520704.284734689</v>
      </c>
      <c r="H111" s="105">
        <f t="shared" si="14"/>
        <v>18078961.777779747</v>
      </c>
      <c r="I111" s="105">
        <f t="shared" si="14"/>
        <v>12275821.315405654</v>
      </c>
      <c r="J111" s="105">
        <f t="shared" si="14"/>
        <v>29035227.03068278</v>
      </c>
      <c r="K111" s="105">
        <f t="shared" si="14"/>
        <v>29297133.794774324</v>
      </c>
      <c r="L111" s="105">
        <f t="shared" si="14"/>
        <v>14692680.850261386</v>
      </c>
      <c r="M111" s="105">
        <f t="shared" si="14"/>
        <v>16409189.731811481</v>
      </c>
      <c r="N111" s="105">
        <f t="shared" si="14"/>
        <v>19016203.108082563</v>
      </c>
      <c r="O111" s="105">
        <f t="shared" si="14"/>
        <v>4864107.3757404992</v>
      </c>
      <c r="P111" s="105">
        <f t="shared" si="14"/>
        <v>2746850.9341040943</v>
      </c>
      <c r="Q111" s="105">
        <f t="shared" si="14"/>
        <v>46916.999999999978</v>
      </c>
      <c r="R111" s="105">
        <f t="shared" si="14"/>
        <v>0</v>
      </c>
      <c r="S111" s="105">
        <f>SUM(F111:R111)</f>
        <v>177775949.00000003</v>
      </c>
    </row>
    <row r="112" spans="1:39" ht="19.5" customHeight="1" x14ac:dyDescent="0.3">
      <c r="A112" s="157" t="s">
        <v>154</v>
      </c>
      <c r="B112" s="157"/>
      <c r="C112" s="157"/>
      <c r="D112" s="157"/>
      <c r="E112" s="157"/>
      <c r="F112" s="102">
        <f>F111</f>
        <v>9792151.796622809</v>
      </c>
      <c r="G112" s="102">
        <f t="shared" ref="G112:R112" si="15">F112+G111</f>
        <v>31312856.081357498</v>
      </c>
      <c r="H112" s="102">
        <f t="shared" si="15"/>
        <v>49391817.859137245</v>
      </c>
      <c r="I112" s="102">
        <f t="shared" si="15"/>
        <v>61667639.174542896</v>
      </c>
      <c r="J112" s="102">
        <f t="shared" si="15"/>
        <v>90702866.205225676</v>
      </c>
      <c r="K112" s="102">
        <f t="shared" si="15"/>
        <v>120000000</v>
      </c>
      <c r="L112" s="103">
        <f t="shared" si="15"/>
        <v>134692680.85026139</v>
      </c>
      <c r="M112" s="103">
        <f t="shared" si="15"/>
        <v>151101870.58207288</v>
      </c>
      <c r="N112" s="103">
        <f t="shared" si="15"/>
        <v>170118073.69015545</v>
      </c>
      <c r="O112" s="103">
        <f t="shared" si="15"/>
        <v>174982181.06589594</v>
      </c>
      <c r="P112" s="103">
        <f t="shared" si="15"/>
        <v>177729032.00000003</v>
      </c>
      <c r="Q112" s="103">
        <f t="shared" si="15"/>
        <v>177775949.00000003</v>
      </c>
      <c r="R112" s="103">
        <f t="shared" si="15"/>
        <v>177775949.00000003</v>
      </c>
      <c r="S112" s="106"/>
    </row>
    <row r="113" spans="1:34" ht="19.5" customHeight="1" x14ac:dyDescent="0.3">
      <c r="A113" s="157" t="s">
        <v>155</v>
      </c>
      <c r="B113" s="157"/>
      <c r="C113" s="157"/>
      <c r="D113" s="157"/>
      <c r="E113" s="157"/>
      <c r="F113" s="107">
        <f t="shared" ref="F113:R113" si="16">F112/CD_TOTAL</f>
        <v>5.5081420471690512E-2</v>
      </c>
      <c r="G113" s="107">
        <f t="shared" si="16"/>
        <v>0.17613662735310442</v>
      </c>
      <c r="H113" s="107">
        <f t="shared" si="16"/>
        <v>0.27783183347898904</v>
      </c>
      <c r="I113" s="107">
        <f t="shared" si="16"/>
        <v>0.34688403870954948</v>
      </c>
      <c r="J113" s="107">
        <f t="shared" si="16"/>
        <v>0.5102088708592728</v>
      </c>
      <c r="K113" s="107">
        <f t="shared" si="16"/>
        <v>0.67500694371205405</v>
      </c>
      <c r="L113" s="108">
        <f t="shared" si="16"/>
        <v>0.75765412367598384</v>
      </c>
      <c r="M113" s="108">
        <f t="shared" si="16"/>
        <v>0.84995676542316123</v>
      </c>
      <c r="N113" s="108">
        <f t="shared" si="16"/>
        <v>0.95692400826478186</v>
      </c>
      <c r="O113" s="108">
        <f t="shared" si="16"/>
        <v>0.98428489371133066</v>
      </c>
      <c r="P113" s="108">
        <f t="shared" si="16"/>
        <v>0.99973608916018231</v>
      </c>
      <c r="Q113" s="108">
        <f t="shared" si="16"/>
        <v>1.0000000000000002</v>
      </c>
      <c r="R113" s="108">
        <f t="shared" si="16"/>
        <v>1.0000000000000002</v>
      </c>
      <c r="S113" s="106"/>
    </row>
    <row r="115" spans="1:34" ht="21.6" customHeight="1" x14ac:dyDescent="0.3">
      <c r="A115" s="193"/>
      <c r="B115" s="193"/>
      <c r="C115" s="193"/>
      <c r="D115" s="193"/>
      <c r="E115" s="193"/>
      <c r="F115" s="193"/>
      <c r="G115" s="193"/>
      <c r="H115" s="193"/>
      <c r="I115" s="193"/>
      <c r="J115" s="193"/>
      <c r="K115" s="193"/>
      <c r="L115" s="193"/>
      <c r="M115" s="193"/>
      <c r="N115" s="193"/>
      <c r="O115" s="193"/>
      <c r="P115" s="193"/>
      <c r="Q115" s="193"/>
      <c r="R115" s="193"/>
      <c r="S115" s="193"/>
      <c r="T115" s="193"/>
      <c r="U115" s="193"/>
      <c r="V115" s="193"/>
      <c r="W115" s="193"/>
      <c r="X115" s="193"/>
      <c r="Y115" s="193"/>
      <c r="Z115" s="193"/>
      <c r="AA115" s="193"/>
      <c r="AB115" s="193"/>
      <c r="AC115" s="193"/>
      <c r="AD115" s="193"/>
      <c r="AE115" s="193"/>
      <c r="AF115" s="193"/>
      <c r="AG115" s="193"/>
      <c r="AH115" s="193"/>
    </row>
    <row r="116" spans="1:34" x14ac:dyDescent="0.3">
      <c r="A116" s="193"/>
      <c r="B116" s="193"/>
      <c r="C116" s="193"/>
      <c r="D116" s="193"/>
      <c r="E116" s="193"/>
      <c r="F116" s="193"/>
      <c r="G116" s="193"/>
      <c r="H116" s="193"/>
      <c r="I116" s="193"/>
      <c r="J116" s="193"/>
      <c r="K116" s="193"/>
      <c r="L116" s="193"/>
      <c r="M116" s="193"/>
      <c r="N116" s="193"/>
      <c r="O116" s="193"/>
      <c r="P116" s="193"/>
      <c r="Q116" s="193"/>
      <c r="R116" s="193"/>
      <c r="S116" s="193"/>
      <c r="T116" s="193"/>
      <c r="U116" s="193"/>
      <c r="V116" s="193"/>
      <c r="W116" s="193"/>
      <c r="X116" s="193"/>
      <c r="Y116" s="193"/>
      <c r="Z116" s="193"/>
      <c r="AA116" s="193"/>
      <c r="AB116" s="193"/>
      <c r="AC116" s="193"/>
      <c r="AD116" s="193"/>
      <c r="AE116" s="193"/>
      <c r="AF116" s="193"/>
      <c r="AG116" s="193"/>
      <c r="AH116" s="193"/>
    </row>
  </sheetData>
  <mergeCells count="26">
    <mergeCell ref="A110:E110"/>
    <mergeCell ref="A111:E111"/>
    <mergeCell ref="A112:E112"/>
    <mergeCell ref="A113:E113"/>
    <mergeCell ref="A115:AH116"/>
    <mergeCell ref="A88:E88"/>
    <mergeCell ref="A104:E104"/>
    <mergeCell ref="A107:E107"/>
    <mergeCell ref="A108:E108"/>
    <mergeCell ref="A109:E109"/>
    <mergeCell ref="A6:E6"/>
    <mergeCell ref="A18:E18"/>
    <mergeCell ref="A41:E41"/>
    <mergeCell ref="A65:E65"/>
    <mergeCell ref="A86:E86"/>
    <mergeCell ref="A1:AH1"/>
    <mergeCell ref="A2:AH2"/>
    <mergeCell ref="F3:S3"/>
    <mergeCell ref="U3:AH3"/>
    <mergeCell ref="A4:A5"/>
    <mergeCell ref="B4:B5"/>
    <mergeCell ref="C4:C5"/>
    <mergeCell ref="D4:D5"/>
    <mergeCell ref="E4:E5"/>
    <mergeCell ref="S4:S5"/>
    <mergeCell ref="AH4:AH5"/>
  </mergeCells>
  <conditionalFormatting sqref="F7:R17">
    <cfRule type="cellIs" dxfId="10" priority="2" operator="greaterThan">
      <formula>0</formula>
    </cfRule>
  </conditionalFormatting>
  <conditionalFormatting sqref="F19:R40">
    <cfRule type="cellIs" dxfId="9" priority="3" operator="greaterThan">
      <formula>0</formula>
    </cfRule>
  </conditionalFormatting>
  <conditionalFormatting sqref="F42:R64">
    <cfRule type="cellIs" dxfId="8" priority="4" operator="greaterThan">
      <formula>0</formula>
    </cfRule>
  </conditionalFormatting>
  <conditionalFormatting sqref="F66:R85">
    <cfRule type="cellIs" dxfId="7" priority="5" operator="greaterThan">
      <formula>0</formula>
    </cfRule>
  </conditionalFormatting>
  <conditionalFormatting sqref="F87:R87">
    <cfRule type="cellIs" dxfId="6" priority="6" operator="greaterThan">
      <formula>0</formula>
    </cfRule>
  </conditionalFormatting>
  <conditionalFormatting sqref="F89:R103">
    <cfRule type="cellIs" dxfId="5" priority="7" operator="greaterThan">
      <formula>0</formula>
    </cfRule>
  </conditionalFormatting>
  <conditionalFormatting sqref="F105:R105">
    <cfRule type="cellIs" dxfId="4" priority="8" operator="greaterThan">
      <formula>0</formula>
    </cfRule>
  </conditionalFormatting>
  <conditionalFormatting sqref="S6:S105">
    <cfRule type="expression" dxfId="3" priority="10">
      <formula>AND(ISNUMBER(S6),ROUND(S6,4)&lt;&gt;1)</formula>
    </cfRule>
  </conditionalFormatting>
  <conditionalFormatting sqref="U6:AG105">
    <cfRule type="cellIs" dxfId="2" priority="9" operator="greaterThan">
      <formula>0</formula>
    </cfRule>
  </conditionalFormatting>
  <conditionalFormatting sqref="AH6:AH105">
    <cfRule type="expression" dxfId="1" priority="11">
      <formula>AND(ISNUMBER(AH6),ROUND(AH6,4)&lt;&gt;1)</formula>
    </cfRule>
  </conditionalFormatting>
  <printOptions horizontalCentered="1"/>
  <pageMargins left="0.4" right="0.4" top="0.5" bottom="0.5" header="0.511811023622047" footer="0.5"/>
  <pageSetup scale="46" fitToHeight="0" orientation="landscape" horizontalDpi="300" verticalDpi="300" r:id="rId1"/>
  <headerFooter>
    <oddFooter>&amp;C&amp;8 Plan de Inversión del Anticipo – Contrato de Obra No. 233 de 2026 – Página &amp;P de &amp;N</oddFooter>
  </headerFooter>
  <rowBreaks count="1" manualBreakCount="1">
    <brk id="64" max="16383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4FB0C6"/>
    <pageSetUpPr fitToPage="1"/>
  </sheetPr>
  <dimension ref="A1:I91"/>
  <sheetViews>
    <sheetView showGridLines="0" view="pageBreakPreview" zoomScale="60" zoomScaleNormal="90" workbookViewId="0">
      <pane ySplit="4" topLeftCell="A56" activePane="bottomLeft" state="frozen"/>
      <selection pane="bottomLeft" sqref="A1:I1"/>
    </sheetView>
  </sheetViews>
  <sheetFormatPr baseColWidth="10" defaultColWidth="8.6640625" defaultRowHeight="14.4" x14ac:dyDescent="0.3"/>
  <cols>
    <col min="1" max="1" width="10" customWidth="1"/>
    <col min="2" max="2" width="9" customWidth="1"/>
    <col min="3" max="3" width="40" customWidth="1"/>
    <col min="4" max="4" width="7" customWidth="1"/>
    <col min="5" max="5" width="12" customWidth="1"/>
    <col min="6" max="6" width="13" customWidth="1"/>
    <col min="7" max="7" width="15" customWidth="1"/>
    <col min="8" max="8" width="34" customWidth="1"/>
    <col min="9" max="9" width="11" customWidth="1"/>
  </cols>
  <sheetData>
    <row r="1" spans="1:9" ht="33.75" customHeight="1" x14ac:dyDescent="0.3">
      <c r="A1" s="165" t="s">
        <v>156</v>
      </c>
      <c r="B1" s="165"/>
      <c r="C1" s="165"/>
      <c r="D1" s="165"/>
      <c r="E1" s="165"/>
      <c r="F1" s="165"/>
      <c r="G1" s="165"/>
      <c r="H1" s="165"/>
      <c r="I1" s="165"/>
    </row>
    <row r="2" spans="1:9" ht="42" customHeight="1" x14ac:dyDescent="0.3">
      <c r="A2" s="12" t="s">
        <v>157</v>
      </c>
      <c r="B2" s="12"/>
      <c r="C2" s="12"/>
      <c r="D2" s="12"/>
      <c r="E2" s="12"/>
      <c r="F2" s="12"/>
      <c r="G2" s="12"/>
      <c r="H2" s="12"/>
      <c r="I2" s="12"/>
    </row>
    <row r="4" spans="1:9" ht="31.5" customHeight="1" x14ac:dyDescent="0.3">
      <c r="A4" s="17" t="s">
        <v>158</v>
      </c>
      <c r="B4" s="17" t="s">
        <v>159</v>
      </c>
      <c r="C4" s="17" t="s">
        <v>160</v>
      </c>
      <c r="D4" s="17" t="s">
        <v>89</v>
      </c>
      <c r="E4" s="17" t="s">
        <v>161</v>
      </c>
      <c r="F4" s="17" t="s">
        <v>162</v>
      </c>
      <c r="G4" s="17" t="s">
        <v>163</v>
      </c>
      <c r="H4" s="17" t="s">
        <v>164</v>
      </c>
      <c r="I4" s="17" t="s">
        <v>165</v>
      </c>
    </row>
    <row r="5" spans="1:9" x14ac:dyDescent="0.3">
      <c r="A5" s="109" t="s">
        <v>125</v>
      </c>
      <c r="B5" s="110">
        <f t="shared" ref="B5:B11" si="0">F_INICIO+7*0</f>
        <v>46295</v>
      </c>
      <c r="C5" s="111" t="s">
        <v>166</v>
      </c>
      <c r="D5" s="112" t="s">
        <v>167</v>
      </c>
      <c r="E5" s="113">
        <v>474.06</v>
      </c>
      <c r="F5" s="114">
        <v>19933</v>
      </c>
      <c r="G5" s="115">
        <f t="shared" ref="G5:G36" si="1">E5*F5</f>
        <v>9449437.9800000004</v>
      </c>
      <c r="H5" s="116" t="s">
        <v>168</v>
      </c>
      <c r="I5" s="117" t="str">
        <f t="shared" ref="I5:I36" si="2">IF(VALUE(MID(A5,2,2))&lt;=6,"Sí","Posterior")</f>
        <v>Sí</v>
      </c>
    </row>
    <row r="6" spans="1:9" ht="25.2" x14ac:dyDescent="0.3">
      <c r="A6" s="109" t="s">
        <v>125</v>
      </c>
      <c r="B6" s="110">
        <f t="shared" si="0"/>
        <v>46295</v>
      </c>
      <c r="C6" s="118" t="s">
        <v>169</v>
      </c>
      <c r="D6" s="119" t="s">
        <v>170</v>
      </c>
      <c r="E6" s="120">
        <v>26.27</v>
      </c>
      <c r="F6" s="121">
        <v>65500</v>
      </c>
      <c r="G6" s="122">
        <f t="shared" si="1"/>
        <v>1720685</v>
      </c>
      <c r="H6" s="123" t="s">
        <v>171</v>
      </c>
      <c r="I6" s="117" t="str">
        <f t="shared" si="2"/>
        <v>Sí</v>
      </c>
    </row>
    <row r="7" spans="1:9" ht="25.2" x14ac:dyDescent="0.3">
      <c r="A7" s="109" t="s">
        <v>125</v>
      </c>
      <c r="B7" s="110">
        <f t="shared" si="0"/>
        <v>46295</v>
      </c>
      <c r="C7" s="111" t="s">
        <v>172</v>
      </c>
      <c r="D7" s="112" t="s">
        <v>173</v>
      </c>
      <c r="E7" s="113">
        <v>51.62</v>
      </c>
      <c r="F7" s="114">
        <v>7500</v>
      </c>
      <c r="G7" s="115">
        <f t="shared" si="1"/>
        <v>387150</v>
      </c>
      <c r="H7" s="116" t="s">
        <v>171</v>
      </c>
      <c r="I7" s="117" t="str">
        <f t="shared" si="2"/>
        <v>Sí</v>
      </c>
    </row>
    <row r="8" spans="1:9" x14ac:dyDescent="0.3">
      <c r="A8" s="109" t="s">
        <v>125</v>
      </c>
      <c r="B8" s="110">
        <f t="shared" si="0"/>
        <v>46295</v>
      </c>
      <c r="C8" s="118" t="s">
        <v>174</v>
      </c>
      <c r="D8" s="119" t="s">
        <v>173</v>
      </c>
      <c r="E8" s="120">
        <v>4</v>
      </c>
      <c r="F8" s="121">
        <v>54870</v>
      </c>
      <c r="G8" s="122">
        <f t="shared" si="1"/>
        <v>219480</v>
      </c>
      <c r="H8" s="123" t="s">
        <v>175</v>
      </c>
      <c r="I8" s="117" t="str">
        <f t="shared" si="2"/>
        <v>Sí</v>
      </c>
    </row>
    <row r="9" spans="1:9" x14ac:dyDescent="0.3">
      <c r="A9" s="109" t="s">
        <v>125</v>
      </c>
      <c r="B9" s="110">
        <f t="shared" si="0"/>
        <v>46295</v>
      </c>
      <c r="C9" s="111" t="s">
        <v>176</v>
      </c>
      <c r="D9" s="112" t="s">
        <v>173</v>
      </c>
      <c r="E9" s="113">
        <v>4</v>
      </c>
      <c r="F9" s="114">
        <v>45628</v>
      </c>
      <c r="G9" s="115">
        <f t="shared" si="1"/>
        <v>182512</v>
      </c>
      <c r="H9" s="116" t="s">
        <v>175</v>
      </c>
      <c r="I9" s="117" t="str">
        <f t="shared" si="2"/>
        <v>Sí</v>
      </c>
    </row>
    <row r="10" spans="1:9" ht="25.2" x14ac:dyDescent="0.3">
      <c r="A10" s="109" t="s">
        <v>125</v>
      </c>
      <c r="B10" s="110">
        <f t="shared" si="0"/>
        <v>46295</v>
      </c>
      <c r="C10" s="118" t="s">
        <v>177</v>
      </c>
      <c r="D10" s="119" t="s">
        <v>178</v>
      </c>
      <c r="E10" s="120">
        <v>18.8</v>
      </c>
      <c r="F10" s="121">
        <v>4500</v>
      </c>
      <c r="G10" s="122">
        <f t="shared" si="1"/>
        <v>84600</v>
      </c>
      <c r="H10" s="123" t="s">
        <v>171</v>
      </c>
      <c r="I10" s="117" t="str">
        <f t="shared" si="2"/>
        <v>Sí</v>
      </c>
    </row>
    <row r="11" spans="1:9" ht="25.2" x14ac:dyDescent="0.3">
      <c r="A11" s="109" t="s">
        <v>125</v>
      </c>
      <c r="B11" s="110">
        <f t="shared" si="0"/>
        <v>46295</v>
      </c>
      <c r="C11" s="111" t="s">
        <v>179</v>
      </c>
      <c r="D11" s="112" t="s">
        <v>180</v>
      </c>
      <c r="E11" s="113">
        <v>10.49</v>
      </c>
      <c r="F11" s="114">
        <v>3200</v>
      </c>
      <c r="G11" s="115">
        <f t="shared" si="1"/>
        <v>33568</v>
      </c>
      <c r="H11" s="116" t="s">
        <v>171</v>
      </c>
      <c r="I11" s="117" t="str">
        <f t="shared" si="2"/>
        <v>Sí</v>
      </c>
    </row>
    <row r="12" spans="1:9" x14ac:dyDescent="0.3">
      <c r="A12" s="109" t="s">
        <v>126</v>
      </c>
      <c r="B12" s="110">
        <f t="shared" ref="B12:B39" si="3">F_INICIO+7*1</f>
        <v>46302</v>
      </c>
      <c r="C12" s="118" t="s">
        <v>181</v>
      </c>
      <c r="D12" s="119" t="s">
        <v>173</v>
      </c>
      <c r="E12" s="120">
        <v>2</v>
      </c>
      <c r="F12" s="121">
        <v>3574387</v>
      </c>
      <c r="G12" s="122">
        <f t="shared" si="1"/>
        <v>7148774</v>
      </c>
      <c r="H12" s="123" t="s">
        <v>182</v>
      </c>
      <c r="I12" s="117" t="str">
        <f t="shared" si="2"/>
        <v>Sí</v>
      </c>
    </row>
    <row r="13" spans="1:9" ht="25.2" x14ac:dyDescent="0.3">
      <c r="A13" s="109" t="s">
        <v>126</v>
      </c>
      <c r="B13" s="110">
        <f t="shared" si="3"/>
        <v>46302</v>
      </c>
      <c r="C13" s="111" t="s">
        <v>183</v>
      </c>
      <c r="D13" s="112" t="s">
        <v>184</v>
      </c>
      <c r="E13" s="113">
        <v>8711.7800000000007</v>
      </c>
      <c r="F13" s="114">
        <v>640</v>
      </c>
      <c r="G13" s="115">
        <f t="shared" si="1"/>
        <v>5575539.2000000002</v>
      </c>
      <c r="H13" s="116" t="s">
        <v>171</v>
      </c>
      <c r="I13" s="117" t="str">
        <f t="shared" si="2"/>
        <v>Sí</v>
      </c>
    </row>
    <row r="14" spans="1:9" x14ac:dyDescent="0.3">
      <c r="A14" s="109" t="s">
        <v>126</v>
      </c>
      <c r="B14" s="110">
        <f t="shared" si="3"/>
        <v>46302</v>
      </c>
      <c r="C14" s="118" t="s">
        <v>185</v>
      </c>
      <c r="D14" s="119" t="s">
        <v>184</v>
      </c>
      <c r="E14" s="120">
        <v>1060.21</v>
      </c>
      <c r="F14" s="121">
        <v>4299</v>
      </c>
      <c r="G14" s="122">
        <f t="shared" si="1"/>
        <v>4557842.79</v>
      </c>
      <c r="H14" s="123" t="s">
        <v>186</v>
      </c>
      <c r="I14" s="117" t="str">
        <f t="shared" si="2"/>
        <v>Sí</v>
      </c>
    </row>
    <row r="15" spans="1:9" x14ac:dyDescent="0.3">
      <c r="A15" s="109" t="s">
        <v>126</v>
      </c>
      <c r="B15" s="110">
        <f t="shared" si="3"/>
        <v>46302</v>
      </c>
      <c r="C15" s="111" t="s">
        <v>187</v>
      </c>
      <c r="D15" s="112" t="s">
        <v>173</v>
      </c>
      <c r="E15" s="113">
        <v>1</v>
      </c>
      <c r="F15" s="114">
        <v>4505000</v>
      </c>
      <c r="G15" s="115">
        <f t="shared" si="1"/>
        <v>4505000</v>
      </c>
      <c r="H15" s="116" t="s">
        <v>182</v>
      </c>
      <c r="I15" s="117" t="str">
        <f t="shared" si="2"/>
        <v>Sí</v>
      </c>
    </row>
    <row r="16" spans="1:9" x14ac:dyDescent="0.3">
      <c r="A16" s="109" t="s">
        <v>126</v>
      </c>
      <c r="B16" s="110">
        <f t="shared" si="3"/>
        <v>46302</v>
      </c>
      <c r="C16" s="118" t="s">
        <v>188</v>
      </c>
      <c r="D16" s="119" t="s">
        <v>173</v>
      </c>
      <c r="E16" s="120">
        <v>5</v>
      </c>
      <c r="F16" s="121">
        <v>550000</v>
      </c>
      <c r="G16" s="122">
        <f t="shared" si="1"/>
        <v>2750000</v>
      </c>
      <c r="H16" s="123" t="s">
        <v>182</v>
      </c>
      <c r="I16" s="117" t="str">
        <f t="shared" si="2"/>
        <v>Sí</v>
      </c>
    </row>
    <row r="17" spans="1:9" ht="25.2" x14ac:dyDescent="0.3">
      <c r="A17" s="109" t="s">
        <v>126</v>
      </c>
      <c r="B17" s="110">
        <f t="shared" si="3"/>
        <v>46302</v>
      </c>
      <c r="C17" s="111" t="s">
        <v>189</v>
      </c>
      <c r="D17" s="112" t="s">
        <v>170</v>
      </c>
      <c r="E17" s="113">
        <v>19.46</v>
      </c>
      <c r="F17" s="114">
        <v>110000</v>
      </c>
      <c r="G17" s="115">
        <f t="shared" si="1"/>
        <v>2140600</v>
      </c>
      <c r="H17" s="116" t="s">
        <v>171</v>
      </c>
      <c r="I17" s="117" t="str">
        <f t="shared" si="2"/>
        <v>Sí</v>
      </c>
    </row>
    <row r="18" spans="1:9" x14ac:dyDescent="0.3">
      <c r="A18" s="109" t="s">
        <v>126</v>
      </c>
      <c r="B18" s="110">
        <f t="shared" si="3"/>
        <v>46302</v>
      </c>
      <c r="C18" s="118" t="s">
        <v>190</v>
      </c>
      <c r="D18" s="119" t="s">
        <v>173</v>
      </c>
      <c r="E18" s="120">
        <v>16</v>
      </c>
      <c r="F18" s="121">
        <v>123433</v>
      </c>
      <c r="G18" s="122">
        <f t="shared" si="1"/>
        <v>1974928</v>
      </c>
      <c r="H18" s="123" t="s">
        <v>168</v>
      </c>
      <c r="I18" s="117" t="str">
        <f t="shared" si="2"/>
        <v>Sí</v>
      </c>
    </row>
    <row r="19" spans="1:9" ht="25.2" x14ac:dyDescent="0.3">
      <c r="A19" s="109" t="s">
        <v>126</v>
      </c>
      <c r="B19" s="110">
        <f t="shared" si="3"/>
        <v>46302</v>
      </c>
      <c r="C19" s="111" t="s">
        <v>191</v>
      </c>
      <c r="D19" s="112" t="s">
        <v>173</v>
      </c>
      <c r="E19" s="113">
        <v>70.64</v>
      </c>
      <c r="F19" s="114">
        <v>18000</v>
      </c>
      <c r="G19" s="115">
        <f t="shared" si="1"/>
        <v>1271520</v>
      </c>
      <c r="H19" s="116" t="s">
        <v>171</v>
      </c>
      <c r="I19" s="117" t="str">
        <f t="shared" si="2"/>
        <v>Sí</v>
      </c>
    </row>
    <row r="20" spans="1:9" x14ac:dyDescent="0.3">
      <c r="A20" s="109" t="s">
        <v>126</v>
      </c>
      <c r="B20" s="110">
        <f t="shared" si="3"/>
        <v>46302</v>
      </c>
      <c r="C20" s="118" t="s">
        <v>192</v>
      </c>
      <c r="D20" s="119" t="s">
        <v>173</v>
      </c>
      <c r="E20" s="120">
        <v>2</v>
      </c>
      <c r="F20" s="121">
        <v>513505</v>
      </c>
      <c r="G20" s="122">
        <f t="shared" si="1"/>
        <v>1027010</v>
      </c>
      <c r="H20" s="123" t="s">
        <v>193</v>
      </c>
      <c r="I20" s="117" t="str">
        <f t="shared" si="2"/>
        <v>Sí</v>
      </c>
    </row>
    <row r="21" spans="1:9" x14ac:dyDescent="0.3">
      <c r="A21" s="109" t="s">
        <v>126</v>
      </c>
      <c r="B21" s="110">
        <f t="shared" si="3"/>
        <v>46302</v>
      </c>
      <c r="C21" s="111" t="s">
        <v>194</v>
      </c>
      <c r="D21" s="112" t="s">
        <v>173</v>
      </c>
      <c r="E21" s="113">
        <v>1</v>
      </c>
      <c r="F21" s="114">
        <v>900000</v>
      </c>
      <c r="G21" s="115">
        <f t="shared" si="1"/>
        <v>900000</v>
      </c>
      <c r="H21" s="116" t="s">
        <v>182</v>
      </c>
      <c r="I21" s="117" t="str">
        <f t="shared" si="2"/>
        <v>Sí</v>
      </c>
    </row>
    <row r="22" spans="1:9" x14ac:dyDescent="0.3">
      <c r="A22" s="109" t="s">
        <v>126</v>
      </c>
      <c r="B22" s="110">
        <f t="shared" si="3"/>
        <v>46302</v>
      </c>
      <c r="C22" s="118" t="s">
        <v>195</v>
      </c>
      <c r="D22" s="119" t="s">
        <v>173</v>
      </c>
      <c r="E22" s="120">
        <v>1</v>
      </c>
      <c r="F22" s="121">
        <v>800000</v>
      </c>
      <c r="G22" s="122">
        <f t="shared" si="1"/>
        <v>800000</v>
      </c>
      <c r="H22" s="123" t="s">
        <v>182</v>
      </c>
      <c r="I22" s="117" t="str">
        <f t="shared" si="2"/>
        <v>Sí</v>
      </c>
    </row>
    <row r="23" spans="1:9" x14ac:dyDescent="0.3">
      <c r="A23" s="109" t="s">
        <v>126</v>
      </c>
      <c r="B23" s="110">
        <f t="shared" si="3"/>
        <v>46302</v>
      </c>
      <c r="C23" s="111" t="s">
        <v>196</v>
      </c>
      <c r="D23" s="112" t="s">
        <v>197</v>
      </c>
      <c r="E23" s="113">
        <v>1</v>
      </c>
      <c r="F23" s="114">
        <v>600000</v>
      </c>
      <c r="G23" s="115">
        <f t="shared" si="1"/>
        <v>600000</v>
      </c>
      <c r="H23" s="116" t="s">
        <v>182</v>
      </c>
      <c r="I23" s="117" t="str">
        <f t="shared" si="2"/>
        <v>Sí</v>
      </c>
    </row>
    <row r="24" spans="1:9" x14ac:dyDescent="0.3">
      <c r="A24" s="109" t="s">
        <v>126</v>
      </c>
      <c r="B24" s="110">
        <f t="shared" si="3"/>
        <v>46302</v>
      </c>
      <c r="C24" s="118" t="s">
        <v>198</v>
      </c>
      <c r="D24" s="119" t="s">
        <v>173</v>
      </c>
      <c r="E24" s="120">
        <v>24.08</v>
      </c>
      <c r="F24" s="121">
        <v>18000</v>
      </c>
      <c r="G24" s="122">
        <f t="shared" si="1"/>
        <v>433439.99999999994</v>
      </c>
      <c r="H24" s="123" t="s">
        <v>199</v>
      </c>
      <c r="I24" s="117" t="str">
        <f t="shared" si="2"/>
        <v>Sí</v>
      </c>
    </row>
    <row r="25" spans="1:9" x14ac:dyDescent="0.3">
      <c r="A25" s="109" t="s">
        <v>126</v>
      </c>
      <c r="B25" s="110">
        <f t="shared" si="3"/>
        <v>46302</v>
      </c>
      <c r="C25" s="111" t="s">
        <v>200</v>
      </c>
      <c r="D25" s="112" t="s">
        <v>173</v>
      </c>
      <c r="E25" s="113">
        <v>2</v>
      </c>
      <c r="F25" s="114">
        <v>180000</v>
      </c>
      <c r="G25" s="115">
        <f t="shared" si="1"/>
        <v>360000</v>
      </c>
      <c r="H25" s="116" t="s">
        <v>201</v>
      </c>
      <c r="I25" s="117" t="str">
        <f t="shared" si="2"/>
        <v>Sí</v>
      </c>
    </row>
    <row r="26" spans="1:9" x14ac:dyDescent="0.3">
      <c r="A26" s="109" t="s">
        <v>126</v>
      </c>
      <c r="B26" s="110">
        <f t="shared" si="3"/>
        <v>46302</v>
      </c>
      <c r="C26" s="118" t="s">
        <v>202</v>
      </c>
      <c r="D26" s="119" t="s">
        <v>173</v>
      </c>
      <c r="E26" s="120">
        <v>1</v>
      </c>
      <c r="F26" s="121">
        <v>300000</v>
      </c>
      <c r="G26" s="122">
        <f t="shared" si="1"/>
        <v>300000</v>
      </c>
      <c r="H26" s="123" t="s">
        <v>182</v>
      </c>
      <c r="I26" s="117" t="str">
        <f t="shared" si="2"/>
        <v>Sí</v>
      </c>
    </row>
    <row r="27" spans="1:9" x14ac:dyDescent="0.3">
      <c r="A27" s="109" t="s">
        <v>126</v>
      </c>
      <c r="B27" s="110">
        <f t="shared" si="3"/>
        <v>46302</v>
      </c>
      <c r="C27" s="111" t="s">
        <v>203</v>
      </c>
      <c r="D27" s="112" t="s">
        <v>173</v>
      </c>
      <c r="E27" s="113">
        <v>40.299999999999997</v>
      </c>
      <c r="F27" s="114">
        <v>6284</v>
      </c>
      <c r="G27" s="115">
        <f t="shared" si="1"/>
        <v>253245.19999999998</v>
      </c>
      <c r="H27" s="116" t="s">
        <v>186</v>
      </c>
      <c r="I27" s="117" t="str">
        <f t="shared" si="2"/>
        <v>Sí</v>
      </c>
    </row>
    <row r="28" spans="1:9" ht="25.2" x14ac:dyDescent="0.3">
      <c r="A28" s="109" t="s">
        <v>126</v>
      </c>
      <c r="B28" s="110">
        <f t="shared" si="3"/>
        <v>46302</v>
      </c>
      <c r="C28" s="118" t="s">
        <v>204</v>
      </c>
      <c r="D28" s="119" t="s">
        <v>184</v>
      </c>
      <c r="E28" s="120">
        <v>41.28</v>
      </c>
      <c r="F28" s="121">
        <v>6079</v>
      </c>
      <c r="G28" s="122">
        <f t="shared" si="1"/>
        <v>250941.12</v>
      </c>
      <c r="H28" s="123" t="s">
        <v>171</v>
      </c>
      <c r="I28" s="117" t="str">
        <f t="shared" si="2"/>
        <v>Sí</v>
      </c>
    </row>
    <row r="29" spans="1:9" x14ac:dyDescent="0.3">
      <c r="A29" s="109" t="s">
        <v>126</v>
      </c>
      <c r="B29" s="110">
        <f t="shared" si="3"/>
        <v>46302</v>
      </c>
      <c r="C29" s="111" t="s">
        <v>205</v>
      </c>
      <c r="D29" s="112" t="s">
        <v>170</v>
      </c>
      <c r="E29" s="113">
        <v>0.5</v>
      </c>
      <c r="F29" s="114">
        <v>478326</v>
      </c>
      <c r="G29" s="115">
        <f t="shared" si="1"/>
        <v>239163</v>
      </c>
      <c r="H29" s="116" t="s">
        <v>206</v>
      </c>
      <c r="I29" s="117" t="str">
        <f t="shared" si="2"/>
        <v>Sí</v>
      </c>
    </row>
    <row r="30" spans="1:9" ht="25.2" x14ac:dyDescent="0.3">
      <c r="A30" s="109" t="s">
        <v>126</v>
      </c>
      <c r="B30" s="110">
        <f t="shared" si="3"/>
        <v>46302</v>
      </c>
      <c r="C30" s="118" t="s">
        <v>207</v>
      </c>
      <c r="D30" s="119" t="s">
        <v>208</v>
      </c>
      <c r="E30" s="120">
        <v>4707.62</v>
      </c>
      <c r="F30" s="121">
        <v>32</v>
      </c>
      <c r="G30" s="122">
        <f t="shared" si="1"/>
        <v>150643.84</v>
      </c>
      <c r="H30" s="123" t="s">
        <v>171</v>
      </c>
      <c r="I30" s="117" t="str">
        <f t="shared" si="2"/>
        <v>Sí</v>
      </c>
    </row>
    <row r="31" spans="1:9" x14ac:dyDescent="0.3">
      <c r="A31" s="109" t="s">
        <v>126</v>
      </c>
      <c r="B31" s="110">
        <f t="shared" si="3"/>
        <v>46302</v>
      </c>
      <c r="C31" s="111" t="s">
        <v>209</v>
      </c>
      <c r="D31" s="112" t="s">
        <v>173</v>
      </c>
      <c r="E31" s="113">
        <v>8</v>
      </c>
      <c r="F31" s="114">
        <v>18223</v>
      </c>
      <c r="G31" s="115">
        <f t="shared" si="1"/>
        <v>145784</v>
      </c>
      <c r="H31" s="116" t="s">
        <v>210</v>
      </c>
      <c r="I31" s="117" t="str">
        <f t="shared" si="2"/>
        <v>Sí</v>
      </c>
    </row>
    <row r="32" spans="1:9" x14ac:dyDescent="0.3">
      <c r="A32" s="109" t="s">
        <v>126</v>
      </c>
      <c r="B32" s="110">
        <f t="shared" si="3"/>
        <v>46302</v>
      </c>
      <c r="C32" s="118" t="s">
        <v>211</v>
      </c>
      <c r="D32" s="119" t="s">
        <v>184</v>
      </c>
      <c r="E32" s="120">
        <v>13.97</v>
      </c>
      <c r="F32" s="121">
        <v>4225</v>
      </c>
      <c r="G32" s="122">
        <f t="shared" si="1"/>
        <v>59023.25</v>
      </c>
      <c r="H32" s="123" t="s">
        <v>193</v>
      </c>
      <c r="I32" s="117" t="str">
        <f t="shared" si="2"/>
        <v>Sí</v>
      </c>
    </row>
    <row r="33" spans="1:9" x14ac:dyDescent="0.3">
      <c r="A33" s="109" t="s">
        <v>126</v>
      </c>
      <c r="B33" s="110">
        <f t="shared" si="3"/>
        <v>46302</v>
      </c>
      <c r="C33" s="111" t="s">
        <v>212</v>
      </c>
      <c r="D33" s="112" t="s">
        <v>170</v>
      </c>
      <c r="E33" s="113">
        <v>0.41</v>
      </c>
      <c r="F33" s="114">
        <v>110000</v>
      </c>
      <c r="G33" s="115">
        <f t="shared" si="1"/>
        <v>45100</v>
      </c>
      <c r="H33" s="116" t="s">
        <v>213</v>
      </c>
      <c r="I33" s="117" t="str">
        <f t="shared" si="2"/>
        <v>Sí</v>
      </c>
    </row>
    <row r="34" spans="1:9" x14ac:dyDescent="0.3">
      <c r="A34" s="109" t="s">
        <v>126</v>
      </c>
      <c r="B34" s="110">
        <f t="shared" si="3"/>
        <v>46302</v>
      </c>
      <c r="C34" s="118" t="s">
        <v>214</v>
      </c>
      <c r="D34" s="119" t="s">
        <v>173</v>
      </c>
      <c r="E34" s="120">
        <v>2</v>
      </c>
      <c r="F34" s="121">
        <v>18000</v>
      </c>
      <c r="G34" s="122">
        <f t="shared" si="1"/>
        <v>36000</v>
      </c>
      <c r="H34" s="123" t="s">
        <v>206</v>
      </c>
      <c r="I34" s="117" t="str">
        <f t="shared" si="2"/>
        <v>Sí</v>
      </c>
    </row>
    <row r="35" spans="1:9" ht="25.2" x14ac:dyDescent="0.3">
      <c r="A35" s="109" t="s">
        <v>126</v>
      </c>
      <c r="B35" s="110">
        <f t="shared" si="3"/>
        <v>46302</v>
      </c>
      <c r="C35" s="111" t="s">
        <v>215</v>
      </c>
      <c r="D35" s="112" t="s">
        <v>216</v>
      </c>
      <c r="E35" s="113">
        <v>2.25</v>
      </c>
      <c r="F35" s="114">
        <v>16000</v>
      </c>
      <c r="G35" s="115">
        <f t="shared" si="1"/>
        <v>36000</v>
      </c>
      <c r="H35" s="116" t="s">
        <v>171</v>
      </c>
      <c r="I35" s="117" t="str">
        <f t="shared" si="2"/>
        <v>Sí</v>
      </c>
    </row>
    <row r="36" spans="1:9" x14ac:dyDescent="0.3">
      <c r="A36" s="109" t="s">
        <v>126</v>
      </c>
      <c r="B36" s="110">
        <f t="shared" si="3"/>
        <v>46302</v>
      </c>
      <c r="C36" s="118" t="s">
        <v>217</v>
      </c>
      <c r="D36" s="119" t="s">
        <v>173</v>
      </c>
      <c r="E36" s="120">
        <v>1.8</v>
      </c>
      <c r="F36" s="121">
        <v>8344</v>
      </c>
      <c r="G36" s="122">
        <f t="shared" si="1"/>
        <v>15019.2</v>
      </c>
      <c r="H36" s="123" t="s">
        <v>175</v>
      </c>
      <c r="I36" s="117" t="str">
        <f t="shared" si="2"/>
        <v>Sí</v>
      </c>
    </row>
    <row r="37" spans="1:9" ht="25.2" x14ac:dyDescent="0.3">
      <c r="A37" s="109" t="s">
        <v>126</v>
      </c>
      <c r="B37" s="110">
        <f t="shared" si="3"/>
        <v>46302</v>
      </c>
      <c r="C37" s="111" t="s">
        <v>218</v>
      </c>
      <c r="D37" s="112" t="s">
        <v>216</v>
      </c>
      <c r="E37" s="113">
        <v>0.13</v>
      </c>
      <c r="F37" s="114">
        <v>91493</v>
      </c>
      <c r="G37" s="115">
        <f t="shared" ref="G37:G68" si="4">E37*F37</f>
        <v>11894.09</v>
      </c>
      <c r="H37" s="116" t="s">
        <v>171</v>
      </c>
      <c r="I37" s="117" t="str">
        <f t="shared" ref="I37:I68" si="5">IF(VALUE(MID(A37,2,2))&lt;=6,"Sí","Posterior")</f>
        <v>Sí</v>
      </c>
    </row>
    <row r="38" spans="1:9" x14ac:dyDescent="0.3">
      <c r="A38" s="109" t="s">
        <v>126</v>
      </c>
      <c r="B38" s="110">
        <f t="shared" si="3"/>
        <v>46302</v>
      </c>
      <c r="C38" s="118" t="s">
        <v>219</v>
      </c>
      <c r="D38" s="119" t="s">
        <v>170</v>
      </c>
      <c r="E38" s="120">
        <v>0.55000000000000004</v>
      </c>
      <c r="F38" s="121">
        <v>15500</v>
      </c>
      <c r="G38" s="122">
        <f t="shared" si="4"/>
        <v>8525</v>
      </c>
      <c r="H38" s="123" t="s">
        <v>193</v>
      </c>
      <c r="I38" s="117" t="str">
        <f t="shared" si="5"/>
        <v>Sí</v>
      </c>
    </row>
    <row r="39" spans="1:9" x14ac:dyDescent="0.3">
      <c r="A39" s="109" t="s">
        <v>126</v>
      </c>
      <c r="B39" s="110">
        <f t="shared" si="3"/>
        <v>46302</v>
      </c>
      <c r="C39" s="111" t="s">
        <v>220</v>
      </c>
      <c r="D39" s="112" t="s">
        <v>173</v>
      </c>
      <c r="E39" s="113">
        <v>0.35</v>
      </c>
      <c r="F39" s="114">
        <v>22550</v>
      </c>
      <c r="G39" s="115">
        <f t="shared" si="4"/>
        <v>7892.4999999999991</v>
      </c>
      <c r="H39" s="116" t="s">
        <v>206</v>
      </c>
      <c r="I39" s="117" t="str">
        <f t="shared" si="5"/>
        <v>Sí</v>
      </c>
    </row>
    <row r="40" spans="1:9" x14ac:dyDescent="0.3">
      <c r="A40" s="109" t="s">
        <v>127</v>
      </c>
      <c r="B40" s="110">
        <f>F_INICIO+7*2</f>
        <v>46309</v>
      </c>
      <c r="C40" s="118" t="s">
        <v>221</v>
      </c>
      <c r="D40" s="119" t="s">
        <v>170</v>
      </c>
      <c r="E40" s="120">
        <v>12.18</v>
      </c>
      <c r="F40" s="121">
        <v>110000</v>
      </c>
      <c r="G40" s="122">
        <f t="shared" si="4"/>
        <v>1339800</v>
      </c>
      <c r="H40" s="123" t="s">
        <v>222</v>
      </c>
      <c r="I40" s="117" t="str">
        <f t="shared" si="5"/>
        <v>Sí</v>
      </c>
    </row>
    <row r="41" spans="1:9" x14ac:dyDescent="0.3">
      <c r="A41" s="109" t="s">
        <v>127</v>
      </c>
      <c r="B41" s="110">
        <f>F_INICIO+7*2</f>
        <v>46309</v>
      </c>
      <c r="C41" s="111" t="s">
        <v>223</v>
      </c>
      <c r="D41" s="112" t="s">
        <v>173</v>
      </c>
      <c r="E41" s="113">
        <v>28.05</v>
      </c>
      <c r="F41" s="114">
        <v>18000</v>
      </c>
      <c r="G41" s="115">
        <f t="shared" si="4"/>
        <v>504900</v>
      </c>
      <c r="H41" s="116" t="s">
        <v>224</v>
      </c>
      <c r="I41" s="117" t="str">
        <f t="shared" si="5"/>
        <v>Sí</v>
      </c>
    </row>
    <row r="42" spans="1:9" x14ac:dyDescent="0.3">
      <c r="A42" s="109" t="s">
        <v>127</v>
      </c>
      <c r="B42" s="110">
        <f>F_INICIO+7*2</f>
        <v>46309</v>
      </c>
      <c r="C42" s="118" t="s">
        <v>225</v>
      </c>
      <c r="D42" s="119" t="s">
        <v>173</v>
      </c>
      <c r="E42" s="120">
        <v>13.77</v>
      </c>
      <c r="F42" s="121">
        <v>7500</v>
      </c>
      <c r="G42" s="122">
        <f t="shared" si="4"/>
        <v>103275</v>
      </c>
      <c r="H42" s="123" t="s">
        <v>224</v>
      </c>
      <c r="I42" s="117" t="str">
        <f t="shared" si="5"/>
        <v>Sí</v>
      </c>
    </row>
    <row r="43" spans="1:9" x14ac:dyDescent="0.3">
      <c r="A43" s="109" t="s">
        <v>128</v>
      </c>
      <c r="B43" s="110">
        <f>F_INICIO+7*3</f>
        <v>46316</v>
      </c>
      <c r="C43" s="111" t="s">
        <v>226</v>
      </c>
      <c r="D43" s="112" t="s">
        <v>173</v>
      </c>
      <c r="E43" s="113">
        <v>1424.7</v>
      </c>
      <c r="F43" s="114">
        <v>915</v>
      </c>
      <c r="G43" s="115">
        <f t="shared" si="4"/>
        <v>1303600.5</v>
      </c>
      <c r="H43" s="116" t="s">
        <v>224</v>
      </c>
      <c r="I43" s="117" t="str">
        <f t="shared" si="5"/>
        <v>Sí</v>
      </c>
    </row>
    <row r="44" spans="1:9" x14ac:dyDescent="0.3">
      <c r="A44" s="109" t="s">
        <v>128</v>
      </c>
      <c r="B44" s="110">
        <f>F_INICIO+7*3</f>
        <v>46316</v>
      </c>
      <c r="C44" s="118" t="s">
        <v>227</v>
      </c>
      <c r="D44" s="119" t="s">
        <v>173</v>
      </c>
      <c r="E44" s="120">
        <v>1</v>
      </c>
      <c r="F44" s="121">
        <v>243578</v>
      </c>
      <c r="G44" s="122">
        <f t="shared" si="4"/>
        <v>243578</v>
      </c>
      <c r="H44" s="123" t="s">
        <v>228</v>
      </c>
      <c r="I44" s="117" t="str">
        <f t="shared" si="5"/>
        <v>Sí</v>
      </c>
    </row>
    <row r="45" spans="1:9" x14ac:dyDescent="0.3">
      <c r="A45" s="109" t="s">
        <v>128</v>
      </c>
      <c r="B45" s="110">
        <f>F_INICIO+7*3</f>
        <v>46316</v>
      </c>
      <c r="C45" s="111" t="s">
        <v>229</v>
      </c>
      <c r="D45" s="112" t="s">
        <v>170</v>
      </c>
      <c r="E45" s="113">
        <v>1.1200000000000001</v>
      </c>
      <c r="F45" s="114">
        <v>110000</v>
      </c>
      <c r="G45" s="115">
        <f t="shared" si="4"/>
        <v>123200.00000000001</v>
      </c>
      <c r="H45" s="116" t="s">
        <v>224</v>
      </c>
      <c r="I45" s="117" t="str">
        <f t="shared" si="5"/>
        <v>Sí</v>
      </c>
    </row>
    <row r="46" spans="1:9" x14ac:dyDescent="0.3">
      <c r="A46" s="109" t="s">
        <v>129</v>
      </c>
      <c r="B46" s="110">
        <f t="shared" ref="B46:B64" si="6">F_INICIO+7*4</f>
        <v>46323</v>
      </c>
      <c r="C46" s="118" t="s">
        <v>230</v>
      </c>
      <c r="D46" s="119" t="s">
        <v>173</v>
      </c>
      <c r="E46" s="120">
        <v>4</v>
      </c>
      <c r="F46" s="121">
        <v>3750000</v>
      </c>
      <c r="G46" s="122">
        <f t="shared" si="4"/>
        <v>15000000</v>
      </c>
      <c r="H46" s="123" t="s">
        <v>222</v>
      </c>
      <c r="I46" s="117" t="str">
        <f t="shared" si="5"/>
        <v>Sí</v>
      </c>
    </row>
    <row r="47" spans="1:9" x14ac:dyDescent="0.3">
      <c r="A47" s="109" t="s">
        <v>129</v>
      </c>
      <c r="B47" s="110">
        <f t="shared" si="6"/>
        <v>46323</v>
      </c>
      <c r="C47" s="111" t="s">
        <v>231</v>
      </c>
      <c r="D47" s="112" t="s">
        <v>173</v>
      </c>
      <c r="E47" s="113">
        <v>1</v>
      </c>
      <c r="F47" s="114">
        <v>2550000</v>
      </c>
      <c r="G47" s="115">
        <f t="shared" si="4"/>
        <v>2550000</v>
      </c>
      <c r="H47" s="116" t="s">
        <v>232</v>
      </c>
      <c r="I47" s="117" t="str">
        <f t="shared" si="5"/>
        <v>Sí</v>
      </c>
    </row>
    <row r="48" spans="1:9" x14ac:dyDescent="0.3">
      <c r="A48" s="109" t="s">
        <v>129</v>
      </c>
      <c r="B48" s="110">
        <f t="shared" si="6"/>
        <v>46323</v>
      </c>
      <c r="C48" s="118" t="s">
        <v>233</v>
      </c>
      <c r="D48" s="119" t="s">
        <v>173</v>
      </c>
      <c r="E48" s="120">
        <v>24.79</v>
      </c>
      <c r="F48" s="121">
        <v>87000</v>
      </c>
      <c r="G48" s="122">
        <f t="shared" si="4"/>
        <v>2156730</v>
      </c>
      <c r="H48" s="123" t="s">
        <v>224</v>
      </c>
      <c r="I48" s="117" t="str">
        <f t="shared" si="5"/>
        <v>Sí</v>
      </c>
    </row>
    <row r="49" spans="1:9" x14ac:dyDescent="0.3">
      <c r="A49" s="109" t="s">
        <v>129</v>
      </c>
      <c r="B49" s="110">
        <f t="shared" si="6"/>
        <v>46323</v>
      </c>
      <c r="C49" s="111" t="s">
        <v>234</v>
      </c>
      <c r="D49" s="112" t="s">
        <v>216</v>
      </c>
      <c r="E49" s="113">
        <v>6.65</v>
      </c>
      <c r="F49" s="114">
        <v>93896</v>
      </c>
      <c r="G49" s="115">
        <f t="shared" si="4"/>
        <v>624408.4</v>
      </c>
      <c r="H49" s="116" t="s">
        <v>224</v>
      </c>
      <c r="I49" s="117" t="str">
        <f t="shared" si="5"/>
        <v>Sí</v>
      </c>
    </row>
    <row r="50" spans="1:9" x14ac:dyDescent="0.3">
      <c r="A50" s="109" t="s">
        <v>129</v>
      </c>
      <c r="B50" s="110">
        <f t="shared" si="6"/>
        <v>46323</v>
      </c>
      <c r="C50" s="118" t="s">
        <v>235</v>
      </c>
      <c r="D50" s="119" t="s">
        <v>173</v>
      </c>
      <c r="E50" s="120">
        <v>4</v>
      </c>
      <c r="F50" s="121">
        <v>105000</v>
      </c>
      <c r="G50" s="122">
        <f t="shared" si="4"/>
        <v>420000</v>
      </c>
      <c r="H50" s="123" t="s">
        <v>222</v>
      </c>
      <c r="I50" s="117" t="str">
        <f t="shared" si="5"/>
        <v>Sí</v>
      </c>
    </row>
    <row r="51" spans="1:9" x14ac:dyDescent="0.3">
      <c r="A51" s="109" t="s">
        <v>129</v>
      </c>
      <c r="B51" s="110">
        <f t="shared" si="6"/>
        <v>46323</v>
      </c>
      <c r="C51" s="111" t="s">
        <v>236</v>
      </c>
      <c r="D51" s="112" t="s">
        <v>216</v>
      </c>
      <c r="E51" s="113">
        <v>1.63</v>
      </c>
      <c r="F51" s="114">
        <v>124549</v>
      </c>
      <c r="G51" s="115">
        <f t="shared" si="4"/>
        <v>203014.87</v>
      </c>
      <c r="H51" s="116" t="s">
        <v>224</v>
      </c>
      <c r="I51" s="117" t="str">
        <f t="shared" si="5"/>
        <v>Sí</v>
      </c>
    </row>
    <row r="52" spans="1:9" x14ac:dyDescent="0.3">
      <c r="A52" s="109" t="s">
        <v>129</v>
      </c>
      <c r="B52" s="110">
        <f t="shared" si="6"/>
        <v>46323</v>
      </c>
      <c r="C52" s="118" t="s">
        <v>237</v>
      </c>
      <c r="D52" s="119" t="s">
        <v>216</v>
      </c>
      <c r="E52" s="120">
        <v>3.03</v>
      </c>
      <c r="F52" s="121">
        <v>47529</v>
      </c>
      <c r="G52" s="122">
        <f t="shared" si="4"/>
        <v>144012.87</v>
      </c>
      <c r="H52" s="123" t="s">
        <v>224</v>
      </c>
      <c r="I52" s="117" t="str">
        <f t="shared" si="5"/>
        <v>Sí</v>
      </c>
    </row>
    <row r="53" spans="1:9" x14ac:dyDescent="0.3">
      <c r="A53" s="109" t="s">
        <v>129</v>
      </c>
      <c r="B53" s="110">
        <f t="shared" si="6"/>
        <v>46323</v>
      </c>
      <c r="C53" s="111" t="s">
        <v>238</v>
      </c>
      <c r="D53" s="112" t="s">
        <v>173</v>
      </c>
      <c r="E53" s="113">
        <v>1</v>
      </c>
      <c r="F53" s="114">
        <v>123433</v>
      </c>
      <c r="G53" s="115">
        <f t="shared" si="4"/>
        <v>123433</v>
      </c>
      <c r="H53" s="116" t="s">
        <v>228</v>
      </c>
      <c r="I53" s="117" t="str">
        <f t="shared" si="5"/>
        <v>Sí</v>
      </c>
    </row>
    <row r="54" spans="1:9" x14ac:dyDescent="0.3">
      <c r="A54" s="109" t="s">
        <v>129</v>
      </c>
      <c r="B54" s="110">
        <f t="shared" si="6"/>
        <v>46323</v>
      </c>
      <c r="C54" s="118" t="s">
        <v>239</v>
      </c>
      <c r="D54" s="119" t="s">
        <v>173</v>
      </c>
      <c r="E54" s="120">
        <v>34.5</v>
      </c>
      <c r="F54" s="121">
        <v>3500</v>
      </c>
      <c r="G54" s="122">
        <f t="shared" si="4"/>
        <v>120750</v>
      </c>
      <c r="H54" s="123" t="s">
        <v>224</v>
      </c>
      <c r="I54" s="117" t="str">
        <f t="shared" si="5"/>
        <v>Sí</v>
      </c>
    </row>
    <row r="55" spans="1:9" x14ac:dyDescent="0.3">
      <c r="A55" s="109" t="s">
        <v>129</v>
      </c>
      <c r="B55" s="110">
        <f t="shared" si="6"/>
        <v>46323</v>
      </c>
      <c r="C55" s="111" t="s">
        <v>240</v>
      </c>
      <c r="D55" s="112" t="s">
        <v>173</v>
      </c>
      <c r="E55" s="113">
        <v>8</v>
      </c>
      <c r="F55" s="114">
        <v>14500</v>
      </c>
      <c r="G55" s="115">
        <f t="shared" si="4"/>
        <v>116000</v>
      </c>
      <c r="H55" s="116" t="s">
        <v>241</v>
      </c>
      <c r="I55" s="117" t="str">
        <f t="shared" si="5"/>
        <v>Sí</v>
      </c>
    </row>
    <row r="56" spans="1:9" x14ac:dyDescent="0.3">
      <c r="A56" s="109" t="s">
        <v>129</v>
      </c>
      <c r="B56" s="110">
        <f t="shared" si="6"/>
        <v>46323</v>
      </c>
      <c r="C56" s="118" t="s">
        <v>242</v>
      </c>
      <c r="D56" s="119" t="s">
        <v>167</v>
      </c>
      <c r="E56" s="120">
        <v>3</v>
      </c>
      <c r="F56" s="121">
        <v>31060</v>
      </c>
      <c r="G56" s="122">
        <f t="shared" si="4"/>
        <v>93180</v>
      </c>
      <c r="H56" s="123" t="s">
        <v>228</v>
      </c>
      <c r="I56" s="117" t="str">
        <f t="shared" si="5"/>
        <v>Sí</v>
      </c>
    </row>
    <row r="57" spans="1:9" x14ac:dyDescent="0.3">
      <c r="A57" s="109" t="s">
        <v>129</v>
      </c>
      <c r="B57" s="110">
        <f t="shared" si="6"/>
        <v>46323</v>
      </c>
      <c r="C57" s="111" t="s">
        <v>243</v>
      </c>
      <c r="D57" s="112" t="s">
        <v>173</v>
      </c>
      <c r="E57" s="113">
        <v>4</v>
      </c>
      <c r="F57" s="114">
        <v>18500</v>
      </c>
      <c r="G57" s="115">
        <f t="shared" si="4"/>
        <v>74000</v>
      </c>
      <c r="H57" s="116" t="s">
        <v>222</v>
      </c>
      <c r="I57" s="117" t="str">
        <f t="shared" si="5"/>
        <v>Sí</v>
      </c>
    </row>
    <row r="58" spans="1:9" x14ac:dyDescent="0.3">
      <c r="A58" s="109" t="s">
        <v>129</v>
      </c>
      <c r="B58" s="110">
        <f t="shared" si="6"/>
        <v>46323</v>
      </c>
      <c r="C58" s="118" t="s">
        <v>244</v>
      </c>
      <c r="D58" s="119" t="s">
        <v>184</v>
      </c>
      <c r="E58" s="120">
        <v>4.92</v>
      </c>
      <c r="F58" s="121">
        <v>13550</v>
      </c>
      <c r="G58" s="122">
        <f t="shared" si="4"/>
        <v>66666</v>
      </c>
      <c r="H58" s="123" t="s">
        <v>224</v>
      </c>
      <c r="I58" s="117" t="str">
        <f t="shared" si="5"/>
        <v>Sí</v>
      </c>
    </row>
    <row r="59" spans="1:9" x14ac:dyDescent="0.3">
      <c r="A59" s="109" t="s">
        <v>129</v>
      </c>
      <c r="B59" s="110">
        <f t="shared" si="6"/>
        <v>46323</v>
      </c>
      <c r="C59" s="111" t="s">
        <v>245</v>
      </c>
      <c r="D59" s="112" t="s">
        <v>173</v>
      </c>
      <c r="E59" s="113">
        <v>4</v>
      </c>
      <c r="F59" s="114">
        <v>12500</v>
      </c>
      <c r="G59" s="115">
        <f t="shared" si="4"/>
        <v>50000</v>
      </c>
      <c r="H59" s="116" t="s">
        <v>222</v>
      </c>
      <c r="I59" s="117" t="str">
        <f t="shared" si="5"/>
        <v>Sí</v>
      </c>
    </row>
    <row r="60" spans="1:9" x14ac:dyDescent="0.3">
      <c r="A60" s="109" t="s">
        <v>129</v>
      </c>
      <c r="B60" s="110">
        <f t="shared" si="6"/>
        <v>46323</v>
      </c>
      <c r="C60" s="118" t="s">
        <v>246</v>
      </c>
      <c r="D60" s="119" t="s">
        <v>173</v>
      </c>
      <c r="E60" s="120">
        <v>2</v>
      </c>
      <c r="F60" s="121">
        <v>18223</v>
      </c>
      <c r="G60" s="122">
        <f t="shared" si="4"/>
        <v>36446</v>
      </c>
      <c r="H60" s="123" t="s">
        <v>247</v>
      </c>
      <c r="I60" s="117" t="str">
        <f t="shared" si="5"/>
        <v>Sí</v>
      </c>
    </row>
    <row r="61" spans="1:9" x14ac:dyDescent="0.3">
      <c r="A61" s="109" t="s">
        <v>129</v>
      </c>
      <c r="B61" s="110">
        <f t="shared" si="6"/>
        <v>46323</v>
      </c>
      <c r="C61" s="111" t="s">
        <v>248</v>
      </c>
      <c r="D61" s="112" t="s">
        <v>173</v>
      </c>
      <c r="E61" s="113">
        <v>4</v>
      </c>
      <c r="F61" s="114">
        <v>8950</v>
      </c>
      <c r="G61" s="115">
        <f t="shared" si="4"/>
        <v>35800</v>
      </c>
      <c r="H61" s="116" t="s">
        <v>247</v>
      </c>
      <c r="I61" s="117" t="str">
        <f t="shared" si="5"/>
        <v>Sí</v>
      </c>
    </row>
    <row r="62" spans="1:9" x14ac:dyDescent="0.3">
      <c r="A62" s="109" t="s">
        <v>129</v>
      </c>
      <c r="B62" s="110">
        <f t="shared" si="6"/>
        <v>46323</v>
      </c>
      <c r="C62" s="118" t="s">
        <v>249</v>
      </c>
      <c r="D62" s="119" t="s">
        <v>173</v>
      </c>
      <c r="E62" s="120">
        <v>1</v>
      </c>
      <c r="F62" s="121">
        <v>35000</v>
      </c>
      <c r="G62" s="122">
        <f t="shared" si="4"/>
        <v>35000</v>
      </c>
      <c r="H62" s="123" t="s">
        <v>228</v>
      </c>
      <c r="I62" s="117" t="str">
        <f t="shared" si="5"/>
        <v>Sí</v>
      </c>
    </row>
    <row r="63" spans="1:9" x14ac:dyDescent="0.3">
      <c r="A63" s="109" t="s">
        <v>129</v>
      </c>
      <c r="B63" s="110">
        <f t="shared" si="6"/>
        <v>46323</v>
      </c>
      <c r="C63" s="111" t="s">
        <v>250</v>
      </c>
      <c r="D63" s="112" t="s">
        <v>173</v>
      </c>
      <c r="E63" s="113">
        <v>4</v>
      </c>
      <c r="F63" s="114">
        <v>4500</v>
      </c>
      <c r="G63" s="115">
        <f t="shared" si="4"/>
        <v>18000</v>
      </c>
      <c r="H63" s="116" t="s">
        <v>222</v>
      </c>
      <c r="I63" s="117" t="str">
        <f t="shared" si="5"/>
        <v>Sí</v>
      </c>
    </row>
    <row r="64" spans="1:9" x14ac:dyDescent="0.3">
      <c r="A64" s="109" t="s">
        <v>129</v>
      </c>
      <c r="B64" s="110">
        <f t="shared" si="6"/>
        <v>46323</v>
      </c>
      <c r="C64" s="118" t="s">
        <v>251</v>
      </c>
      <c r="D64" s="119" t="s">
        <v>173</v>
      </c>
      <c r="E64" s="120">
        <v>2</v>
      </c>
      <c r="F64" s="121">
        <v>2500</v>
      </c>
      <c r="G64" s="122">
        <f t="shared" si="4"/>
        <v>5000</v>
      </c>
      <c r="H64" s="123" t="s">
        <v>222</v>
      </c>
      <c r="I64" s="117" t="str">
        <f t="shared" si="5"/>
        <v>Sí</v>
      </c>
    </row>
    <row r="65" spans="1:9" x14ac:dyDescent="0.3">
      <c r="A65" s="109" t="s">
        <v>130</v>
      </c>
      <c r="B65" s="110">
        <f t="shared" ref="B65:B79" si="7">F_INICIO+7*5</f>
        <v>46330</v>
      </c>
      <c r="C65" s="111" t="s">
        <v>252</v>
      </c>
      <c r="D65" s="112" t="s">
        <v>167</v>
      </c>
      <c r="E65" s="113">
        <v>500</v>
      </c>
      <c r="F65" s="114">
        <v>10035</v>
      </c>
      <c r="G65" s="115">
        <f t="shared" si="4"/>
        <v>5017500</v>
      </c>
      <c r="H65" s="116" t="s">
        <v>253</v>
      </c>
      <c r="I65" s="117" t="str">
        <f t="shared" si="5"/>
        <v>Sí</v>
      </c>
    </row>
    <row r="66" spans="1:9" x14ac:dyDescent="0.3">
      <c r="A66" s="109" t="s">
        <v>130</v>
      </c>
      <c r="B66" s="110">
        <f t="shared" si="7"/>
        <v>46330</v>
      </c>
      <c r="C66" s="118" t="s">
        <v>254</v>
      </c>
      <c r="D66" s="119" t="s">
        <v>255</v>
      </c>
      <c r="E66" s="120">
        <v>115.71</v>
      </c>
      <c r="F66" s="121">
        <v>24018</v>
      </c>
      <c r="G66" s="122">
        <f t="shared" si="4"/>
        <v>2779122.78</v>
      </c>
      <c r="H66" s="123" t="s">
        <v>224</v>
      </c>
      <c r="I66" s="117" t="str">
        <f t="shared" si="5"/>
        <v>Sí</v>
      </c>
    </row>
    <row r="67" spans="1:9" x14ac:dyDescent="0.3">
      <c r="A67" s="109" t="s">
        <v>130</v>
      </c>
      <c r="B67" s="110">
        <f t="shared" si="7"/>
        <v>46330</v>
      </c>
      <c r="C67" s="111" t="s">
        <v>256</v>
      </c>
      <c r="D67" s="112" t="s">
        <v>173</v>
      </c>
      <c r="E67" s="113">
        <v>3</v>
      </c>
      <c r="F67" s="114">
        <v>250000</v>
      </c>
      <c r="G67" s="115">
        <f t="shared" si="4"/>
        <v>750000</v>
      </c>
      <c r="H67" s="116" t="s">
        <v>253</v>
      </c>
      <c r="I67" s="117" t="str">
        <f t="shared" si="5"/>
        <v>Sí</v>
      </c>
    </row>
    <row r="68" spans="1:9" x14ac:dyDescent="0.3">
      <c r="A68" s="109" t="s">
        <v>130</v>
      </c>
      <c r="B68" s="110">
        <f t="shared" si="7"/>
        <v>46330</v>
      </c>
      <c r="C68" s="118" t="s">
        <v>257</v>
      </c>
      <c r="D68" s="119" t="s">
        <v>173</v>
      </c>
      <c r="E68" s="120">
        <v>10</v>
      </c>
      <c r="F68" s="121">
        <v>65800</v>
      </c>
      <c r="G68" s="122">
        <f t="shared" si="4"/>
        <v>658000</v>
      </c>
      <c r="H68" s="123" t="s">
        <v>253</v>
      </c>
      <c r="I68" s="117" t="str">
        <f t="shared" si="5"/>
        <v>Sí</v>
      </c>
    </row>
    <row r="69" spans="1:9" x14ac:dyDescent="0.3">
      <c r="A69" s="109" t="s">
        <v>130</v>
      </c>
      <c r="B69" s="110">
        <f t="shared" si="7"/>
        <v>46330</v>
      </c>
      <c r="C69" s="111" t="s">
        <v>258</v>
      </c>
      <c r="D69" s="112" t="s">
        <v>208</v>
      </c>
      <c r="E69" s="113">
        <v>5.37</v>
      </c>
      <c r="F69" s="114">
        <v>110000</v>
      </c>
      <c r="G69" s="115">
        <f t="shared" ref="G69:G100" si="8">E69*F69</f>
        <v>590700</v>
      </c>
      <c r="H69" s="116" t="s">
        <v>224</v>
      </c>
      <c r="I69" s="117" t="str">
        <f t="shared" ref="I69:I87" si="9">IF(VALUE(MID(A69,2,2))&lt;=6,"Sí","Posterior")</f>
        <v>Sí</v>
      </c>
    </row>
    <row r="70" spans="1:9" x14ac:dyDescent="0.3">
      <c r="A70" s="109" t="s">
        <v>130</v>
      </c>
      <c r="B70" s="110">
        <f t="shared" si="7"/>
        <v>46330</v>
      </c>
      <c r="C70" s="118" t="s">
        <v>259</v>
      </c>
      <c r="D70" s="119" t="s">
        <v>173</v>
      </c>
      <c r="E70" s="120">
        <v>2</v>
      </c>
      <c r="F70" s="121">
        <v>75000</v>
      </c>
      <c r="G70" s="122">
        <f t="shared" si="8"/>
        <v>150000</v>
      </c>
      <c r="H70" s="123" t="s">
        <v>224</v>
      </c>
      <c r="I70" s="117" t="str">
        <f t="shared" si="9"/>
        <v>Sí</v>
      </c>
    </row>
    <row r="71" spans="1:9" x14ac:dyDescent="0.3">
      <c r="A71" s="109" t="s">
        <v>130</v>
      </c>
      <c r="B71" s="110">
        <f t="shared" si="7"/>
        <v>46330</v>
      </c>
      <c r="C71" s="111" t="s">
        <v>260</v>
      </c>
      <c r="D71" s="112" t="s">
        <v>208</v>
      </c>
      <c r="E71" s="113">
        <v>1.07</v>
      </c>
      <c r="F71" s="114">
        <v>105000</v>
      </c>
      <c r="G71" s="115">
        <f t="shared" si="8"/>
        <v>112350</v>
      </c>
      <c r="H71" s="116" t="s">
        <v>224</v>
      </c>
      <c r="I71" s="117" t="str">
        <f t="shared" si="9"/>
        <v>Sí</v>
      </c>
    </row>
    <row r="72" spans="1:9" x14ac:dyDescent="0.3">
      <c r="A72" s="109" t="s">
        <v>130</v>
      </c>
      <c r="B72" s="110">
        <f t="shared" si="7"/>
        <v>46330</v>
      </c>
      <c r="C72" s="118" t="s">
        <v>261</v>
      </c>
      <c r="D72" s="119" t="s">
        <v>173</v>
      </c>
      <c r="E72" s="120">
        <v>2</v>
      </c>
      <c r="F72" s="121">
        <v>45000</v>
      </c>
      <c r="G72" s="122">
        <f t="shared" si="8"/>
        <v>90000</v>
      </c>
      <c r="H72" s="123" t="s">
        <v>224</v>
      </c>
      <c r="I72" s="117" t="str">
        <f t="shared" si="9"/>
        <v>Sí</v>
      </c>
    </row>
    <row r="73" spans="1:9" x14ac:dyDescent="0.3">
      <c r="A73" s="109" t="s">
        <v>130</v>
      </c>
      <c r="B73" s="110">
        <f t="shared" si="7"/>
        <v>46330</v>
      </c>
      <c r="C73" s="111" t="s">
        <v>262</v>
      </c>
      <c r="D73" s="112" t="s">
        <v>173</v>
      </c>
      <c r="E73" s="113">
        <v>8</v>
      </c>
      <c r="F73" s="114">
        <v>9580</v>
      </c>
      <c r="G73" s="115">
        <f t="shared" si="8"/>
        <v>76640</v>
      </c>
      <c r="H73" s="116" t="s">
        <v>253</v>
      </c>
      <c r="I73" s="117" t="str">
        <f t="shared" si="9"/>
        <v>Sí</v>
      </c>
    </row>
    <row r="74" spans="1:9" x14ac:dyDescent="0.3">
      <c r="A74" s="109" t="s">
        <v>130</v>
      </c>
      <c r="B74" s="110">
        <f t="shared" si="7"/>
        <v>46330</v>
      </c>
      <c r="C74" s="118" t="s">
        <v>263</v>
      </c>
      <c r="D74" s="119" t="s">
        <v>184</v>
      </c>
      <c r="E74" s="120">
        <v>5.32</v>
      </c>
      <c r="F74" s="121">
        <v>12670</v>
      </c>
      <c r="G74" s="122">
        <f t="shared" si="8"/>
        <v>67404.400000000009</v>
      </c>
      <c r="H74" s="123" t="s">
        <v>224</v>
      </c>
      <c r="I74" s="117" t="str">
        <f t="shared" si="9"/>
        <v>Sí</v>
      </c>
    </row>
    <row r="75" spans="1:9" x14ac:dyDescent="0.3">
      <c r="A75" s="109" t="s">
        <v>130</v>
      </c>
      <c r="B75" s="110">
        <f t="shared" si="7"/>
        <v>46330</v>
      </c>
      <c r="C75" s="111" t="s">
        <v>264</v>
      </c>
      <c r="D75" s="112" t="s">
        <v>265</v>
      </c>
      <c r="E75" s="113">
        <v>53.31</v>
      </c>
      <c r="F75" s="114">
        <v>1162</v>
      </c>
      <c r="G75" s="115">
        <f t="shared" si="8"/>
        <v>61946.22</v>
      </c>
      <c r="H75" s="116" t="s">
        <v>224</v>
      </c>
      <c r="I75" s="117" t="str">
        <f t="shared" si="9"/>
        <v>Sí</v>
      </c>
    </row>
    <row r="76" spans="1:9" x14ac:dyDescent="0.3">
      <c r="A76" s="109" t="s">
        <v>130</v>
      </c>
      <c r="B76" s="110">
        <f t="shared" si="7"/>
        <v>46330</v>
      </c>
      <c r="C76" s="118" t="s">
        <v>266</v>
      </c>
      <c r="D76" s="119" t="s">
        <v>173</v>
      </c>
      <c r="E76" s="120">
        <v>8</v>
      </c>
      <c r="F76" s="121">
        <v>6550</v>
      </c>
      <c r="G76" s="122">
        <f t="shared" si="8"/>
        <v>52400</v>
      </c>
      <c r="H76" s="123" t="s">
        <v>253</v>
      </c>
      <c r="I76" s="117" t="str">
        <f t="shared" si="9"/>
        <v>Sí</v>
      </c>
    </row>
    <row r="77" spans="1:9" x14ac:dyDescent="0.3">
      <c r="A77" s="109" t="s">
        <v>130</v>
      </c>
      <c r="B77" s="110">
        <f t="shared" si="7"/>
        <v>46330</v>
      </c>
      <c r="C77" s="111" t="s">
        <v>267</v>
      </c>
      <c r="D77" s="112" t="s">
        <v>173</v>
      </c>
      <c r="E77" s="113">
        <v>4</v>
      </c>
      <c r="F77" s="114">
        <v>9680</v>
      </c>
      <c r="G77" s="115">
        <f t="shared" si="8"/>
        <v>38720</v>
      </c>
      <c r="H77" s="116" t="s">
        <v>253</v>
      </c>
      <c r="I77" s="117" t="str">
        <f t="shared" si="9"/>
        <v>Sí</v>
      </c>
    </row>
    <row r="78" spans="1:9" x14ac:dyDescent="0.3">
      <c r="A78" s="109" t="s">
        <v>130</v>
      </c>
      <c r="B78" s="110">
        <f t="shared" si="7"/>
        <v>46330</v>
      </c>
      <c r="C78" s="118" t="s">
        <v>268</v>
      </c>
      <c r="D78" s="119" t="s">
        <v>173</v>
      </c>
      <c r="E78" s="120">
        <v>4</v>
      </c>
      <c r="F78" s="121">
        <v>8500</v>
      </c>
      <c r="G78" s="122">
        <f t="shared" si="8"/>
        <v>34000</v>
      </c>
      <c r="H78" s="123" t="s">
        <v>224</v>
      </c>
      <c r="I78" s="117" t="str">
        <f t="shared" si="9"/>
        <v>Sí</v>
      </c>
    </row>
    <row r="79" spans="1:9" x14ac:dyDescent="0.3">
      <c r="A79" s="109" t="s">
        <v>130</v>
      </c>
      <c r="B79" s="110">
        <f t="shared" si="7"/>
        <v>46330</v>
      </c>
      <c r="C79" s="111" t="s">
        <v>269</v>
      </c>
      <c r="D79" s="112" t="s">
        <v>167</v>
      </c>
      <c r="E79" s="113">
        <v>0.25</v>
      </c>
      <c r="F79" s="114">
        <v>120973</v>
      </c>
      <c r="G79" s="115">
        <f t="shared" si="8"/>
        <v>30243.25</v>
      </c>
      <c r="H79" s="116" t="s">
        <v>253</v>
      </c>
      <c r="I79" s="117" t="str">
        <f t="shared" si="9"/>
        <v>Sí</v>
      </c>
    </row>
    <row r="80" spans="1:9" x14ac:dyDescent="0.3">
      <c r="A80" s="124" t="s">
        <v>131</v>
      </c>
      <c r="B80" s="110">
        <f t="shared" ref="B80:B85" si="10">F_INICIO+7*6</f>
        <v>46337</v>
      </c>
      <c r="C80" s="118" t="s">
        <v>270</v>
      </c>
      <c r="D80" s="119" t="s">
        <v>271</v>
      </c>
      <c r="E80" s="120">
        <v>9.33</v>
      </c>
      <c r="F80" s="121">
        <v>93896</v>
      </c>
      <c r="G80" s="122">
        <f t="shared" si="8"/>
        <v>876049.68</v>
      </c>
      <c r="H80" s="123" t="s">
        <v>224</v>
      </c>
      <c r="I80" s="117" t="str">
        <f t="shared" si="9"/>
        <v>Posterior</v>
      </c>
    </row>
    <row r="81" spans="1:9" x14ac:dyDescent="0.3">
      <c r="A81" s="124" t="s">
        <v>131</v>
      </c>
      <c r="B81" s="110">
        <f t="shared" si="10"/>
        <v>46337</v>
      </c>
      <c r="C81" s="111" t="s">
        <v>272</v>
      </c>
      <c r="D81" s="112" t="s">
        <v>173</v>
      </c>
      <c r="E81" s="113">
        <v>8</v>
      </c>
      <c r="F81" s="114">
        <v>18223</v>
      </c>
      <c r="G81" s="115">
        <f t="shared" si="8"/>
        <v>145784</v>
      </c>
      <c r="H81" s="116" t="s">
        <v>228</v>
      </c>
      <c r="I81" s="117" t="str">
        <f t="shared" si="9"/>
        <v>Posterior</v>
      </c>
    </row>
    <row r="82" spans="1:9" x14ac:dyDescent="0.3">
      <c r="A82" s="124" t="s">
        <v>131</v>
      </c>
      <c r="B82" s="110">
        <f t="shared" si="10"/>
        <v>46337</v>
      </c>
      <c r="C82" s="118" t="s">
        <v>273</v>
      </c>
      <c r="D82" s="119" t="s">
        <v>184</v>
      </c>
      <c r="E82" s="120">
        <v>18.61</v>
      </c>
      <c r="F82" s="121">
        <v>7058</v>
      </c>
      <c r="G82" s="122">
        <f t="shared" si="8"/>
        <v>131349.38</v>
      </c>
      <c r="H82" s="123" t="s">
        <v>224</v>
      </c>
      <c r="I82" s="117" t="str">
        <f t="shared" si="9"/>
        <v>Posterior</v>
      </c>
    </row>
    <row r="83" spans="1:9" x14ac:dyDescent="0.3">
      <c r="A83" s="124" t="s">
        <v>131</v>
      </c>
      <c r="B83" s="110">
        <f t="shared" si="10"/>
        <v>46337</v>
      </c>
      <c r="C83" s="111" t="s">
        <v>274</v>
      </c>
      <c r="D83" s="112" t="s">
        <v>216</v>
      </c>
      <c r="E83" s="113">
        <v>0.55000000000000004</v>
      </c>
      <c r="F83" s="114">
        <v>45945</v>
      </c>
      <c r="G83" s="115">
        <f t="shared" si="8"/>
        <v>25269.750000000004</v>
      </c>
      <c r="H83" s="116" t="s">
        <v>224</v>
      </c>
      <c r="I83" s="117" t="str">
        <f t="shared" si="9"/>
        <v>Posterior</v>
      </c>
    </row>
    <row r="84" spans="1:9" x14ac:dyDescent="0.3">
      <c r="A84" s="124" t="s">
        <v>131</v>
      </c>
      <c r="B84" s="110">
        <f t="shared" si="10"/>
        <v>46337</v>
      </c>
      <c r="C84" s="118" t="s">
        <v>275</v>
      </c>
      <c r="D84" s="119" t="s">
        <v>173</v>
      </c>
      <c r="E84" s="120">
        <v>0.53</v>
      </c>
      <c r="F84" s="121">
        <v>3500</v>
      </c>
      <c r="G84" s="122">
        <f t="shared" si="8"/>
        <v>1855</v>
      </c>
      <c r="H84" s="123" t="s">
        <v>224</v>
      </c>
      <c r="I84" s="117" t="str">
        <f t="shared" si="9"/>
        <v>Posterior</v>
      </c>
    </row>
    <row r="85" spans="1:9" x14ac:dyDescent="0.3">
      <c r="A85" s="124" t="s">
        <v>131</v>
      </c>
      <c r="B85" s="110">
        <f t="shared" si="10"/>
        <v>46337</v>
      </c>
      <c r="C85" s="111" t="s">
        <v>276</v>
      </c>
      <c r="D85" s="112" t="s">
        <v>173</v>
      </c>
      <c r="E85" s="113">
        <v>0.11</v>
      </c>
      <c r="F85" s="114">
        <v>3802</v>
      </c>
      <c r="G85" s="115">
        <f t="shared" si="8"/>
        <v>418.22</v>
      </c>
      <c r="H85" s="116" t="s">
        <v>224</v>
      </c>
      <c r="I85" s="117" t="str">
        <f t="shared" si="9"/>
        <v>Posterior</v>
      </c>
    </row>
    <row r="86" spans="1:9" x14ac:dyDescent="0.3">
      <c r="A86" s="124" t="s">
        <v>134</v>
      </c>
      <c r="B86" s="110">
        <f>F_INICIO+7*9</f>
        <v>46358</v>
      </c>
      <c r="C86" s="118" t="s">
        <v>277</v>
      </c>
      <c r="D86" s="119" t="s">
        <v>170</v>
      </c>
      <c r="E86" s="120">
        <v>0.5</v>
      </c>
      <c r="F86" s="121">
        <v>478326</v>
      </c>
      <c r="G86" s="122">
        <f t="shared" si="8"/>
        <v>239163</v>
      </c>
      <c r="H86" s="123" t="s">
        <v>228</v>
      </c>
      <c r="I86" s="117" t="str">
        <f t="shared" si="9"/>
        <v>Posterior</v>
      </c>
    </row>
    <row r="87" spans="1:9" x14ac:dyDescent="0.3">
      <c r="A87" s="124" t="s">
        <v>134</v>
      </c>
      <c r="B87" s="110">
        <f>F_INICIO+7*9</f>
        <v>46358</v>
      </c>
      <c r="C87" s="111" t="s">
        <v>278</v>
      </c>
      <c r="D87" s="112" t="s">
        <v>167</v>
      </c>
      <c r="E87" s="113">
        <v>2</v>
      </c>
      <c r="F87" s="114">
        <v>13002</v>
      </c>
      <c r="G87" s="115">
        <f t="shared" si="8"/>
        <v>26004</v>
      </c>
      <c r="H87" s="116" t="s">
        <v>228</v>
      </c>
      <c r="I87" s="117" t="str">
        <f t="shared" si="9"/>
        <v>Posterior</v>
      </c>
    </row>
    <row r="89" spans="1:9" ht="15" x14ac:dyDescent="0.3">
      <c r="A89" s="194" t="s">
        <v>279</v>
      </c>
      <c r="B89" s="194"/>
      <c r="C89" s="194"/>
      <c r="D89" s="194"/>
      <c r="E89" s="194"/>
      <c r="F89" s="194"/>
      <c r="G89" s="125">
        <f>SUM(G5:G87)</f>
        <v>85127032.490000039</v>
      </c>
      <c r="H89" s="126"/>
      <c r="I89" s="126"/>
    </row>
    <row r="90" spans="1:9" ht="30" customHeight="1" x14ac:dyDescent="0.3">
      <c r="A90" s="193" t="s">
        <v>280</v>
      </c>
      <c r="B90" s="193"/>
      <c r="C90" s="193"/>
      <c r="D90" s="193"/>
      <c r="E90" s="193"/>
      <c r="F90" s="193"/>
      <c r="G90" s="193"/>
      <c r="H90" s="193"/>
      <c r="I90" s="193"/>
    </row>
    <row r="91" spans="1:9" x14ac:dyDescent="0.3">
      <c r="A91" s="193"/>
      <c r="B91" s="193"/>
      <c r="C91" s="193"/>
      <c r="D91" s="193"/>
      <c r="E91" s="193"/>
      <c r="F91" s="193"/>
      <c r="G91" s="193"/>
      <c r="H91" s="193"/>
      <c r="I91" s="193"/>
    </row>
  </sheetData>
  <autoFilter ref="A4:I87" xr:uid="{00000000-0009-0000-0000-000004000000}"/>
  <mergeCells count="4">
    <mergeCell ref="A1:I1"/>
    <mergeCell ref="A2:I2"/>
    <mergeCell ref="A89:F89"/>
    <mergeCell ref="A90:I91"/>
  </mergeCells>
  <conditionalFormatting sqref="I5:I87">
    <cfRule type="cellIs" dxfId="0" priority="2" operator="equal">
      <formula>"Sí"</formula>
    </cfRule>
  </conditionalFormatting>
  <printOptions horizontalCentered="1"/>
  <pageMargins left="0.4" right="0.4" top="0.5" bottom="0.5" header="0.511811023622047" footer="0.5"/>
  <pageSetup scale="64" fitToHeight="0" orientation="portrait" horizontalDpi="300" verticalDpi="300" r:id="rId1"/>
  <headerFooter>
    <oddFooter>&amp;C&amp;8 Plan de Inversión del Anticipo – Contrato de Obra No. 233 de 2026 – Página &amp;P de &amp;N</oddFooter>
  </headerFooter>
  <rowBreaks count="1" manualBreakCount="1">
    <brk id="6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6B7B8C"/>
    <pageSetUpPr fitToPage="1"/>
  </sheetPr>
  <dimension ref="A1:S106"/>
  <sheetViews>
    <sheetView showGridLines="0" zoomScale="90" zoomScaleNormal="90" workbookViewId="0">
      <pane xSplit="4" ySplit="4" topLeftCell="E95" activePane="bottomRight" state="frozen"/>
      <selection pane="topRight" activeCell="E1" sqref="E1"/>
      <selection pane="bottomLeft" activeCell="A5" sqref="A5"/>
      <selection pane="bottomRight" sqref="A1:S1"/>
    </sheetView>
  </sheetViews>
  <sheetFormatPr baseColWidth="10" defaultColWidth="8.6640625" defaultRowHeight="14.4" x14ac:dyDescent="0.3"/>
  <cols>
    <col min="1" max="1" width="5" customWidth="1"/>
    <col min="2" max="2" width="24" customWidth="1"/>
    <col min="3" max="3" width="6" customWidth="1"/>
    <col min="4" max="4" width="46" customWidth="1"/>
    <col min="5" max="5" width="7" customWidth="1"/>
    <col min="6" max="6" width="10" customWidth="1"/>
    <col min="7" max="7" width="13" customWidth="1"/>
    <col min="8" max="8" width="15" customWidth="1"/>
    <col min="9" max="9" width="13" customWidth="1"/>
    <col min="10" max="11" width="10" customWidth="1"/>
    <col min="12" max="12" width="9" customWidth="1"/>
    <col min="13" max="13" width="10" customWidth="1"/>
    <col min="14" max="14" width="9" customWidth="1"/>
    <col min="15" max="16" width="14" customWidth="1"/>
    <col min="17" max="17" width="12" customWidth="1"/>
    <col min="18" max="18" width="14" customWidth="1"/>
    <col min="19" max="19" width="34" customWidth="1"/>
  </cols>
  <sheetData>
    <row r="1" spans="1:19" ht="33.75" customHeight="1" x14ac:dyDescent="0.3">
      <c r="A1" s="165" t="s">
        <v>281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30" customHeight="1" x14ac:dyDescent="0.3">
      <c r="A2" s="12" t="s">
        <v>282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4" spans="1:19" ht="36" customHeight="1" x14ac:dyDescent="0.3">
      <c r="A4" s="17" t="s">
        <v>122</v>
      </c>
      <c r="B4" s="17" t="s">
        <v>283</v>
      </c>
      <c r="C4" s="17" t="s">
        <v>87</v>
      </c>
      <c r="D4" s="17" t="s">
        <v>88</v>
      </c>
      <c r="E4" s="17" t="s">
        <v>89</v>
      </c>
      <c r="F4" s="17" t="s">
        <v>90</v>
      </c>
      <c r="G4" s="17" t="s">
        <v>284</v>
      </c>
      <c r="H4" s="17" t="s">
        <v>285</v>
      </c>
      <c r="I4" s="17" t="s">
        <v>286</v>
      </c>
      <c r="J4" s="17" t="s">
        <v>287</v>
      </c>
      <c r="K4" s="17" t="s">
        <v>288</v>
      </c>
      <c r="L4" s="17" t="s">
        <v>289</v>
      </c>
      <c r="M4" s="17" t="s">
        <v>290</v>
      </c>
      <c r="N4" s="17" t="s">
        <v>291</v>
      </c>
      <c r="O4" s="17" t="s">
        <v>292</v>
      </c>
      <c r="P4" s="17" t="s">
        <v>293</v>
      </c>
      <c r="Q4" s="17" t="s">
        <v>294</v>
      </c>
      <c r="R4" s="17" t="s">
        <v>295</v>
      </c>
      <c r="S4" s="17" t="s">
        <v>296</v>
      </c>
    </row>
    <row r="5" spans="1:19" ht="26.4" x14ac:dyDescent="0.3">
      <c r="A5" s="112">
        <v>1</v>
      </c>
      <c r="B5" s="127" t="s">
        <v>22</v>
      </c>
      <c r="C5" s="112" t="s">
        <v>297</v>
      </c>
      <c r="D5" s="128" t="s">
        <v>298</v>
      </c>
      <c r="E5" s="112" t="s">
        <v>167</v>
      </c>
      <c r="F5" s="113">
        <v>250</v>
      </c>
      <c r="G5" s="114">
        <v>2707</v>
      </c>
      <c r="H5" s="115">
        <f t="shared" ref="H5:H36" si="0">ROUND(F5*G5,0)</f>
        <v>676750</v>
      </c>
      <c r="I5" s="112" t="s">
        <v>299</v>
      </c>
      <c r="J5" s="129">
        <v>0.16476777349233801</v>
      </c>
      <c r="K5" s="129">
        <v>0.70223581741070795</v>
      </c>
      <c r="L5" s="129">
        <v>0.13299640909695401</v>
      </c>
      <c r="M5" s="129">
        <v>0</v>
      </c>
      <c r="N5" s="130">
        <f t="shared" ref="N5:N36" si="1">SUM(J5:M5)</f>
        <v>1</v>
      </c>
      <c r="O5" s="115">
        <f t="shared" ref="O5:O36" si="2">H5*J5</f>
        <v>111506.59071093975</v>
      </c>
      <c r="P5" s="115">
        <f t="shared" ref="P5:P36" si="3">H5*K5</f>
        <v>475238.08943269658</v>
      </c>
      <c r="Q5" s="115">
        <f t="shared" ref="Q5:Q36" si="4">H5*L5</f>
        <v>90005.319856363625</v>
      </c>
      <c r="R5" s="115">
        <f t="shared" ref="R5:R36" si="5">H5*M5</f>
        <v>0</v>
      </c>
      <c r="S5" s="128" t="s">
        <v>300</v>
      </c>
    </row>
    <row r="6" spans="1:19" ht="26.4" x14ac:dyDescent="0.3">
      <c r="A6" s="119">
        <v>2</v>
      </c>
      <c r="B6" s="127" t="s">
        <v>22</v>
      </c>
      <c r="C6" s="119" t="s">
        <v>301</v>
      </c>
      <c r="D6" s="131" t="s">
        <v>302</v>
      </c>
      <c r="E6" s="119" t="s">
        <v>303</v>
      </c>
      <c r="F6" s="120">
        <v>1</v>
      </c>
      <c r="G6" s="121">
        <v>187668</v>
      </c>
      <c r="H6" s="122">
        <f t="shared" si="0"/>
        <v>187668</v>
      </c>
      <c r="I6" s="119" t="s">
        <v>304</v>
      </c>
      <c r="J6" s="132">
        <v>0</v>
      </c>
      <c r="K6" s="132">
        <v>0</v>
      </c>
      <c r="L6" s="132">
        <v>0</v>
      </c>
      <c r="M6" s="132">
        <v>1</v>
      </c>
      <c r="N6" s="133">
        <f t="shared" si="1"/>
        <v>1</v>
      </c>
      <c r="O6" s="122">
        <f t="shared" si="2"/>
        <v>0</v>
      </c>
      <c r="P6" s="122">
        <f t="shared" si="3"/>
        <v>0</v>
      </c>
      <c r="Q6" s="122">
        <f t="shared" si="4"/>
        <v>0</v>
      </c>
      <c r="R6" s="122">
        <f t="shared" si="5"/>
        <v>187668</v>
      </c>
      <c r="S6" s="131" t="s">
        <v>302</v>
      </c>
    </row>
    <row r="7" spans="1:19" x14ac:dyDescent="0.3">
      <c r="A7" s="112">
        <v>3</v>
      </c>
      <c r="B7" s="127" t="s">
        <v>22</v>
      </c>
      <c r="C7" s="112" t="s">
        <v>305</v>
      </c>
      <c r="D7" s="128" t="s">
        <v>306</v>
      </c>
      <c r="E7" s="112" t="s">
        <v>170</v>
      </c>
      <c r="F7" s="113">
        <v>37.5</v>
      </c>
      <c r="G7" s="114">
        <v>46775</v>
      </c>
      <c r="H7" s="115">
        <f t="shared" si="0"/>
        <v>1754063</v>
      </c>
      <c r="I7" s="112" t="s">
        <v>299</v>
      </c>
      <c r="J7" s="129">
        <v>0</v>
      </c>
      <c r="K7" s="129">
        <v>0.96619895094411801</v>
      </c>
      <c r="L7" s="129">
        <v>3.3801049055881903E-2</v>
      </c>
      <c r="M7" s="129">
        <v>0</v>
      </c>
      <c r="N7" s="130">
        <f t="shared" si="1"/>
        <v>0.99999999999999989</v>
      </c>
      <c r="O7" s="115">
        <f t="shared" si="2"/>
        <v>0</v>
      </c>
      <c r="P7" s="115">
        <f t="shared" si="3"/>
        <v>1694773.8304898925</v>
      </c>
      <c r="Q7" s="115">
        <f t="shared" si="4"/>
        <v>59289.169510107378</v>
      </c>
      <c r="R7" s="115">
        <f t="shared" si="5"/>
        <v>0</v>
      </c>
      <c r="S7" s="128" t="s">
        <v>307</v>
      </c>
    </row>
    <row r="8" spans="1:19" x14ac:dyDescent="0.3">
      <c r="A8" s="119">
        <v>4</v>
      </c>
      <c r="B8" s="127" t="s">
        <v>22</v>
      </c>
      <c r="C8" s="119" t="s">
        <v>308</v>
      </c>
      <c r="D8" s="131" t="s">
        <v>309</v>
      </c>
      <c r="E8" s="119" t="s">
        <v>173</v>
      </c>
      <c r="F8" s="120">
        <v>2</v>
      </c>
      <c r="G8" s="121">
        <v>609032</v>
      </c>
      <c r="H8" s="122">
        <f t="shared" si="0"/>
        <v>1218064</v>
      </c>
      <c r="I8" s="119" t="s">
        <v>299</v>
      </c>
      <c r="J8" s="132">
        <v>0.88724017981548398</v>
      </c>
      <c r="K8" s="132">
        <v>0.108385656380805</v>
      </c>
      <c r="L8" s="132">
        <v>4.3741638037107303E-3</v>
      </c>
      <c r="M8" s="132">
        <v>0</v>
      </c>
      <c r="N8" s="133">
        <f t="shared" si="1"/>
        <v>0.99999999999999967</v>
      </c>
      <c r="O8" s="122">
        <f t="shared" si="2"/>
        <v>1080715.3223867677</v>
      </c>
      <c r="P8" s="122">
        <f t="shared" si="3"/>
        <v>132020.66615382885</v>
      </c>
      <c r="Q8" s="122">
        <f t="shared" si="4"/>
        <v>5328.0114594031065</v>
      </c>
      <c r="R8" s="122">
        <f t="shared" si="5"/>
        <v>0</v>
      </c>
      <c r="S8" s="131" t="s">
        <v>309</v>
      </c>
    </row>
    <row r="9" spans="1:19" x14ac:dyDescent="0.3">
      <c r="A9" s="112">
        <v>5</v>
      </c>
      <c r="B9" s="127" t="s">
        <v>22</v>
      </c>
      <c r="C9" s="112" t="s">
        <v>310</v>
      </c>
      <c r="D9" s="128" t="s">
        <v>311</v>
      </c>
      <c r="E9" s="112" t="s">
        <v>173</v>
      </c>
      <c r="F9" s="113">
        <v>1</v>
      </c>
      <c r="G9" s="114">
        <v>189699</v>
      </c>
      <c r="H9" s="115">
        <f t="shared" si="0"/>
        <v>189699</v>
      </c>
      <c r="I9" s="112" t="s">
        <v>299</v>
      </c>
      <c r="J9" s="129">
        <v>0.90292928109026804</v>
      </c>
      <c r="K9" s="129">
        <v>8.7653242264507103E-2</v>
      </c>
      <c r="L9" s="129">
        <v>9.4174766452246698E-3</v>
      </c>
      <c r="M9" s="129">
        <v>0</v>
      </c>
      <c r="N9" s="130">
        <f t="shared" si="1"/>
        <v>0.99999999999999978</v>
      </c>
      <c r="O9" s="115">
        <f t="shared" si="2"/>
        <v>171284.78169354275</v>
      </c>
      <c r="P9" s="115">
        <f t="shared" si="3"/>
        <v>16627.732404334733</v>
      </c>
      <c r="Q9" s="115">
        <f t="shared" si="4"/>
        <v>1786.4859021224747</v>
      </c>
      <c r="R9" s="115">
        <f t="shared" si="5"/>
        <v>0</v>
      </c>
      <c r="S9" s="128" t="s">
        <v>311</v>
      </c>
    </row>
    <row r="10" spans="1:19" x14ac:dyDescent="0.3">
      <c r="A10" s="119">
        <v>6</v>
      </c>
      <c r="B10" s="127" t="s">
        <v>22</v>
      </c>
      <c r="C10" s="119" t="s">
        <v>312</v>
      </c>
      <c r="D10" s="131" t="s">
        <v>313</v>
      </c>
      <c r="E10" s="119" t="s">
        <v>170</v>
      </c>
      <c r="F10" s="120">
        <v>3.5</v>
      </c>
      <c r="G10" s="121">
        <v>72762</v>
      </c>
      <c r="H10" s="122">
        <f t="shared" si="0"/>
        <v>254667</v>
      </c>
      <c r="I10" s="119" t="s">
        <v>299</v>
      </c>
      <c r="J10" s="132">
        <v>0.900909574811944</v>
      </c>
      <c r="K10" s="132">
        <v>9.6765940941594894E-2</v>
      </c>
      <c r="L10" s="132">
        <v>2.32448424646135E-3</v>
      </c>
      <c r="M10" s="132">
        <v>0</v>
      </c>
      <c r="N10" s="133">
        <f t="shared" si="1"/>
        <v>1.0000000000000002</v>
      </c>
      <c r="O10" s="122">
        <f t="shared" si="2"/>
        <v>229431.93868863335</v>
      </c>
      <c r="P10" s="122">
        <f t="shared" si="3"/>
        <v>24643.091881773147</v>
      </c>
      <c r="Q10" s="122">
        <f t="shared" si="4"/>
        <v>591.96942959357261</v>
      </c>
      <c r="R10" s="122">
        <f t="shared" si="5"/>
        <v>0</v>
      </c>
      <c r="S10" s="131" t="s">
        <v>313</v>
      </c>
    </row>
    <row r="11" spans="1:19" x14ac:dyDescent="0.3">
      <c r="A11" s="112">
        <v>7</v>
      </c>
      <c r="B11" s="127" t="s">
        <v>22</v>
      </c>
      <c r="C11" s="112" t="s">
        <v>314</v>
      </c>
      <c r="D11" s="128" t="s">
        <v>315</v>
      </c>
      <c r="E11" s="112" t="s">
        <v>167</v>
      </c>
      <c r="F11" s="113">
        <v>250</v>
      </c>
      <c r="G11" s="114">
        <v>31077</v>
      </c>
      <c r="H11" s="115">
        <f t="shared" si="0"/>
        <v>7769250</v>
      </c>
      <c r="I11" s="112" t="s">
        <v>299</v>
      </c>
      <c r="J11" s="129">
        <v>0.65470110070972398</v>
      </c>
      <c r="K11" s="129">
        <v>0.318093455368262</v>
      </c>
      <c r="L11" s="129">
        <v>2.72054439220141E-2</v>
      </c>
      <c r="M11" s="129">
        <v>0</v>
      </c>
      <c r="N11" s="130">
        <f t="shared" si="1"/>
        <v>1.0000000000000002</v>
      </c>
      <c r="O11" s="115">
        <f t="shared" si="2"/>
        <v>5086536.5266890228</v>
      </c>
      <c r="P11" s="115">
        <f t="shared" si="3"/>
        <v>2471347.5781198693</v>
      </c>
      <c r="Q11" s="115">
        <f t="shared" si="4"/>
        <v>211365.89519110805</v>
      </c>
      <c r="R11" s="115">
        <f t="shared" si="5"/>
        <v>0</v>
      </c>
      <c r="S11" s="128" t="s">
        <v>316</v>
      </c>
    </row>
    <row r="12" spans="1:19" x14ac:dyDescent="0.3">
      <c r="A12" s="119">
        <v>8</v>
      </c>
      <c r="B12" s="127" t="s">
        <v>22</v>
      </c>
      <c r="C12" s="119" t="s">
        <v>317</v>
      </c>
      <c r="D12" s="131" t="s">
        <v>318</v>
      </c>
      <c r="E12" s="119" t="s">
        <v>173</v>
      </c>
      <c r="F12" s="120">
        <v>3</v>
      </c>
      <c r="G12" s="121">
        <v>605827</v>
      </c>
      <c r="H12" s="122">
        <f t="shared" si="0"/>
        <v>1817481</v>
      </c>
      <c r="I12" s="119" t="s">
        <v>299</v>
      </c>
      <c r="J12" s="132">
        <v>0.567202024857281</v>
      </c>
      <c r="K12" s="132">
        <v>0.43251870955503102</v>
      </c>
      <c r="L12" s="132">
        <v>2.7926558768799002E-4</v>
      </c>
      <c r="M12" s="132">
        <v>0</v>
      </c>
      <c r="N12" s="133">
        <f t="shared" si="1"/>
        <v>1</v>
      </c>
      <c r="O12" s="122">
        <f t="shared" si="2"/>
        <v>1030878.9033396359</v>
      </c>
      <c r="P12" s="122">
        <f t="shared" si="3"/>
        <v>786094.53676078736</v>
      </c>
      <c r="Q12" s="122">
        <f t="shared" si="4"/>
        <v>507.55989957675581</v>
      </c>
      <c r="R12" s="122">
        <f t="shared" si="5"/>
        <v>0</v>
      </c>
      <c r="S12" s="131" t="s">
        <v>318</v>
      </c>
    </row>
    <row r="13" spans="1:19" ht="26.4" x14ac:dyDescent="0.3">
      <c r="A13" s="112">
        <v>9</v>
      </c>
      <c r="B13" s="127" t="s">
        <v>22</v>
      </c>
      <c r="C13" s="112" t="s">
        <v>319</v>
      </c>
      <c r="D13" s="128" t="s">
        <v>320</v>
      </c>
      <c r="E13" s="112" t="s">
        <v>321</v>
      </c>
      <c r="F13" s="113">
        <v>9</v>
      </c>
      <c r="G13" s="114">
        <v>9353</v>
      </c>
      <c r="H13" s="115">
        <f t="shared" si="0"/>
        <v>84177</v>
      </c>
      <c r="I13" s="112" t="s">
        <v>304</v>
      </c>
      <c r="J13" s="129">
        <v>0</v>
      </c>
      <c r="K13" s="129">
        <v>0</v>
      </c>
      <c r="L13" s="129">
        <v>0</v>
      </c>
      <c r="M13" s="129">
        <v>1</v>
      </c>
      <c r="N13" s="130">
        <f t="shared" si="1"/>
        <v>1</v>
      </c>
      <c r="O13" s="115">
        <f t="shared" si="2"/>
        <v>0</v>
      </c>
      <c r="P13" s="115">
        <f t="shared" si="3"/>
        <v>0</v>
      </c>
      <c r="Q13" s="115">
        <f t="shared" si="4"/>
        <v>0</v>
      </c>
      <c r="R13" s="115">
        <f t="shared" si="5"/>
        <v>84177</v>
      </c>
      <c r="S13" s="128" t="s">
        <v>320</v>
      </c>
    </row>
    <row r="14" spans="1:19" ht="26.4" x14ac:dyDescent="0.3">
      <c r="A14" s="119">
        <v>10</v>
      </c>
      <c r="B14" s="127" t="s">
        <v>22</v>
      </c>
      <c r="C14" s="119" t="s">
        <v>322</v>
      </c>
      <c r="D14" s="131" t="s">
        <v>323</v>
      </c>
      <c r="E14" s="119" t="s">
        <v>170</v>
      </c>
      <c r="F14" s="120">
        <v>2</v>
      </c>
      <c r="G14" s="121">
        <v>27641</v>
      </c>
      <c r="H14" s="122">
        <f t="shared" si="0"/>
        <v>55282</v>
      </c>
      <c r="I14" s="119" t="s">
        <v>304</v>
      </c>
      <c r="J14" s="132">
        <v>0</v>
      </c>
      <c r="K14" s="132">
        <v>0</v>
      </c>
      <c r="L14" s="132">
        <v>0</v>
      </c>
      <c r="M14" s="132">
        <v>1</v>
      </c>
      <c r="N14" s="133">
        <f t="shared" si="1"/>
        <v>1</v>
      </c>
      <c r="O14" s="122">
        <f t="shared" si="2"/>
        <v>0</v>
      </c>
      <c r="P14" s="122">
        <f t="shared" si="3"/>
        <v>0</v>
      </c>
      <c r="Q14" s="122">
        <f t="shared" si="4"/>
        <v>0</v>
      </c>
      <c r="R14" s="122">
        <f t="shared" si="5"/>
        <v>55282</v>
      </c>
      <c r="S14" s="131" t="s">
        <v>323</v>
      </c>
    </row>
    <row r="15" spans="1:19" ht="26.4" x14ac:dyDescent="0.3">
      <c r="A15" s="112">
        <v>11</v>
      </c>
      <c r="B15" s="127" t="s">
        <v>22</v>
      </c>
      <c r="C15" s="112" t="s">
        <v>324</v>
      </c>
      <c r="D15" s="128" t="s">
        <v>325</v>
      </c>
      <c r="E15" s="112" t="s">
        <v>326</v>
      </c>
      <c r="F15" s="113">
        <v>60</v>
      </c>
      <c r="G15" s="114">
        <v>13092</v>
      </c>
      <c r="H15" s="115">
        <f t="shared" si="0"/>
        <v>785520</v>
      </c>
      <c r="I15" s="112" t="s">
        <v>304</v>
      </c>
      <c r="J15" s="129">
        <v>0</v>
      </c>
      <c r="K15" s="129">
        <v>0</v>
      </c>
      <c r="L15" s="129">
        <v>0</v>
      </c>
      <c r="M15" s="129">
        <v>1</v>
      </c>
      <c r="N15" s="130">
        <f t="shared" si="1"/>
        <v>1</v>
      </c>
      <c r="O15" s="115">
        <f t="shared" si="2"/>
        <v>0</v>
      </c>
      <c r="P15" s="115">
        <f t="shared" si="3"/>
        <v>0</v>
      </c>
      <c r="Q15" s="115">
        <f t="shared" si="4"/>
        <v>0</v>
      </c>
      <c r="R15" s="115">
        <f t="shared" si="5"/>
        <v>785520</v>
      </c>
      <c r="S15" s="128" t="s">
        <v>325</v>
      </c>
    </row>
    <row r="16" spans="1:19" ht="26.4" x14ac:dyDescent="0.3">
      <c r="A16" s="119">
        <v>12</v>
      </c>
      <c r="B16" s="134" t="s">
        <v>23</v>
      </c>
      <c r="C16" s="119" t="s">
        <v>297</v>
      </c>
      <c r="D16" s="131" t="s">
        <v>327</v>
      </c>
      <c r="E16" s="119" t="s">
        <v>328</v>
      </c>
      <c r="F16" s="120">
        <v>29</v>
      </c>
      <c r="G16" s="121">
        <v>3044</v>
      </c>
      <c r="H16" s="122">
        <f t="shared" si="0"/>
        <v>88276</v>
      </c>
      <c r="I16" s="119" t="s">
        <v>299</v>
      </c>
      <c r="J16" s="132">
        <v>0.14715246777328</v>
      </c>
      <c r="K16" s="132">
        <v>0.73406975554873699</v>
      </c>
      <c r="L16" s="132">
        <v>0.118777776677984</v>
      </c>
      <c r="M16" s="132">
        <v>0</v>
      </c>
      <c r="N16" s="133">
        <f t="shared" si="1"/>
        <v>1.0000000000000011</v>
      </c>
      <c r="O16" s="122">
        <f t="shared" si="2"/>
        <v>12990.031245154065</v>
      </c>
      <c r="P16" s="122">
        <f t="shared" si="3"/>
        <v>64800.741740820304</v>
      </c>
      <c r="Q16" s="122">
        <f t="shared" si="4"/>
        <v>10485.227014025715</v>
      </c>
      <c r="R16" s="122">
        <f t="shared" si="5"/>
        <v>0</v>
      </c>
      <c r="S16" s="131" t="s">
        <v>327</v>
      </c>
    </row>
    <row r="17" spans="1:19" ht="26.4" x14ac:dyDescent="0.3">
      <c r="A17" s="112">
        <v>13</v>
      </c>
      <c r="B17" s="134" t="s">
        <v>23</v>
      </c>
      <c r="C17" s="112" t="s">
        <v>301</v>
      </c>
      <c r="D17" s="128" t="s">
        <v>302</v>
      </c>
      <c r="E17" s="112" t="s">
        <v>303</v>
      </c>
      <c r="F17" s="113">
        <v>2</v>
      </c>
      <c r="G17" s="114">
        <v>187668</v>
      </c>
      <c r="H17" s="115">
        <f t="shared" si="0"/>
        <v>375336</v>
      </c>
      <c r="I17" s="112" t="s">
        <v>304</v>
      </c>
      <c r="J17" s="129">
        <v>0</v>
      </c>
      <c r="K17" s="129">
        <v>0</v>
      </c>
      <c r="L17" s="129">
        <v>0</v>
      </c>
      <c r="M17" s="129">
        <v>1</v>
      </c>
      <c r="N17" s="130">
        <f t="shared" si="1"/>
        <v>1</v>
      </c>
      <c r="O17" s="115">
        <f t="shared" si="2"/>
        <v>0</v>
      </c>
      <c r="P17" s="115">
        <f t="shared" si="3"/>
        <v>0</v>
      </c>
      <c r="Q17" s="115">
        <f t="shared" si="4"/>
        <v>0</v>
      </c>
      <c r="R17" s="115">
        <f t="shared" si="5"/>
        <v>375336</v>
      </c>
      <c r="S17" s="128" t="s">
        <v>302</v>
      </c>
    </row>
    <row r="18" spans="1:19" x14ac:dyDescent="0.3">
      <c r="A18" s="119">
        <v>14</v>
      </c>
      <c r="B18" s="134" t="s">
        <v>23</v>
      </c>
      <c r="C18" s="119" t="s">
        <v>305</v>
      </c>
      <c r="D18" s="131" t="s">
        <v>306</v>
      </c>
      <c r="E18" s="119" t="s">
        <v>170</v>
      </c>
      <c r="F18" s="120">
        <v>74.44</v>
      </c>
      <c r="G18" s="121">
        <v>46775</v>
      </c>
      <c r="H18" s="122">
        <f t="shared" si="0"/>
        <v>3481931</v>
      </c>
      <c r="I18" s="119" t="s">
        <v>299</v>
      </c>
      <c r="J18" s="132">
        <v>0</v>
      </c>
      <c r="K18" s="132">
        <v>0.96619895094411801</v>
      </c>
      <c r="L18" s="132">
        <v>3.3801049055881903E-2</v>
      </c>
      <c r="M18" s="132">
        <v>0</v>
      </c>
      <c r="N18" s="133">
        <f t="shared" si="1"/>
        <v>0.99999999999999989</v>
      </c>
      <c r="O18" s="122">
        <f t="shared" si="2"/>
        <v>0</v>
      </c>
      <c r="P18" s="122">
        <f t="shared" si="3"/>
        <v>3364238.0794598036</v>
      </c>
      <c r="Q18" s="122">
        <f t="shared" si="4"/>
        <v>117692.92054019593</v>
      </c>
      <c r="R18" s="122">
        <f t="shared" si="5"/>
        <v>0</v>
      </c>
      <c r="S18" s="131" t="s">
        <v>307</v>
      </c>
    </row>
    <row r="19" spans="1:19" ht="26.4" x14ac:dyDescent="0.3">
      <c r="A19" s="112">
        <v>15</v>
      </c>
      <c r="B19" s="134" t="s">
        <v>23</v>
      </c>
      <c r="C19" s="112" t="s">
        <v>308</v>
      </c>
      <c r="D19" s="128" t="s">
        <v>329</v>
      </c>
      <c r="E19" s="112" t="s">
        <v>255</v>
      </c>
      <c r="F19" s="113">
        <v>5.82</v>
      </c>
      <c r="G19" s="114">
        <v>38953</v>
      </c>
      <c r="H19" s="115">
        <f t="shared" si="0"/>
        <v>226706</v>
      </c>
      <c r="I19" s="112" t="s">
        <v>299</v>
      </c>
      <c r="J19" s="129">
        <v>0.61569651145727899</v>
      </c>
      <c r="K19" s="129">
        <v>0.37995278586562298</v>
      </c>
      <c r="L19" s="129">
        <v>4.3507026770980596E-3</v>
      </c>
      <c r="M19" s="129">
        <v>0</v>
      </c>
      <c r="N19" s="130">
        <f t="shared" si="1"/>
        <v>1</v>
      </c>
      <c r="O19" s="115">
        <f t="shared" si="2"/>
        <v>139582.09332643388</v>
      </c>
      <c r="P19" s="115">
        <f t="shared" si="3"/>
        <v>86137.576272451915</v>
      </c>
      <c r="Q19" s="115">
        <f t="shared" si="4"/>
        <v>986.33040111419268</v>
      </c>
      <c r="R19" s="115">
        <f t="shared" si="5"/>
        <v>0</v>
      </c>
      <c r="S19" s="128" t="s">
        <v>329</v>
      </c>
    </row>
    <row r="20" spans="1:19" ht="26.4" x14ac:dyDescent="0.3">
      <c r="A20" s="119">
        <v>16</v>
      </c>
      <c r="B20" s="134" t="s">
        <v>23</v>
      </c>
      <c r="C20" s="119" t="s">
        <v>310</v>
      </c>
      <c r="D20" s="131" t="s">
        <v>330</v>
      </c>
      <c r="E20" s="119" t="s">
        <v>170</v>
      </c>
      <c r="F20" s="120">
        <v>2.7124999999999999</v>
      </c>
      <c r="G20" s="121">
        <v>1029206</v>
      </c>
      <c r="H20" s="122">
        <f t="shared" si="0"/>
        <v>2791721</v>
      </c>
      <c r="I20" s="119" t="s">
        <v>299</v>
      </c>
      <c r="J20" s="132">
        <v>0.62881779823658002</v>
      </c>
      <c r="K20" s="132">
        <v>0.36639775992041601</v>
      </c>
      <c r="L20" s="132">
        <v>4.7844418430038199E-3</v>
      </c>
      <c r="M20" s="132">
        <v>0</v>
      </c>
      <c r="N20" s="133">
        <f t="shared" si="1"/>
        <v>0.99999999999999989</v>
      </c>
      <c r="O20" s="122">
        <f t="shared" si="2"/>
        <v>1755483.8525108234</v>
      </c>
      <c r="P20" s="122">
        <f t="shared" si="3"/>
        <v>1022880.3207227837</v>
      </c>
      <c r="Q20" s="122">
        <f t="shared" si="4"/>
        <v>13356.826766392467</v>
      </c>
      <c r="R20" s="122">
        <f t="shared" si="5"/>
        <v>0</v>
      </c>
      <c r="S20" s="131" t="s">
        <v>331</v>
      </c>
    </row>
    <row r="21" spans="1:19" x14ac:dyDescent="0.3">
      <c r="A21" s="112">
        <v>17</v>
      </c>
      <c r="B21" s="134" t="s">
        <v>23</v>
      </c>
      <c r="C21" s="112" t="s">
        <v>312</v>
      </c>
      <c r="D21" s="128" t="s">
        <v>332</v>
      </c>
      <c r="E21" s="112" t="s">
        <v>167</v>
      </c>
      <c r="F21" s="113">
        <v>6</v>
      </c>
      <c r="G21" s="114">
        <v>77067</v>
      </c>
      <c r="H21" s="115">
        <f t="shared" si="0"/>
        <v>462402</v>
      </c>
      <c r="I21" s="112" t="s">
        <v>299</v>
      </c>
      <c r="J21" s="129">
        <v>0.31628293188068501</v>
      </c>
      <c r="K21" s="129">
        <v>0.66586769626796405</v>
      </c>
      <c r="L21" s="129">
        <v>1.7849371851351301E-2</v>
      </c>
      <c r="M21" s="129">
        <v>0</v>
      </c>
      <c r="N21" s="130">
        <f t="shared" si="1"/>
        <v>1.0000000000000004</v>
      </c>
      <c r="O21" s="115">
        <f t="shared" si="2"/>
        <v>146249.86026749251</v>
      </c>
      <c r="P21" s="115">
        <f t="shared" si="3"/>
        <v>307898.55448969913</v>
      </c>
      <c r="Q21" s="115">
        <f t="shared" si="4"/>
        <v>8253.5852428085436</v>
      </c>
      <c r="R21" s="115">
        <f t="shared" si="5"/>
        <v>0</v>
      </c>
      <c r="S21" s="128" t="s">
        <v>332</v>
      </c>
    </row>
    <row r="22" spans="1:19" x14ac:dyDescent="0.3">
      <c r="A22" s="119">
        <v>18</v>
      </c>
      <c r="B22" s="134" t="s">
        <v>23</v>
      </c>
      <c r="C22" s="119" t="s">
        <v>314</v>
      </c>
      <c r="D22" s="131" t="s">
        <v>333</v>
      </c>
      <c r="E22" s="119" t="s">
        <v>255</v>
      </c>
      <c r="F22" s="120">
        <v>14</v>
      </c>
      <c r="G22" s="121">
        <v>117102</v>
      </c>
      <c r="H22" s="122">
        <f t="shared" si="0"/>
        <v>1639428</v>
      </c>
      <c r="I22" s="119" t="s">
        <v>299</v>
      </c>
      <c r="J22" s="132">
        <v>0.55333522630531295</v>
      </c>
      <c r="K22" s="132">
        <v>0.30276383026298098</v>
      </c>
      <c r="L22" s="132">
        <v>0.14390094343170601</v>
      </c>
      <c r="M22" s="132">
        <v>0</v>
      </c>
      <c r="N22" s="133">
        <f t="shared" si="1"/>
        <v>1</v>
      </c>
      <c r="O22" s="122">
        <f t="shared" si="2"/>
        <v>907153.26339126658</v>
      </c>
      <c r="P22" s="122">
        <f t="shared" si="3"/>
        <v>496359.50072037836</v>
      </c>
      <c r="Q22" s="122">
        <f t="shared" si="4"/>
        <v>235915.23588835492</v>
      </c>
      <c r="R22" s="122">
        <f t="shared" si="5"/>
        <v>0</v>
      </c>
      <c r="S22" s="131" t="s">
        <v>334</v>
      </c>
    </row>
    <row r="23" spans="1:19" x14ac:dyDescent="0.3">
      <c r="A23" s="112">
        <v>19</v>
      </c>
      <c r="B23" s="134" t="s">
        <v>23</v>
      </c>
      <c r="C23" s="112" t="s">
        <v>317</v>
      </c>
      <c r="D23" s="128" t="s">
        <v>335</v>
      </c>
      <c r="E23" s="112" t="s">
        <v>167</v>
      </c>
      <c r="F23" s="113">
        <v>28</v>
      </c>
      <c r="G23" s="114">
        <v>53893</v>
      </c>
      <c r="H23" s="115">
        <f t="shared" si="0"/>
        <v>1509004</v>
      </c>
      <c r="I23" s="112" t="s">
        <v>299</v>
      </c>
      <c r="J23" s="129">
        <v>0.20087567908401599</v>
      </c>
      <c r="K23" s="129">
        <v>0.78387964461059101</v>
      </c>
      <c r="L23" s="129">
        <v>1.52446763053933E-2</v>
      </c>
      <c r="M23" s="129">
        <v>0</v>
      </c>
      <c r="N23" s="130">
        <f t="shared" si="1"/>
        <v>1.0000000000000002</v>
      </c>
      <c r="O23" s="115">
        <f t="shared" si="2"/>
        <v>303122.20324049646</v>
      </c>
      <c r="P23" s="115">
        <f t="shared" si="3"/>
        <v>1182877.5192359602</v>
      </c>
      <c r="Q23" s="115">
        <f t="shared" si="4"/>
        <v>23004.277523543711</v>
      </c>
      <c r="R23" s="115">
        <f t="shared" si="5"/>
        <v>0</v>
      </c>
      <c r="S23" s="128" t="s">
        <v>335</v>
      </c>
    </row>
    <row r="24" spans="1:19" ht="26.4" x14ac:dyDescent="0.3">
      <c r="A24" s="119">
        <v>20</v>
      </c>
      <c r="B24" s="134" t="s">
        <v>23</v>
      </c>
      <c r="C24" s="119" t="s">
        <v>319</v>
      </c>
      <c r="D24" s="131" t="s">
        <v>336</v>
      </c>
      <c r="E24" s="119" t="s">
        <v>184</v>
      </c>
      <c r="F24" s="120">
        <v>250</v>
      </c>
      <c r="G24" s="121">
        <v>6098</v>
      </c>
      <c r="H24" s="122">
        <f t="shared" si="0"/>
        <v>1524500</v>
      </c>
      <c r="I24" s="119" t="s">
        <v>299</v>
      </c>
      <c r="J24" s="132">
        <v>0.80770807708077097</v>
      </c>
      <c r="K24" s="132">
        <v>0.192291922919229</v>
      </c>
      <c r="L24" s="132">
        <v>0</v>
      </c>
      <c r="M24" s="132">
        <v>0</v>
      </c>
      <c r="N24" s="133">
        <f t="shared" si="1"/>
        <v>1</v>
      </c>
      <c r="O24" s="122">
        <f t="shared" si="2"/>
        <v>1231350.9635096353</v>
      </c>
      <c r="P24" s="122">
        <f t="shared" si="3"/>
        <v>293149.03649036464</v>
      </c>
      <c r="Q24" s="122">
        <f t="shared" si="4"/>
        <v>0</v>
      </c>
      <c r="R24" s="122">
        <f t="shared" si="5"/>
        <v>0</v>
      </c>
      <c r="S24" s="131" t="s">
        <v>337</v>
      </c>
    </row>
    <row r="25" spans="1:19" x14ac:dyDescent="0.3">
      <c r="A25" s="112">
        <v>21</v>
      </c>
      <c r="B25" s="134" t="s">
        <v>23</v>
      </c>
      <c r="C25" s="112" t="s">
        <v>322</v>
      </c>
      <c r="D25" s="128" t="s">
        <v>338</v>
      </c>
      <c r="E25" s="112" t="s">
        <v>167</v>
      </c>
      <c r="F25" s="113">
        <v>36</v>
      </c>
      <c r="G25" s="114">
        <v>54232</v>
      </c>
      <c r="H25" s="115">
        <f t="shared" si="0"/>
        <v>1952352</v>
      </c>
      <c r="I25" s="112" t="s">
        <v>299</v>
      </c>
      <c r="J25" s="129">
        <v>0.43027986523092299</v>
      </c>
      <c r="K25" s="129">
        <v>0.36930985881158901</v>
      </c>
      <c r="L25" s="129">
        <v>0.200410275957489</v>
      </c>
      <c r="M25" s="129">
        <v>0</v>
      </c>
      <c r="N25" s="130">
        <f t="shared" si="1"/>
        <v>1.0000000000000011</v>
      </c>
      <c r="O25" s="115">
        <f t="shared" si="2"/>
        <v>840057.75544332294</v>
      </c>
      <c r="P25" s="115">
        <f t="shared" si="3"/>
        <v>721022.84147052339</v>
      </c>
      <c r="Q25" s="115">
        <f t="shared" si="4"/>
        <v>391271.40308615559</v>
      </c>
      <c r="R25" s="115">
        <f t="shared" si="5"/>
        <v>0</v>
      </c>
      <c r="S25" s="128" t="s">
        <v>339</v>
      </c>
    </row>
    <row r="26" spans="1:19" x14ac:dyDescent="0.3">
      <c r="A26" s="119">
        <v>22</v>
      </c>
      <c r="B26" s="134" t="s">
        <v>23</v>
      </c>
      <c r="C26" s="119" t="s">
        <v>324</v>
      </c>
      <c r="D26" s="131" t="s">
        <v>340</v>
      </c>
      <c r="E26" s="119" t="s">
        <v>167</v>
      </c>
      <c r="F26" s="120">
        <v>36</v>
      </c>
      <c r="G26" s="121">
        <v>20601</v>
      </c>
      <c r="H26" s="122">
        <f t="shared" si="0"/>
        <v>741636</v>
      </c>
      <c r="I26" s="119" t="s">
        <v>299</v>
      </c>
      <c r="J26" s="132">
        <v>0.660045184152388</v>
      </c>
      <c r="K26" s="132">
        <v>0.313262807170338</v>
      </c>
      <c r="L26" s="132">
        <v>2.6692008677274899E-2</v>
      </c>
      <c r="M26" s="132">
        <v>0</v>
      </c>
      <c r="N26" s="133">
        <f t="shared" si="1"/>
        <v>1.0000000000000009</v>
      </c>
      <c r="O26" s="122">
        <f t="shared" si="2"/>
        <v>489513.27019404044</v>
      </c>
      <c r="P26" s="122">
        <f t="shared" si="3"/>
        <v>232326.97525858079</v>
      </c>
      <c r="Q26" s="122">
        <f t="shared" si="4"/>
        <v>19795.754547379445</v>
      </c>
      <c r="R26" s="122">
        <f t="shared" si="5"/>
        <v>0</v>
      </c>
      <c r="S26" s="131" t="s">
        <v>340</v>
      </c>
    </row>
    <row r="27" spans="1:19" x14ac:dyDescent="0.3">
      <c r="A27" s="112">
        <v>23</v>
      </c>
      <c r="B27" s="134" t="s">
        <v>23</v>
      </c>
      <c r="C27" s="112" t="s">
        <v>341</v>
      </c>
      <c r="D27" s="128" t="s">
        <v>342</v>
      </c>
      <c r="E27" s="112" t="s">
        <v>255</v>
      </c>
      <c r="F27" s="113">
        <v>56</v>
      </c>
      <c r="G27" s="114">
        <v>48159</v>
      </c>
      <c r="H27" s="115">
        <f t="shared" si="0"/>
        <v>2696904</v>
      </c>
      <c r="I27" s="112" t="s">
        <v>299</v>
      </c>
      <c r="J27" s="129">
        <v>0.58338771254928201</v>
      </c>
      <c r="K27" s="129">
        <v>0.39573565776330399</v>
      </c>
      <c r="L27" s="129">
        <v>2.0876629687413901E-2</v>
      </c>
      <c r="M27" s="129">
        <v>0</v>
      </c>
      <c r="N27" s="130">
        <f t="shared" si="1"/>
        <v>0.99999999999999989</v>
      </c>
      <c r="O27" s="115">
        <f t="shared" si="2"/>
        <v>1573340.6555250089</v>
      </c>
      <c r="P27" s="115">
        <f t="shared" si="3"/>
        <v>1067261.0783644856</v>
      </c>
      <c r="Q27" s="115">
        <f t="shared" si="4"/>
        <v>56302.266110505298</v>
      </c>
      <c r="R27" s="115">
        <f t="shared" si="5"/>
        <v>0</v>
      </c>
      <c r="S27" s="128" t="s">
        <v>343</v>
      </c>
    </row>
    <row r="28" spans="1:19" x14ac:dyDescent="0.3">
      <c r="A28" s="119">
        <v>24</v>
      </c>
      <c r="B28" s="134" t="s">
        <v>23</v>
      </c>
      <c r="C28" s="119" t="s">
        <v>344</v>
      </c>
      <c r="D28" s="131" t="s">
        <v>345</v>
      </c>
      <c r="E28" s="119" t="s">
        <v>255</v>
      </c>
      <c r="F28" s="120">
        <v>56</v>
      </c>
      <c r="G28" s="121">
        <v>7288</v>
      </c>
      <c r="H28" s="122">
        <f t="shared" si="0"/>
        <v>408128</v>
      </c>
      <c r="I28" s="119" t="s">
        <v>299</v>
      </c>
      <c r="J28" s="132">
        <v>0.36546688220997903</v>
      </c>
      <c r="K28" s="132">
        <v>0.62291742271782502</v>
      </c>
      <c r="L28" s="132">
        <v>1.1615695072196E-2</v>
      </c>
      <c r="M28" s="132">
        <v>0</v>
      </c>
      <c r="N28" s="133">
        <f t="shared" si="1"/>
        <v>1</v>
      </c>
      <c r="O28" s="122">
        <f t="shared" si="2"/>
        <v>149157.26770259431</v>
      </c>
      <c r="P28" s="122">
        <f t="shared" si="3"/>
        <v>254230.0418989805</v>
      </c>
      <c r="Q28" s="122">
        <f t="shared" si="4"/>
        <v>4740.6903984252094</v>
      </c>
      <c r="R28" s="122">
        <f t="shared" si="5"/>
        <v>0</v>
      </c>
      <c r="S28" s="131" t="s">
        <v>345</v>
      </c>
    </row>
    <row r="29" spans="1:19" ht="26.4" x14ac:dyDescent="0.3">
      <c r="A29" s="112">
        <v>25</v>
      </c>
      <c r="B29" s="134" t="s">
        <v>23</v>
      </c>
      <c r="C29" s="112" t="s">
        <v>346</v>
      </c>
      <c r="D29" s="128" t="s">
        <v>347</v>
      </c>
      <c r="E29" s="112" t="s">
        <v>167</v>
      </c>
      <c r="F29" s="113">
        <v>20</v>
      </c>
      <c r="G29" s="114">
        <v>48752</v>
      </c>
      <c r="H29" s="115">
        <f t="shared" si="0"/>
        <v>975040</v>
      </c>
      <c r="I29" s="112" t="s">
        <v>299</v>
      </c>
      <c r="J29" s="129">
        <v>0.41149689868403999</v>
      </c>
      <c r="K29" s="129">
        <v>0.40517419858085202</v>
      </c>
      <c r="L29" s="129">
        <v>0.18332890273510799</v>
      </c>
      <c r="M29" s="129">
        <v>0</v>
      </c>
      <c r="N29" s="130">
        <f t="shared" si="1"/>
        <v>1</v>
      </c>
      <c r="O29" s="115">
        <f t="shared" si="2"/>
        <v>401225.93609288638</v>
      </c>
      <c r="P29" s="115">
        <f t="shared" si="3"/>
        <v>395061.05058427394</v>
      </c>
      <c r="Q29" s="115">
        <f t="shared" si="4"/>
        <v>178753.01332283969</v>
      </c>
      <c r="R29" s="115">
        <f t="shared" si="5"/>
        <v>0</v>
      </c>
      <c r="S29" s="128" t="s">
        <v>348</v>
      </c>
    </row>
    <row r="30" spans="1:19" x14ac:dyDescent="0.3">
      <c r="A30" s="119">
        <v>26</v>
      </c>
      <c r="B30" s="134" t="s">
        <v>23</v>
      </c>
      <c r="C30" s="119" t="s">
        <v>349</v>
      </c>
      <c r="D30" s="131" t="s">
        <v>350</v>
      </c>
      <c r="E30" s="119" t="s">
        <v>255</v>
      </c>
      <c r="F30" s="120">
        <v>56</v>
      </c>
      <c r="G30" s="121">
        <v>16019</v>
      </c>
      <c r="H30" s="122">
        <f t="shared" si="0"/>
        <v>897064</v>
      </c>
      <c r="I30" s="119" t="s">
        <v>299</v>
      </c>
      <c r="J30" s="132">
        <v>0.46033655724129302</v>
      </c>
      <c r="K30" s="132">
        <v>0.49007046764894302</v>
      </c>
      <c r="L30" s="132">
        <v>4.9592975109763897E-2</v>
      </c>
      <c r="M30" s="132">
        <v>0</v>
      </c>
      <c r="N30" s="133">
        <f t="shared" si="1"/>
        <v>1</v>
      </c>
      <c r="O30" s="122">
        <f t="shared" si="2"/>
        <v>412951.35338510328</v>
      </c>
      <c r="P30" s="122">
        <f t="shared" si="3"/>
        <v>439624.57399103144</v>
      </c>
      <c r="Q30" s="122">
        <f t="shared" si="4"/>
        <v>44488.072623865242</v>
      </c>
      <c r="R30" s="122">
        <f t="shared" si="5"/>
        <v>0</v>
      </c>
      <c r="S30" s="131" t="s">
        <v>350</v>
      </c>
    </row>
    <row r="31" spans="1:19" x14ac:dyDescent="0.3">
      <c r="A31" s="112">
        <v>27</v>
      </c>
      <c r="B31" s="134" t="s">
        <v>23</v>
      </c>
      <c r="C31" s="112" t="s">
        <v>351</v>
      </c>
      <c r="D31" s="128" t="s">
        <v>352</v>
      </c>
      <c r="E31" s="112" t="s">
        <v>167</v>
      </c>
      <c r="F31" s="113">
        <v>29</v>
      </c>
      <c r="G31" s="114">
        <v>4269</v>
      </c>
      <c r="H31" s="115">
        <f t="shared" si="0"/>
        <v>123801</v>
      </c>
      <c r="I31" s="112" t="s">
        <v>299</v>
      </c>
      <c r="J31" s="129">
        <v>0.66728591876943</v>
      </c>
      <c r="K31" s="129">
        <v>0.31291831728978398</v>
      </c>
      <c r="L31" s="129">
        <v>1.9795763940786099E-2</v>
      </c>
      <c r="M31" s="129">
        <v>0</v>
      </c>
      <c r="N31" s="130">
        <f t="shared" si="1"/>
        <v>1.0000000000000002</v>
      </c>
      <c r="O31" s="115">
        <f t="shared" si="2"/>
        <v>82610.664029574196</v>
      </c>
      <c r="P31" s="115">
        <f t="shared" si="3"/>
        <v>38739.600598792545</v>
      </c>
      <c r="Q31" s="115">
        <f t="shared" si="4"/>
        <v>2450.73537163326</v>
      </c>
      <c r="R31" s="115">
        <f t="shared" si="5"/>
        <v>0</v>
      </c>
      <c r="S31" s="128" t="s">
        <v>352</v>
      </c>
    </row>
    <row r="32" spans="1:19" ht="26.4" x14ac:dyDescent="0.3">
      <c r="A32" s="119">
        <v>28</v>
      </c>
      <c r="B32" s="134" t="s">
        <v>23</v>
      </c>
      <c r="C32" s="119" t="s">
        <v>353</v>
      </c>
      <c r="D32" s="131" t="s">
        <v>354</v>
      </c>
      <c r="E32" s="119" t="s">
        <v>173</v>
      </c>
      <c r="F32" s="120">
        <v>1</v>
      </c>
      <c r="G32" s="121">
        <v>1107371</v>
      </c>
      <c r="H32" s="122">
        <f t="shared" si="0"/>
        <v>1107371</v>
      </c>
      <c r="I32" s="119" t="s">
        <v>299</v>
      </c>
      <c r="J32" s="132">
        <v>0.42025281831292799</v>
      </c>
      <c r="K32" s="132">
        <v>0.497339458044111</v>
      </c>
      <c r="L32" s="132">
        <v>8.2407723642960798E-2</v>
      </c>
      <c r="M32" s="132">
        <v>0</v>
      </c>
      <c r="N32" s="133">
        <f t="shared" si="1"/>
        <v>0.99999999999999978</v>
      </c>
      <c r="O32" s="122">
        <f t="shared" si="2"/>
        <v>465375.78366800537</v>
      </c>
      <c r="P32" s="122">
        <f t="shared" si="3"/>
        <v>550739.29299376521</v>
      </c>
      <c r="Q32" s="122">
        <f t="shared" si="4"/>
        <v>91255.923338229142</v>
      </c>
      <c r="R32" s="122">
        <f t="shared" si="5"/>
        <v>0</v>
      </c>
      <c r="S32" s="131" t="s">
        <v>355</v>
      </c>
    </row>
    <row r="33" spans="1:19" ht="26.4" x14ac:dyDescent="0.3">
      <c r="A33" s="112">
        <v>29</v>
      </c>
      <c r="B33" s="134" t="s">
        <v>23</v>
      </c>
      <c r="C33" s="112" t="s">
        <v>356</v>
      </c>
      <c r="D33" s="128" t="s">
        <v>357</v>
      </c>
      <c r="E33" s="112" t="s">
        <v>358</v>
      </c>
      <c r="F33" s="113">
        <v>4</v>
      </c>
      <c r="G33" s="114">
        <v>353783</v>
      </c>
      <c r="H33" s="115">
        <f t="shared" si="0"/>
        <v>1415132</v>
      </c>
      <c r="I33" s="112" t="s">
        <v>304</v>
      </c>
      <c r="J33" s="129">
        <v>0</v>
      </c>
      <c r="K33" s="129">
        <v>0</v>
      </c>
      <c r="L33" s="129">
        <v>0</v>
      </c>
      <c r="M33" s="129">
        <v>1</v>
      </c>
      <c r="N33" s="130">
        <f t="shared" si="1"/>
        <v>1</v>
      </c>
      <c r="O33" s="115">
        <f t="shared" si="2"/>
        <v>0</v>
      </c>
      <c r="P33" s="115">
        <f t="shared" si="3"/>
        <v>0</v>
      </c>
      <c r="Q33" s="115">
        <f t="shared" si="4"/>
        <v>0</v>
      </c>
      <c r="R33" s="115">
        <f t="shared" si="5"/>
        <v>1415132</v>
      </c>
      <c r="S33" s="128" t="s">
        <v>357</v>
      </c>
    </row>
    <row r="34" spans="1:19" ht="26.4" x14ac:dyDescent="0.3">
      <c r="A34" s="119">
        <v>30</v>
      </c>
      <c r="B34" s="134" t="s">
        <v>23</v>
      </c>
      <c r="C34" s="119" t="s">
        <v>359</v>
      </c>
      <c r="D34" s="131" t="s">
        <v>325</v>
      </c>
      <c r="E34" s="119" t="s">
        <v>326</v>
      </c>
      <c r="F34" s="120">
        <v>223.78118699999999</v>
      </c>
      <c r="G34" s="121">
        <v>13092</v>
      </c>
      <c r="H34" s="122">
        <f t="shared" si="0"/>
        <v>2929743</v>
      </c>
      <c r="I34" s="119" t="s">
        <v>304</v>
      </c>
      <c r="J34" s="132">
        <v>0</v>
      </c>
      <c r="K34" s="132">
        <v>0</v>
      </c>
      <c r="L34" s="132">
        <v>0</v>
      </c>
      <c r="M34" s="132">
        <v>1</v>
      </c>
      <c r="N34" s="133">
        <f t="shared" si="1"/>
        <v>1</v>
      </c>
      <c r="O34" s="122">
        <f t="shared" si="2"/>
        <v>0</v>
      </c>
      <c r="P34" s="122">
        <f t="shared" si="3"/>
        <v>0</v>
      </c>
      <c r="Q34" s="122">
        <f t="shared" si="4"/>
        <v>0</v>
      </c>
      <c r="R34" s="122">
        <f t="shared" si="5"/>
        <v>2929743</v>
      </c>
      <c r="S34" s="131" t="s">
        <v>325</v>
      </c>
    </row>
    <row r="35" spans="1:19" ht="26.4" x14ac:dyDescent="0.3">
      <c r="A35" s="112">
        <v>31</v>
      </c>
      <c r="B35" s="134" t="s">
        <v>23</v>
      </c>
      <c r="C35" s="112" t="s">
        <v>360</v>
      </c>
      <c r="D35" s="128" t="s">
        <v>361</v>
      </c>
      <c r="E35" s="112" t="s">
        <v>328</v>
      </c>
      <c r="F35" s="113">
        <v>5</v>
      </c>
      <c r="G35" s="114">
        <v>187059</v>
      </c>
      <c r="H35" s="115">
        <f t="shared" si="0"/>
        <v>935295</v>
      </c>
      <c r="I35" s="112" t="s">
        <v>299</v>
      </c>
      <c r="J35" s="129">
        <v>0</v>
      </c>
      <c r="K35" s="129">
        <v>0.99002098768086</v>
      </c>
      <c r="L35" s="129">
        <v>9.9790123191401004E-3</v>
      </c>
      <c r="M35" s="129">
        <v>0</v>
      </c>
      <c r="N35" s="130">
        <f t="shared" si="1"/>
        <v>1</v>
      </c>
      <c r="O35" s="115">
        <f t="shared" si="2"/>
        <v>0</v>
      </c>
      <c r="P35" s="115">
        <f t="shared" si="3"/>
        <v>925961.67967296997</v>
      </c>
      <c r="Q35" s="115">
        <f t="shared" si="4"/>
        <v>9333.3203270301401</v>
      </c>
      <c r="R35" s="115">
        <f t="shared" si="5"/>
        <v>0</v>
      </c>
      <c r="S35" s="128" t="s">
        <v>361</v>
      </c>
    </row>
    <row r="36" spans="1:19" x14ac:dyDescent="0.3">
      <c r="A36" s="119">
        <v>32</v>
      </c>
      <c r="B36" s="134" t="s">
        <v>23</v>
      </c>
      <c r="C36" s="119" t="s">
        <v>362</v>
      </c>
      <c r="D36" s="131" t="s">
        <v>363</v>
      </c>
      <c r="E36" s="119" t="s">
        <v>173</v>
      </c>
      <c r="F36" s="120">
        <v>1</v>
      </c>
      <c r="G36" s="121">
        <v>135450</v>
      </c>
      <c r="H36" s="122">
        <f t="shared" si="0"/>
        <v>135450</v>
      </c>
      <c r="I36" s="119" t="s">
        <v>299</v>
      </c>
      <c r="J36" s="132">
        <v>0.73898184231293396</v>
      </c>
      <c r="K36" s="132">
        <v>0.25753517204605803</v>
      </c>
      <c r="L36" s="132">
        <v>3.4829856410080401E-3</v>
      </c>
      <c r="M36" s="132">
        <v>0</v>
      </c>
      <c r="N36" s="133">
        <f t="shared" si="1"/>
        <v>1</v>
      </c>
      <c r="O36" s="122">
        <f t="shared" si="2"/>
        <v>100095.0905412869</v>
      </c>
      <c r="P36" s="122">
        <f t="shared" si="3"/>
        <v>34883.139053638559</v>
      </c>
      <c r="Q36" s="122">
        <f t="shared" si="4"/>
        <v>471.77040507453904</v>
      </c>
      <c r="R36" s="122">
        <f t="shared" si="5"/>
        <v>0</v>
      </c>
      <c r="S36" s="131" t="s">
        <v>363</v>
      </c>
    </row>
    <row r="37" spans="1:19" ht="39.6" x14ac:dyDescent="0.3">
      <c r="A37" s="112">
        <v>33</v>
      </c>
      <c r="B37" s="134" t="s">
        <v>23</v>
      </c>
      <c r="C37" s="112" t="s">
        <v>364</v>
      </c>
      <c r="D37" s="128" t="s">
        <v>365</v>
      </c>
      <c r="E37" s="112" t="s">
        <v>197</v>
      </c>
      <c r="F37" s="113">
        <v>1</v>
      </c>
      <c r="G37" s="114">
        <v>1538870.51</v>
      </c>
      <c r="H37" s="115">
        <f t="shared" ref="H37:H68" si="6">ROUND(F37*G37,0)</f>
        <v>1538871</v>
      </c>
      <c r="I37" s="112" t="s">
        <v>299</v>
      </c>
      <c r="J37" s="129">
        <v>0.232186858919013</v>
      </c>
      <c r="K37" s="129">
        <v>0.76726403705013502</v>
      </c>
      <c r="L37" s="129">
        <v>5.4910403085182296E-4</v>
      </c>
      <c r="M37" s="129">
        <v>0</v>
      </c>
      <c r="N37" s="130">
        <f t="shared" ref="N37:N68" si="7">SUM(J37:M37)</f>
        <v>0.99999999999999989</v>
      </c>
      <c r="O37" s="115">
        <f t="shared" ref="O37:O68" si="8">H37*J37</f>
        <v>357305.62377156044</v>
      </c>
      <c r="P37" s="115">
        <f t="shared" ref="P37:P68" si="9">H37*K37</f>
        <v>1180720.3759593784</v>
      </c>
      <c r="Q37" s="115">
        <f t="shared" ref="Q37:Q68" si="10">H37*L37</f>
        <v>845.0002690609756</v>
      </c>
      <c r="R37" s="115">
        <f t="shared" ref="R37:R68" si="11">H37*M37</f>
        <v>0</v>
      </c>
      <c r="S37" s="128" t="s">
        <v>365</v>
      </c>
    </row>
    <row r="38" spans="1:19" ht="26.4" x14ac:dyDescent="0.3">
      <c r="A38" s="119">
        <v>34</v>
      </c>
      <c r="B38" s="135" t="s">
        <v>24</v>
      </c>
      <c r="C38" s="119" t="s">
        <v>297</v>
      </c>
      <c r="D38" s="131" t="s">
        <v>327</v>
      </c>
      <c r="E38" s="119" t="s">
        <v>167</v>
      </c>
      <c r="F38" s="120">
        <v>26.2</v>
      </c>
      <c r="G38" s="121">
        <v>3044</v>
      </c>
      <c r="H38" s="122">
        <f t="shared" si="6"/>
        <v>79753</v>
      </c>
      <c r="I38" s="119" t="s">
        <v>299</v>
      </c>
      <c r="J38" s="132">
        <v>0.14715246777328</v>
      </c>
      <c r="K38" s="132">
        <v>0.73406975554873699</v>
      </c>
      <c r="L38" s="132">
        <v>0.118777776677984</v>
      </c>
      <c r="M38" s="132">
        <v>0</v>
      </c>
      <c r="N38" s="133">
        <f t="shared" si="7"/>
        <v>1.0000000000000011</v>
      </c>
      <c r="O38" s="122">
        <f t="shared" si="8"/>
        <v>11735.8507623224</v>
      </c>
      <c r="P38" s="122">
        <f t="shared" si="9"/>
        <v>58544.265214278421</v>
      </c>
      <c r="Q38" s="122">
        <f t="shared" si="10"/>
        <v>9472.8840233992578</v>
      </c>
      <c r="R38" s="122">
        <f t="shared" si="11"/>
        <v>0</v>
      </c>
      <c r="S38" s="131" t="s">
        <v>327</v>
      </c>
    </row>
    <row r="39" spans="1:19" ht="26.4" x14ac:dyDescent="0.3">
      <c r="A39" s="112">
        <v>35</v>
      </c>
      <c r="B39" s="135" t="s">
        <v>24</v>
      </c>
      <c r="C39" s="112" t="s">
        <v>301</v>
      </c>
      <c r="D39" s="128" t="s">
        <v>306</v>
      </c>
      <c r="E39" s="112" t="s">
        <v>170</v>
      </c>
      <c r="F39" s="113">
        <v>6.7649999999999997</v>
      </c>
      <c r="G39" s="114">
        <v>46775</v>
      </c>
      <c r="H39" s="115">
        <f t="shared" si="6"/>
        <v>316433</v>
      </c>
      <c r="I39" s="112" t="s">
        <v>299</v>
      </c>
      <c r="J39" s="129">
        <v>0</v>
      </c>
      <c r="K39" s="129">
        <v>0.96619895094411801</v>
      </c>
      <c r="L39" s="129">
        <v>3.3801049055881903E-2</v>
      </c>
      <c r="M39" s="129">
        <v>0</v>
      </c>
      <c r="N39" s="130">
        <f t="shared" si="7"/>
        <v>0.99999999999999989</v>
      </c>
      <c r="O39" s="115">
        <f t="shared" si="8"/>
        <v>0</v>
      </c>
      <c r="P39" s="115">
        <f t="shared" si="9"/>
        <v>305737.23264410009</v>
      </c>
      <c r="Q39" s="115">
        <f t="shared" si="10"/>
        <v>10695.767355899878</v>
      </c>
      <c r="R39" s="115">
        <f t="shared" si="11"/>
        <v>0</v>
      </c>
      <c r="S39" s="128" t="s">
        <v>307</v>
      </c>
    </row>
    <row r="40" spans="1:19" ht="26.4" x14ac:dyDescent="0.3">
      <c r="A40" s="119">
        <v>36</v>
      </c>
      <c r="B40" s="135" t="s">
        <v>24</v>
      </c>
      <c r="C40" s="119" t="s">
        <v>308</v>
      </c>
      <c r="D40" s="131" t="s">
        <v>366</v>
      </c>
      <c r="E40" s="119" t="s">
        <v>255</v>
      </c>
      <c r="F40" s="120">
        <v>45.1</v>
      </c>
      <c r="G40" s="121">
        <v>32729.8</v>
      </c>
      <c r="H40" s="122">
        <f t="shared" si="6"/>
        <v>1476114</v>
      </c>
      <c r="I40" s="119" t="s">
        <v>299</v>
      </c>
      <c r="J40" s="132">
        <v>0.45371496312229198</v>
      </c>
      <c r="K40" s="132">
        <v>0.54112154672500301</v>
      </c>
      <c r="L40" s="132">
        <v>5.1634901527048797E-3</v>
      </c>
      <c r="M40" s="132">
        <v>0</v>
      </c>
      <c r="N40" s="133">
        <f t="shared" si="7"/>
        <v>0.99999999999999989</v>
      </c>
      <c r="O40" s="122">
        <f t="shared" si="8"/>
        <v>669735.0090742989</v>
      </c>
      <c r="P40" s="122">
        <f t="shared" si="9"/>
        <v>798757.09082243114</v>
      </c>
      <c r="Q40" s="122">
        <f t="shared" si="10"/>
        <v>7621.9001032698106</v>
      </c>
      <c r="R40" s="122">
        <f t="shared" si="11"/>
        <v>0</v>
      </c>
      <c r="S40" s="131" t="s">
        <v>367</v>
      </c>
    </row>
    <row r="41" spans="1:19" ht="26.4" x14ac:dyDescent="0.3">
      <c r="A41" s="112">
        <v>37</v>
      </c>
      <c r="B41" s="135" t="s">
        <v>24</v>
      </c>
      <c r="C41" s="112" t="s">
        <v>310</v>
      </c>
      <c r="D41" s="128" t="s">
        <v>368</v>
      </c>
      <c r="E41" s="112" t="s">
        <v>173</v>
      </c>
      <c r="F41" s="113">
        <v>2</v>
      </c>
      <c r="G41" s="114">
        <v>4598532</v>
      </c>
      <c r="H41" s="115">
        <f t="shared" si="6"/>
        <v>9197064</v>
      </c>
      <c r="I41" s="112" t="s">
        <v>299</v>
      </c>
      <c r="J41" s="129">
        <v>0.93728442458234595</v>
      </c>
      <c r="K41" s="129">
        <v>6.2715575417653893E-2</v>
      </c>
      <c r="L41" s="129">
        <v>0</v>
      </c>
      <c r="M41" s="129">
        <v>0</v>
      </c>
      <c r="N41" s="130">
        <f t="shared" si="7"/>
        <v>0.99999999999999989</v>
      </c>
      <c r="O41" s="115">
        <f t="shared" si="8"/>
        <v>8620264.8390870094</v>
      </c>
      <c r="P41" s="115">
        <f t="shared" si="9"/>
        <v>576799.16091298964</v>
      </c>
      <c r="Q41" s="115">
        <f t="shared" si="10"/>
        <v>0</v>
      </c>
      <c r="R41" s="115">
        <f t="shared" si="11"/>
        <v>0</v>
      </c>
      <c r="S41" s="128" t="s">
        <v>369</v>
      </c>
    </row>
    <row r="42" spans="1:19" ht="26.4" x14ac:dyDescent="0.3">
      <c r="A42" s="119">
        <v>38</v>
      </c>
      <c r="B42" s="135" t="s">
        <v>24</v>
      </c>
      <c r="C42" s="119" t="s">
        <v>312</v>
      </c>
      <c r="D42" s="131" t="s">
        <v>370</v>
      </c>
      <c r="E42" s="119" t="s">
        <v>173</v>
      </c>
      <c r="F42" s="120">
        <v>2</v>
      </c>
      <c r="G42" s="121">
        <v>204649</v>
      </c>
      <c r="H42" s="122">
        <f t="shared" si="6"/>
        <v>409298</v>
      </c>
      <c r="I42" s="119" t="s">
        <v>299</v>
      </c>
      <c r="J42" s="132">
        <v>0.69264936549897604</v>
      </c>
      <c r="K42" s="132">
        <v>0.30652483031923</v>
      </c>
      <c r="L42" s="132">
        <v>8.2580418179419403E-4</v>
      </c>
      <c r="M42" s="132">
        <v>0</v>
      </c>
      <c r="N42" s="133">
        <f t="shared" si="7"/>
        <v>1.0000000000000002</v>
      </c>
      <c r="O42" s="122">
        <f t="shared" si="8"/>
        <v>283499.99999999988</v>
      </c>
      <c r="P42" s="122">
        <f t="shared" si="9"/>
        <v>125460.0000000002</v>
      </c>
      <c r="Q42" s="122">
        <f t="shared" si="10"/>
        <v>338.00000000000006</v>
      </c>
      <c r="R42" s="122">
        <f t="shared" si="11"/>
        <v>0</v>
      </c>
      <c r="S42" s="131" t="s">
        <v>371</v>
      </c>
    </row>
    <row r="43" spans="1:19" ht="52.8" x14ac:dyDescent="0.3">
      <c r="A43" s="112">
        <v>39</v>
      </c>
      <c r="B43" s="135" t="s">
        <v>24</v>
      </c>
      <c r="C43" s="112" t="s">
        <v>314</v>
      </c>
      <c r="D43" s="128" t="s">
        <v>372</v>
      </c>
      <c r="E43" s="112" t="s">
        <v>197</v>
      </c>
      <c r="F43" s="113">
        <v>1</v>
      </c>
      <c r="G43" s="114">
        <v>2636586.39</v>
      </c>
      <c r="H43" s="115">
        <f t="shared" si="6"/>
        <v>2636586</v>
      </c>
      <c r="I43" s="112" t="s">
        <v>299</v>
      </c>
      <c r="J43" s="129">
        <v>0.52159352533106296</v>
      </c>
      <c r="K43" s="129">
        <v>0.47584255337068598</v>
      </c>
      <c r="L43" s="129">
        <v>2.5639212982511098E-3</v>
      </c>
      <c r="M43" s="129">
        <v>0</v>
      </c>
      <c r="N43" s="130">
        <f t="shared" si="7"/>
        <v>1</v>
      </c>
      <c r="O43" s="115">
        <f t="shared" si="8"/>
        <v>1375226.1865785259</v>
      </c>
      <c r="P43" s="115">
        <f t="shared" si="9"/>
        <v>1254599.8144214035</v>
      </c>
      <c r="Q43" s="115">
        <f t="shared" si="10"/>
        <v>6759.9990000707003</v>
      </c>
      <c r="R43" s="115">
        <f t="shared" si="11"/>
        <v>0</v>
      </c>
      <c r="S43" s="128" t="s">
        <v>373</v>
      </c>
    </row>
    <row r="44" spans="1:19" ht="26.4" x14ac:dyDescent="0.3">
      <c r="A44" s="119">
        <v>40</v>
      </c>
      <c r="B44" s="135" t="s">
        <v>24</v>
      </c>
      <c r="C44" s="119" t="s">
        <v>317</v>
      </c>
      <c r="D44" s="131" t="s">
        <v>329</v>
      </c>
      <c r="E44" s="119" t="s">
        <v>255</v>
      </c>
      <c r="F44" s="120">
        <v>5.22</v>
      </c>
      <c r="G44" s="121">
        <v>38953</v>
      </c>
      <c r="H44" s="122">
        <f t="shared" si="6"/>
        <v>203335</v>
      </c>
      <c r="I44" s="119" t="s">
        <v>299</v>
      </c>
      <c r="J44" s="132">
        <v>0.61569651145727899</v>
      </c>
      <c r="K44" s="132">
        <v>0.37995278586562298</v>
      </c>
      <c r="L44" s="132">
        <v>4.3507026770980596E-3</v>
      </c>
      <c r="M44" s="132">
        <v>0</v>
      </c>
      <c r="N44" s="133">
        <f t="shared" si="7"/>
        <v>1</v>
      </c>
      <c r="O44" s="122">
        <f t="shared" si="8"/>
        <v>125192.65015716583</v>
      </c>
      <c r="P44" s="122">
        <f t="shared" si="9"/>
        <v>77257.699713986454</v>
      </c>
      <c r="Q44" s="122">
        <f t="shared" si="10"/>
        <v>884.65012884773398</v>
      </c>
      <c r="R44" s="122">
        <f t="shared" si="11"/>
        <v>0</v>
      </c>
      <c r="S44" s="131" t="s">
        <v>329</v>
      </c>
    </row>
    <row r="45" spans="1:19" ht="26.4" x14ac:dyDescent="0.3">
      <c r="A45" s="112">
        <v>41</v>
      </c>
      <c r="B45" s="135" t="s">
        <v>24</v>
      </c>
      <c r="C45" s="112" t="s">
        <v>319</v>
      </c>
      <c r="D45" s="128" t="s">
        <v>330</v>
      </c>
      <c r="E45" s="112" t="s">
        <v>170</v>
      </c>
      <c r="F45" s="113">
        <v>2.3875000000000002</v>
      </c>
      <c r="G45" s="114">
        <v>1029206</v>
      </c>
      <c r="H45" s="115">
        <f t="shared" si="6"/>
        <v>2457229</v>
      </c>
      <c r="I45" s="112" t="s">
        <v>299</v>
      </c>
      <c r="J45" s="129">
        <v>0.62881779823658002</v>
      </c>
      <c r="K45" s="129">
        <v>0.36639775992041601</v>
      </c>
      <c r="L45" s="129">
        <v>4.7844418430038199E-3</v>
      </c>
      <c r="M45" s="129">
        <v>0</v>
      </c>
      <c r="N45" s="130">
        <f t="shared" si="7"/>
        <v>0.99999999999999989</v>
      </c>
      <c r="O45" s="115">
        <f t="shared" si="8"/>
        <v>1545149.3295430732</v>
      </c>
      <c r="P45" s="115">
        <f t="shared" si="9"/>
        <v>900323.20121148392</v>
      </c>
      <c r="Q45" s="115">
        <f t="shared" si="10"/>
        <v>11756.469245442433</v>
      </c>
      <c r="R45" s="115">
        <f t="shared" si="11"/>
        <v>0</v>
      </c>
      <c r="S45" s="128" t="s">
        <v>331</v>
      </c>
    </row>
    <row r="46" spans="1:19" ht="26.4" x14ac:dyDescent="0.3">
      <c r="A46" s="119">
        <v>42</v>
      </c>
      <c r="B46" s="135" t="s">
        <v>24</v>
      </c>
      <c r="C46" s="119" t="s">
        <v>322</v>
      </c>
      <c r="D46" s="131" t="s">
        <v>332</v>
      </c>
      <c r="E46" s="119" t="s">
        <v>167</v>
      </c>
      <c r="F46" s="120">
        <v>5.5</v>
      </c>
      <c r="G46" s="121">
        <v>77067</v>
      </c>
      <c r="H46" s="122">
        <f t="shared" si="6"/>
        <v>423869</v>
      </c>
      <c r="I46" s="119" t="s">
        <v>299</v>
      </c>
      <c r="J46" s="132">
        <v>0.31628293188068501</v>
      </c>
      <c r="K46" s="132">
        <v>0.66586769626796405</v>
      </c>
      <c r="L46" s="132">
        <v>1.7849371851351301E-2</v>
      </c>
      <c r="M46" s="132">
        <v>0</v>
      </c>
      <c r="N46" s="133">
        <f t="shared" si="7"/>
        <v>1.0000000000000004</v>
      </c>
      <c r="O46" s="122">
        <f t="shared" si="8"/>
        <v>134062.53005333408</v>
      </c>
      <c r="P46" s="122">
        <f t="shared" si="9"/>
        <v>282240.67454940564</v>
      </c>
      <c r="Q46" s="122">
        <f t="shared" si="10"/>
        <v>7565.7953972604246</v>
      </c>
      <c r="R46" s="122">
        <f t="shared" si="11"/>
        <v>0</v>
      </c>
      <c r="S46" s="131" t="s">
        <v>332</v>
      </c>
    </row>
    <row r="47" spans="1:19" ht="26.4" x14ac:dyDescent="0.3">
      <c r="A47" s="112">
        <v>43</v>
      </c>
      <c r="B47" s="135" t="s">
        <v>24</v>
      </c>
      <c r="C47" s="112" t="s">
        <v>324</v>
      </c>
      <c r="D47" s="128" t="s">
        <v>333</v>
      </c>
      <c r="E47" s="112" t="s">
        <v>255</v>
      </c>
      <c r="F47" s="113">
        <v>12.6</v>
      </c>
      <c r="G47" s="114">
        <v>117102</v>
      </c>
      <c r="H47" s="115">
        <f t="shared" si="6"/>
        <v>1475485</v>
      </c>
      <c r="I47" s="112" t="s">
        <v>299</v>
      </c>
      <c r="J47" s="129">
        <v>0.55333522630531295</v>
      </c>
      <c r="K47" s="129">
        <v>0.30276383026298098</v>
      </c>
      <c r="L47" s="129">
        <v>0.14390094343170601</v>
      </c>
      <c r="M47" s="129">
        <v>0</v>
      </c>
      <c r="N47" s="130">
        <f t="shared" si="7"/>
        <v>1</v>
      </c>
      <c r="O47" s="115">
        <f t="shared" si="8"/>
        <v>816437.82638509467</v>
      </c>
      <c r="P47" s="115">
        <f t="shared" si="9"/>
        <v>446723.49009557447</v>
      </c>
      <c r="Q47" s="115">
        <f t="shared" si="10"/>
        <v>212323.68351933075</v>
      </c>
      <c r="R47" s="115">
        <f t="shared" si="11"/>
        <v>0</v>
      </c>
      <c r="S47" s="128" t="s">
        <v>334</v>
      </c>
    </row>
    <row r="48" spans="1:19" ht="26.4" x14ac:dyDescent="0.3">
      <c r="A48" s="119">
        <v>44</v>
      </c>
      <c r="B48" s="135" t="s">
        <v>24</v>
      </c>
      <c r="C48" s="119" t="s">
        <v>341</v>
      </c>
      <c r="D48" s="131" t="s">
        <v>335</v>
      </c>
      <c r="E48" s="119" t="s">
        <v>167</v>
      </c>
      <c r="F48" s="120">
        <v>25.2</v>
      </c>
      <c r="G48" s="121">
        <v>53893</v>
      </c>
      <c r="H48" s="122">
        <f t="shared" si="6"/>
        <v>1358104</v>
      </c>
      <c r="I48" s="119" t="s">
        <v>299</v>
      </c>
      <c r="J48" s="132">
        <v>0.20087567908401599</v>
      </c>
      <c r="K48" s="132">
        <v>0.78387964461059101</v>
      </c>
      <c r="L48" s="132">
        <v>1.52446763053933E-2</v>
      </c>
      <c r="M48" s="132">
        <v>0</v>
      </c>
      <c r="N48" s="133">
        <f t="shared" si="7"/>
        <v>1.0000000000000002</v>
      </c>
      <c r="O48" s="122">
        <f t="shared" si="8"/>
        <v>272810.06326671847</v>
      </c>
      <c r="P48" s="122">
        <f t="shared" si="9"/>
        <v>1064590.080864222</v>
      </c>
      <c r="Q48" s="122">
        <f t="shared" si="10"/>
        <v>20703.855869059862</v>
      </c>
      <c r="R48" s="122">
        <f t="shared" si="11"/>
        <v>0</v>
      </c>
      <c r="S48" s="131" t="s">
        <v>335</v>
      </c>
    </row>
    <row r="49" spans="1:19" ht="26.4" x14ac:dyDescent="0.3">
      <c r="A49" s="112">
        <v>45</v>
      </c>
      <c r="B49" s="135" t="s">
        <v>24</v>
      </c>
      <c r="C49" s="112" t="s">
        <v>344</v>
      </c>
      <c r="D49" s="128" t="s">
        <v>336</v>
      </c>
      <c r="E49" s="112" t="s">
        <v>184</v>
      </c>
      <c r="F49" s="113">
        <v>220</v>
      </c>
      <c r="G49" s="114">
        <v>6098</v>
      </c>
      <c r="H49" s="115">
        <f t="shared" si="6"/>
        <v>1341560</v>
      </c>
      <c r="I49" s="112" t="s">
        <v>299</v>
      </c>
      <c r="J49" s="129">
        <v>0.80770807708077097</v>
      </c>
      <c r="K49" s="129">
        <v>0.192291922919229</v>
      </c>
      <c r="L49" s="129">
        <v>0</v>
      </c>
      <c r="M49" s="129">
        <v>0</v>
      </c>
      <c r="N49" s="130">
        <f t="shared" si="7"/>
        <v>1</v>
      </c>
      <c r="O49" s="115">
        <f t="shared" si="8"/>
        <v>1083588.847888479</v>
      </c>
      <c r="P49" s="115">
        <f t="shared" si="9"/>
        <v>257971.15211152087</v>
      </c>
      <c r="Q49" s="115">
        <f t="shared" si="10"/>
        <v>0</v>
      </c>
      <c r="R49" s="115">
        <f t="shared" si="11"/>
        <v>0</v>
      </c>
      <c r="S49" s="128" t="s">
        <v>337</v>
      </c>
    </row>
    <row r="50" spans="1:19" ht="26.4" x14ac:dyDescent="0.3">
      <c r="A50" s="119">
        <v>46</v>
      </c>
      <c r="B50" s="135" t="s">
        <v>24</v>
      </c>
      <c r="C50" s="119" t="s">
        <v>346</v>
      </c>
      <c r="D50" s="131" t="s">
        <v>338</v>
      </c>
      <c r="E50" s="119" t="s">
        <v>167</v>
      </c>
      <c r="F50" s="120">
        <v>33</v>
      </c>
      <c r="G50" s="121">
        <v>54232</v>
      </c>
      <c r="H50" s="122">
        <f t="shared" si="6"/>
        <v>1789656</v>
      </c>
      <c r="I50" s="119" t="s">
        <v>299</v>
      </c>
      <c r="J50" s="132">
        <v>0.43027986523092299</v>
      </c>
      <c r="K50" s="132">
        <v>0.36930985881158901</v>
      </c>
      <c r="L50" s="132">
        <v>0.200410275957489</v>
      </c>
      <c r="M50" s="132">
        <v>0</v>
      </c>
      <c r="N50" s="133">
        <f t="shared" si="7"/>
        <v>1.0000000000000011</v>
      </c>
      <c r="O50" s="122">
        <f t="shared" si="8"/>
        <v>770052.94248971273</v>
      </c>
      <c r="P50" s="122">
        <f t="shared" si="9"/>
        <v>660937.60468131315</v>
      </c>
      <c r="Q50" s="122">
        <f t="shared" si="10"/>
        <v>358665.45282897592</v>
      </c>
      <c r="R50" s="122">
        <f t="shared" si="11"/>
        <v>0</v>
      </c>
      <c r="S50" s="131" t="s">
        <v>339</v>
      </c>
    </row>
    <row r="51" spans="1:19" ht="26.4" x14ac:dyDescent="0.3">
      <c r="A51" s="112">
        <v>47</v>
      </c>
      <c r="B51" s="135" t="s">
        <v>24</v>
      </c>
      <c r="C51" s="112" t="s">
        <v>349</v>
      </c>
      <c r="D51" s="128" t="s">
        <v>340</v>
      </c>
      <c r="E51" s="112" t="s">
        <v>167</v>
      </c>
      <c r="F51" s="113">
        <v>33</v>
      </c>
      <c r="G51" s="114">
        <v>20601</v>
      </c>
      <c r="H51" s="115">
        <f t="shared" si="6"/>
        <v>679833</v>
      </c>
      <c r="I51" s="112" t="s">
        <v>299</v>
      </c>
      <c r="J51" s="129">
        <v>0.660045184152388</v>
      </c>
      <c r="K51" s="129">
        <v>0.313262807170338</v>
      </c>
      <c r="L51" s="129">
        <v>2.6692008677274899E-2</v>
      </c>
      <c r="M51" s="129">
        <v>0</v>
      </c>
      <c r="N51" s="130">
        <f t="shared" si="7"/>
        <v>1.0000000000000009</v>
      </c>
      <c r="O51" s="115">
        <f t="shared" si="8"/>
        <v>448720.49767787039</v>
      </c>
      <c r="P51" s="115">
        <f t="shared" si="9"/>
        <v>212966.39398703238</v>
      </c>
      <c r="Q51" s="115">
        <f t="shared" si="10"/>
        <v>18146.108335097826</v>
      </c>
      <c r="R51" s="115">
        <f t="shared" si="11"/>
        <v>0</v>
      </c>
      <c r="S51" s="128" t="s">
        <v>340</v>
      </c>
    </row>
    <row r="52" spans="1:19" ht="26.4" x14ac:dyDescent="0.3">
      <c r="A52" s="119">
        <v>48</v>
      </c>
      <c r="B52" s="135" t="s">
        <v>24</v>
      </c>
      <c r="C52" s="119" t="s">
        <v>351</v>
      </c>
      <c r="D52" s="131" t="s">
        <v>342</v>
      </c>
      <c r="E52" s="119" t="s">
        <v>255</v>
      </c>
      <c r="F52" s="120">
        <v>50.4</v>
      </c>
      <c r="G52" s="121">
        <v>48159</v>
      </c>
      <c r="H52" s="122">
        <f t="shared" si="6"/>
        <v>2427214</v>
      </c>
      <c r="I52" s="119" t="s">
        <v>299</v>
      </c>
      <c r="J52" s="132">
        <v>0.58338771254928201</v>
      </c>
      <c r="K52" s="132">
        <v>0.39573565776330399</v>
      </c>
      <c r="L52" s="132">
        <v>2.0876629687413901E-2</v>
      </c>
      <c r="M52" s="132">
        <v>0</v>
      </c>
      <c r="N52" s="133">
        <f t="shared" si="7"/>
        <v>0.99999999999999989</v>
      </c>
      <c r="O52" s="122">
        <f t="shared" si="8"/>
        <v>1416006.823327593</v>
      </c>
      <c r="P52" s="122">
        <f t="shared" si="9"/>
        <v>960535.12882230012</v>
      </c>
      <c r="Q52" s="122">
        <f t="shared" si="10"/>
        <v>50672.047850106646</v>
      </c>
      <c r="R52" s="122">
        <f t="shared" si="11"/>
        <v>0</v>
      </c>
      <c r="S52" s="131" t="s">
        <v>343</v>
      </c>
    </row>
    <row r="53" spans="1:19" ht="26.4" x14ac:dyDescent="0.3">
      <c r="A53" s="112">
        <v>49</v>
      </c>
      <c r="B53" s="135" t="s">
        <v>24</v>
      </c>
      <c r="C53" s="112" t="s">
        <v>353</v>
      </c>
      <c r="D53" s="128" t="s">
        <v>345</v>
      </c>
      <c r="E53" s="112" t="s">
        <v>255</v>
      </c>
      <c r="F53" s="113">
        <v>50.4</v>
      </c>
      <c r="G53" s="114">
        <v>7288</v>
      </c>
      <c r="H53" s="115">
        <f t="shared" si="6"/>
        <v>367315</v>
      </c>
      <c r="I53" s="112" t="s">
        <v>299</v>
      </c>
      <c r="J53" s="129">
        <v>0.36546688220997903</v>
      </c>
      <c r="K53" s="129">
        <v>0.62291742271782502</v>
      </c>
      <c r="L53" s="129">
        <v>1.1615695072196E-2</v>
      </c>
      <c r="M53" s="129">
        <v>0</v>
      </c>
      <c r="N53" s="130">
        <f t="shared" si="7"/>
        <v>1</v>
      </c>
      <c r="O53" s="115">
        <f t="shared" si="8"/>
        <v>134241.46783895846</v>
      </c>
      <c r="P53" s="115">
        <f t="shared" si="9"/>
        <v>228806.9131255979</v>
      </c>
      <c r="Q53" s="115">
        <f t="shared" si="10"/>
        <v>4266.619035443674</v>
      </c>
      <c r="R53" s="115">
        <f t="shared" si="11"/>
        <v>0</v>
      </c>
      <c r="S53" s="128" t="s">
        <v>345</v>
      </c>
    </row>
    <row r="54" spans="1:19" ht="26.4" x14ac:dyDescent="0.3">
      <c r="A54" s="119">
        <v>50</v>
      </c>
      <c r="B54" s="135" t="s">
        <v>24</v>
      </c>
      <c r="C54" s="119" t="s">
        <v>356</v>
      </c>
      <c r="D54" s="131" t="s">
        <v>347</v>
      </c>
      <c r="E54" s="119" t="s">
        <v>167</v>
      </c>
      <c r="F54" s="120">
        <v>20</v>
      </c>
      <c r="G54" s="121">
        <v>48752</v>
      </c>
      <c r="H54" s="122">
        <f t="shared" si="6"/>
        <v>975040</v>
      </c>
      <c r="I54" s="119" t="s">
        <v>299</v>
      </c>
      <c r="J54" s="132">
        <v>0.41149689868403999</v>
      </c>
      <c r="K54" s="132">
        <v>0.40517419858085202</v>
      </c>
      <c r="L54" s="132">
        <v>0.18332890273510799</v>
      </c>
      <c r="M54" s="132">
        <v>0</v>
      </c>
      <c r="N54" s="133">
        <f t="shared" si="7"/>
        <v>1</v>
      </c>
      <c r="O54" s="122">
        <f t="shared" si="8"/>
        <v>401225.93609288638</v>
      </c>
      <c r="P54" s="122">
        <f t="shared" si="9"/>
        <v>395061.05058427394</v>
      </c>
      <c r="Q54" s="122">
        <f t="shared" si="10"/>
        <v>178753.01332283969</v>
      </c>
      <c r="R54" s="122">
        <f t="shared" si="11"/>
        <v>0</v>
      </c>
      <c r="S54" s="131" t="s">
        <v>348</v>
      </c>
    </row>
    <row r="55" spans="1:19" ht="26.4" x14ac:dyDescent="0.3">
      <c r="A55" s="112">
        <v>51</v>
      </c>
      <c r="B55" s="135" t="s">
        <v>24</v>
      </c>
      <c r="C55" s="112" t="s">
        <v>359</v>
      </c>
      <c r="D55" s="128" t="s">
        <v>350</v>
      </c>
      <c r="E55" s="112" t="s">
        <v>255</v>
      </c>
      <c r="F55" s="113">
        <v>50.4</v>
      </c>
      <c r="G55" s="114">
        <v>16019</v>
      </c>
      <c r="H55" s="115">
        <f t="shared" si="6"/>
        <v>807358</v>
      </c>
      <c r="I55" s="112" t="s">
        <v>299</v>
      </c>
      <c r="J55" s="129">
        <v>0.46033655724129302</v>
      </c>
      <c r="K55" s="129">
        <v>0.49007046764894302</v>
      </c>
      <c r="L55" s="129">
        <v>4.9592975109763897E-2</v>
      </c>
      <c r="M55" s="129">
        <v>0</v>
      </c>
      <c r="N55" s="130">
        <f t="shared" si="7"/>
        <v>1</v>
      </c>
      <c r="O55" s="115">
        <f t="shared" si="8"/>
        <v>371656.40218121588</v>
      </c>
      <c r="P55" s="115">
        <f t="shared" si="9"/>
        <v>395662.31262011535</v>
      </c>
      <c r="Q55" s="115">
        <f t="shared" si="10"/>
        <v>40039.28519866876</v>
      </c>
      <c r="R55" s="115">
        <f t="shared" si="11"/>
        <v>0</v>
      </c>
      <c r="S55" s="128" t="s">
        <v>350</v>
      </c>
    </row>
    <row r="56" spans="1:19" ht="26.4" x14ac:dyDescent="0.3">
      <c r="A56" s="119">
        <v>52</v>
      </c>
      <c r="B56" s="135" t="s">
        <v>24</v>
      </c>
      <c r="C56" s="119" t="s">
        <v>360</v>
      </c>
      <c r="D56" s="131" t="s">
        <v>352</v>
      </c>
      <c r="E56" s="119" t="s">
        <v>167</v>
      </c>
      <c r="F56" s="120">
        <v>26.2</v>
      </c>
      <c r="G56" s="121">
        <v>4269</v>
      </c>
      <c r="H56" s="122">
        <f t="shared" si="6"/>
        <v>111848</v>
      </c>
      <c r="I56" s="119" t="s">
        <v>299</v>
      </c>
      <c r="J56" s="132">
        <v>0.66728591876943</v>
      </c>
      <c r="K56" s="132">
        <v>0.31291831728978398</v>
      </c>
      <c r="L56" s="132">
        <v>1.9795763940786099E-2</v>
      </c>
      <c r="M56" s="132">
        <v>0</v>
      </c>
      <c r="N56" s="133">
        <f t="shared" si="7"/>
        <v>1.0000000000000002</v>
      </c>
      <c r="O56" s="122">
        <f t="shared" si="8"/>
        <v>74634.595442523205</v>
      </c>
      <c r="P56" s="122">
        <f t="shared" si="9"/>
        <v>34999.287952227758</v>
      </c>
      <c r="Q56" s="122">
        <f t="shared" si="10"/>
        <v>2214.1166052490435</v>
      </c>
      <c r="R56" s="122">
        <f t="shared" si="11"/>
        <v>0</v>
      </c>
      <c r="S56" s="131" t="s">
        <v>352</v>
      </c>
    </row>
    <row r="57" spans="1:19" ht="26.4" x14ac:dyDescent="0.3">
      <c r="A57" s="112">
        <v>53</v>
      </c>
      <c r="B57" s="135" t="s">
        <v>24</v>
      </c>
      <c r="C57" s="112" t="s">
        <v>362</v>
      </c>
      <c r="D57" s="128" t="s">
        <v>374</v>
      </c>
      <c r="E57" s="112" t="s">
        <v>173</v>
      </c>
      <c r="F57" s="113">
        <v>1</v>
      </c>
      <c r="G57" s="114">
        <v>1107371</v>
      </c>
      <c r="H57" s="115">
        <f t="shared" si="6"/>
        <v>1107371</v>
      </c>
      <c r="I57" s="112" t="s">
        <v>299</v>
      </c>
      <c r="J57" s="129">
        <v>0.42025281831292799</v>
      </c>
      <c r="K57" s="129">
        <v>0.497339458044111</v>
      </c>
      <c r="L57" s="129">
        <v>8.2407723642960798E-2</v>
      </c>
      <c r="M57" s="129">
        <v>0</v>
      </c>
      <c r="N57" s="130">
        <f t="shared" si="7"/>
        <v>0.99999999999999978</v>
      </c>
      <c r="O57" s="115">
        <f t="shared" si="8"/>
        <v>465375.78366800537</v>
      </c>
      <c r="P57" s="115">
        <f t="shared" si="9"/>
        <v>550739.29299376521</v>
      </c>
      <c r="Q57" s="115">
        <f t="shared" si="10"/>
        <v>91255.923338229142</v>
      </c>
      <c r="R57" s="115">
        <f t="shared" si="11"/>
        <v>0</v>
      </c>
      <c r="S57" s="128" t="s">
        <v>355</v>
      </c>
    </row>
    <row r="58" spans="1:19" ht="26.4" x14ac:dyDescent="0.3">
      <c r="A58" s="119">
        <v>54</v>
      </c>
      <c r="B58" s="135" t="s">
        <v>24</v>
      </c>
      <c r="C58" s="119" t="s">
        <v>364</v>
      </c>
      <c r="D58" s="131" t="s">
        <v>357</v>
      </c>
      <c r="E58" s="119" t="s">
        <v>358</v>
      </c>
      <c r="F58" s="120">
        <v>2</v>
      </c>
      <c r="G58" s="121">
        <v>353783</v>
      </c>
      <c r="H58" s="122">
        <f t="shared" si="6"/>
        <v>707566</v>
      </c>
      <c r="I58" s="119" t="s">
        <v>304</v>
      </c>
      <c r="J58" s="132">
        <v>0</v>
      </c>
      <c r="K58" s="132">
        <v>0</v>
      </c>
      <c r="L58" s="132">
        <v>0</v>
      </c>
      <c r="M58" s="132">
        <v>1</v>
      </c>
      <c r="N58" s="133">
        <f t="shared" si="7"/>
        <v>1</v>
      </c>
      <c r="O58" s="122">
        <f t="shared" si="8"/>
        <v>0</v>
      </c>
      <c r="P58" s="122">
        <f t="shared" si="9"/>
        <v>0</v>
      </c>
      <c r="Q58" s="122">
        <f t="shared" si="10"/>
        <v>0</v>
      </c>
      <c r="R58" s="122">
        <f t="shared" si="11"/>
        <v>707566</v>
      </c>
      <c r="S58" s="131" t="s">
        <v>357</v>
      </c>
    </row>
    <row r="59" spans="1:19" ht="26.4" x14ac:dyDescent="0.3">
      <c r="A59" s="112">
        <v>55</v>
      </c>
      <c r="B59" s="135" t="s">
        <v>24</v>
      </c>
      <c r="C59" s="112" t="s">
        <v>375</v>
      </c>
      <c r="D59" s="128" t="s">
        <v>325</v>
      </c>
      <c r="E59" s="112" t="s">
        <v>326</v>
      </c>
      <c r="F59" s="113">
        <v>263.34774179999999</v>
      </c>
      <c r="G59" s="114">
        <v>13092</v>
      </c>
      <c r="H59" s="115">
        <f t="shared" si="6"/>
        <v>3447749</v>
      </c>
      <c r="I59" s="112" t="s">
        <v>304</v>
      </c>
      <c r="J59" s="129">
        <v>0</v>
      </c>
      <c r="K59" s="129">
        <v>0</v>
      </c>
      <c r="L59" s="129">
        <v>0</v>
      </c>
      <c r="M59" s="129">
        <v>1</v>
      </c>
      <c r="N59" s="130">
        <f t="shared" si="7"/>
        <v>1</v>
      </c>
      <c r="O59" s="115">
        <f t="shared" si="8"/>
        <v>0</v>
      </c>
      <c r="P59" s="115">
        <f t="shared" si="9"/>
        <v>0</v>
      </c>
      <c r="Q59" s="115">
        <f t="shared" si="10"/>
        <v>0</v>
      </c>
      <c r="R59" s="115">
        <f t="shared" si="11"/>
        <v>3447749</v>
      </c>
      <c r="S59" s="128" t="s">
        <v>325</v>
      </c>
    </row>
    <row r="60" spans="1:19" ht="26.4" x14ac:dyDescent="0.3">
      <c r="A60" s="119">
        <v>56</v>
      </c>
      <c r="B60" s="135" t="s">
        <v>24</v>
      </c>
      <c r="C60" s="119" t="s">
        <v>376</v>
      </c>
      <c r="D60" s="131" t="s">
        <v>320</v>
      </c>
      <c r="E60" s="119" t="s">
        <v>321</v>
      </c>
      <c r="F60" s="120">
        <v>110.67455575</v>
      </c>
      <c r="G60" s="121">
        <v>9353</v>
      </c>
      <c r="H60" s="122">
        <f t="shared" si="6"/>
        <v>1035139</v>
      </c>
      <c r="I60" s="119" t="s">
        <v>304</v>
      </c>
      <c r="J60" s="132">
        <v>0</v>
      </c>
      <c r="K60" s="132">
        <v>0</v>
      </c>
      <c r="L60" s="132">
        <v>0</v>
      </c>
      <c r="M60" s="132">
        <v>1</v>
      </c>
      <c r="N60" s="133">
        <f t="shared" si="7"/>
        <v>1</v>
      </c>
      <c r="O60" s="122">
        <f t="shared" si="8"/>
        <v>0</v>
      </c>
      <c r="P60" s="122">
        <f t="shared" si="9"/>
        <v>0</v>
      </c>
      <c r="Q60" s="122">
        <f t="shared" si="10"/>
        <v>0</v>
      </c>
      <c r="R60" s="122">
        <f t="shared" si="11"/>
        <v>1035139</v>
      </c>
      <c r="S60" s="131" t="s">
        <v>320</v>
      </c>
    </row>
    <row r="61" spans="1:19" ht="26.4" x14ac:dyDescent="0.3">
      <c r="A61" s="112">
        <v>57</v>
      </c>
      <c r="B61" s="136" t="s">
        <v>25</v>
      </c>
      <c r="C61" s="112" t="s">
        <v>297</v>
      </c>
      <c r="D61" s="128" t="s">
        <v>298</v>
      </c>
      <c r="E61" s="112" t="s">
        <v>167</v>
      </c>
      <c r="F61" s="113">
        <v>500</v>
      </c>
      <c r="G61" s="114">
        <v>2707</v>
      </c>
      <c r="H61" s="115">
        <f t="shared" si="6"/>
        <v>1353500</v>
      </c>
      <c r="I61" s="112" t="s">
        <v>299</v>
      </c>
      <c r="J61" s="129">
        <v>0.16476777349233801</v>
      </c>
      <c r="K61" s="129">
        <v>0.70223581741070795</v>
      </c>
      <c r="L61" s="129">
        <v>0.13299640909695401</v>
      </c>
      <c r="M61" s="129">
        <v>0</v>
      </c>
      <c r="N61" s="130">
        <f t="shared" si="7"/>
        <v>1</v>
      </c>
      <c r="O61" s="115">
        <f t="shared" si="8"/>
        <v>223013.1814218795</v>
      </c>
      <c r="P61" s="115">
        <f t="shared" si="9"/>
        <v>950476.17886539316</v>
      </c>
      <c r="Q61" s="115">
        <f t="shared" si="10"/>
        <v>180010.63971272725</v>
      </c>
      <c r="R61" s="115">
        <f t="shared" si="11"/>
        <v>0</v>
      </c>
      <c r="S61" s="128" t="s">
        <v>300</v>
      </c>
    </row>
    <row r="62" spans="1:19" ht="26.4" x14ac:dyDescent="0.3">
      <c r="A62" s="119">
        <v>58</v>
      </c>
      <c r="B62" s="136" t="s">
        <v>25</v>
      </c>
      <c r="C62" s="119" t="s">
        <v>301</v>
      </c>
      <c r="D62" s="131" t="s">
        <v>302</v>
      </c>
      <c r="E62" s="119" t="s">
        <v>303</v>
      </c>
      <c r="F62" s="120">
        <v>3</v>
      </c>
      <c r="G62" s="121">
        <v>187668</v>
      </c>
      <c r="H62" s="122">
        <f t="shared" si="6"/>
        <v>563004</v>
      </c>
      <c r="I62" s="119" t="s">
        <v>304</v>
      </c>
      <c r="J62" s="132">
        <v>0</v>
      </c>
      <c r="K62" s="132">
        <v>0</v>
      </c>
      <c r="L62" s="132">
        <v>0</v>
      </c>
      <c r="M62" s="132">
        <v>1</v>
      </c>
      <c r="N62" s="133">
        <f t="shared" si="7"/>
        <v>1</v>
      </c>
      <c r="O62" s="122">
        <f t="shared" si="8"/>
        <v>0</v>
      </c>
      <c r="P62" s="122">
        <f t="shared" si="9"/>
        <v>0</v>
      </c>
      <c r="Q62" s="122">
        <f t="shared" si="10"/>
        <v>0</v>
      </c>
      <c r="R62" s="122">
        <f t="shared" si="11"/>
        <v>563004</v>
      </c>
      <c r="S62" s="131" t="s">
        <v>302</v>
      </c>
    </row>
    <row r="63" spans="1:19" x14ac:dyDescent="0.3">
      <c r="A63" s="112">
        <v>59</v>
      </c>
      <c r="B63" s="136" t="s">
        <v>25</v>
      </c>
      <c r="C63" s="112" t="s">
        <v>305</v>
      </c>
      <c r="D63" s="128" t="s">
        <v>306</v>
      </c>
      <c r="E63" s="112" t="s">
        <v>170</v>
      </c>
      <c r="F63" s="113">
        <v>60</v>
      </c>
      <c r="G63" s="114">
        <v>46775</v>
      </c>
      <c r="H63" s="115">
        <f t="shared" si="6"/>
        <v>2806500</v>
      </c>
      <c r="I63" s="112" t="s">
        <v>299</v>
      </c>
      <c r="J63" s="129">
        <v>0</v>
      </c>
      <c r="K63" s="129">
        <v>0.96619895094411801</v>
      </c>
      <c r="L63" s="129">
        <v>3.3801049055881903E-2</v>
      </c>
      <c r="M63" s="129">
        <v>0</v>
      </c>
      <c r="N63" s="130">
        <f t="shared" si="7"/>
        <v>0.99999999999999989</v>
      </c>
      <c r="O63" s="115">
        <f t="shared" si="8"/>
        <v>0</v>
      </c>
      <c r="P63" s="115">
        <f t="shared" si="9"/>
        <v>2711637.355824667</v>
      </c>
      <c r="Q63" s="115">
        <f t="shared" si="10"/>
        <v>94862.644175332563</v>
      </c>
      <c r="R63" s="115">
        <f t="shared" si="11"/>
        <v>0</v>
      </c>
      <c r="S63" s="128" t="s">
        <v>307</v>
      </c>
    </row>
    <row r="64" spans="1:19" ht="26.4" x14ac:dyDescent="0.3">
      <c r="A64" s="119">
        <v>60</v>
      </c>
      <c r="B64" s="136" t="s">
        <v>25</v>
      </c>
      <c r="C64" s="119" t="s">
        <v>308</v>
      </c>
      <c r="D64" s="131" t="s">
        <v>361</v>
      </c>
      <c r="E64" s="119" t="s">
        <v>167</v>
      </c>
      <c r="F64" s="120">
        <v>1</v>
      </c>
      <c r="G64" s="121">
        <v>187059</v>
      </c>
      <c r="H64" s="122">
        <f t="shared" si="6"/>
        <v>187059</v>
      </c>
      <c r="I64" s="119" t="s">
        <v>299</v>
      </c>
      <c r="J64" s="132">
        <v>0</v>
      </c>
      <c r="K64" s="132">
        <v>0.99002098768086</v>
      </c>
      <c r="L64" s="132">
        <v>9.9790123191401004E-3</v>
      </c>
      <c r="M64" s="132">
        <v>0</v>
      </c>
      <c r="N64" s="133">
        <f t="shared" si="7"/>
        <v>1</v>
      </c>
      <c r="O64" s="122">
        <f t="shared" si="8"/>
        <v>0</v>
      </c>
      <c r="P64" s="122">
        <f t="shared" si="9"/>
        <v>185192.33593459398</v>
      </c>
      <c r="Q64" s="122">
        <f t="shared" si="10"/>
        <v>1866.6640654060279</v>
      </c>
      <c r="R64" s="122">
        <f t="shared" si="11"/>
        <v>0</v>
      </c>
      <c r="S64" s="131" t="s">
        <v>361</v>
      </c>
    </row>
    <row r="65" spans="1:19" x14ac:dyDescent="0.3">
      <c r="A65" s="112">
        <v>61</v>
      </c>
      <c r="B65" s="136" t="s">
        <v>25</v>
      </c>
      <c r="C65" s="112" t="s">
        <v>310</v>
      </c>
      <c r="D65" s="128" t="s">
        <v>377</v>
      </c>
      <c r="E65" s="112" t="s">
        <v>173</v>
      </c>
      <c r="F65" s="113">
        <v>1</v>
      </c>
      <c r="G65" s="114">
        <v>135450</v>
      </c>
      <c r="H65" s="115">
        <f t="shared" si="6"/>
        <v>135450</v>
      </c>
      <c r="I65" s="112" t="s">
        <v>299</v>
      </c>
      <c r="J65" s="129">
        <v>0.73898184231293396</v>
      </c>
      <c r="K65" s="129">
        <v>0.25753517204605803</v>
      </c>
      <c r="L65" s="129">
        <v>3.4829856410080401E-3</v>
      </c>
      <c r="M65" s="129">
        <v>0</v>
      </c>
      <c r="N65" s="130">
        <f t="shared" si="7"/>
        <v>1</v>
      </c>
      <c r="O65" s="115">
        <f t="shared" si="8"/>
        <v>100095.0905412869</v>
      </c>
      <c r="P65" s="115">
        <f t="shared" si="9"/>
        <v>34883.139053638559</v>
      </c>
      <c r="Q65" s="115">
        <f t="shared" si="10"/>
        <v>471.77040507453904</v>
      </c>
      <c r="R65" s="115">
        <f t="shared" si="11"/>
        <v>0</v>
      </c>
      <c r="S65" s="128" t="s">
        <v>363</v>
      </c>
    </row>
    <row r="66" spans="1:19" ht="26.4" x14ac:dyDescent="0.3">
      <c r="A66" s="119">
        <v>62</v>
      </c>
      <c r="B66" s="136" t="s">
        <v>25</v>
      </c>
      <c r="C66" s="119" t="s">
        <v>312</v>
      </c>
      <c r="D66" s="131" t="s">
        <v>378</v>
      </c>
      <c r="E66" s="119" t="s">
        <v>255</v>
      </c>
      <c r="F66" s="120">
        <v>9.5399999999999991</v>
      </c>
      <c r="G66" s="121">
        <v>183802.23</v>
      </c>
      <c r="H66" s="122">
        <f t="shared" si="6"/>
        <v>1753473</v>
      </c>
      <c r="I66" s="119" t="s">
        <v>299</v>
      </c>
      <c r="J66" s="132">
        <v>0.56890076904942899</v>
      </c>
      <c r="K66" s="132">
        <v>0.42190456557572797</v>
      </c>
      <c r="L66" s="132">
        <v>9.1946653748433901E-3</v>
      </c>
      <c r="M66" s="132">
        <v>0</v>
      </c>
      <c r="N66" s="133">
        <f t="shared" si="7"/>
        <v>1.0000000000000004</v>
      </c>
      <c r="O66" s="122">
        <f t="shared" si="8"/>
        <v>997552.13820740941</v>
      </c>
      <c r="P66" s="122">
        <f t="shared" si="9"/>
        <v>739798.26431376848</v>
      </c>
      <c r="Q66" s="122">
        <f t="shared" si="10"/>
        <v>16122.597478822763</v>
      </c>
      <c r="R66" s="122">
        <f t="shared" si="11"/>
        <v>0</v>
      </c>
      <c r="S66" s="131" t="s">
        <v>379</v>
      </c>
    </row>
    <row r="67" spans="1:19" ht="26.4" x14ac:dyDescent="0.3">
      <c r="A67" s="112">
        <v>63</v>
      </c>
      <c r="B67" s="136" t="s">
        <v>25</v>
      </c>
      <c r="C67" s="112" t="s">
        <v>314</v>
      </c>
      <c r="D67" s="128" t="s">
        <v>380</v>
      </c>
      <c r="E67" s="112" t="s">
        <v>170</v>
      </c>
      <c r="F67" s="113">
        <v>2.7029999999999998</v>
      </c>
      <c r="G67" s="114">
        <v>1089035.47</v>
      </c>
      <c r="H67" s="115">
        <f t="shared" si="6"/>
        <v>2943663</v>
      </c>
      <c r="I67" s="112" t="s">
        <v>299</v>
      </c>
      <c r="J67" s="129">
        <v>0.57717263332111701</v>
      </c>
      <c r="K67" s="129">
        <v>0.41817187093088898</v>
      </c>
      <c r="L67" s="129">
        <v>4.6554957479943201E-3</v>
      </c>
      <c r="M67" s="129">
        <v>0</v>
      </c>
      <c r="N67" s="130">
        <f t="shared" si="7"/>
        <v>1.0000000000000002</v>
      </c>
      <c r="O67" s="115">
        <f t="shared" si="8"/>
        <v>1699001.7253199392</v>
      </c>
      <c r="P67" s="115">
        <f t="shared" si="9"/>
        <v>1230957.0641000334</v>
      </c>
      <c r="Q67" s="115">
        <f t="shared" si="10"/>
        <v>13704.210580028204</v>
      </c>
      <c r="R67" s="115">
        <f t="shared" si="11"/>
        <v>0</v>
      </c>
      <c r="S67" s="128" t="s">
        <v>381</v>
      </c>
    </row>
    <row r="68" spans="1:19" ht="26.4" x14ac:dyDescent="0.3">
      <c r="A68" s="119">
        <v>64</v>
      </c>
      <c r="B68" s="136" t="s">
        <v>25</v>
      </c>
      <c r="C68" s="119" t="s">
        <v>317</v>
      </c>
      <c r="D68" s="131" t="s">
        <v>382</v>
      </c>
      <c r="E68" s="119" t="s">
        <v>255</v>
      </c>
      <c r="F68" s="120">
        <v>9.5399999999999991</v>
      </c>
      <c r="G68" s="121">
        <v>220887.04000000001</v>
      </c>
      <c r="H68" s="122">
        <f t="shared" si="6"/>
        <v>2107262</v>
      </c>
      <c r="I68" s="119" t="s">
        <v>299</v>
      </c>
      <c r="J68" s="132">
        <v>0.43220299389226302</v>
      </c>
      <c r="K68" s="132">
        <v>0.56014603663483398</v>
      </c>
      <c r="L68" s="132">
        <v>7.65096947290344E-3</v>
      </c>
      <c r="M68" s="132">
        <v>0</v>
      </c>
      <c r="N68" s="133">
        <f t="shared" si="7"/>
        <v>1.0000000000000004</v>
      </c>
      <c r="O68" s="122">
        <f t="shared" si="8"/>
        <v>910764.94531539793</v>
      </c>
      <c r="P68" s="122">
        <f t="shared" si="9"/>
        <v>1180374.4574511936</v>
      </c>
      <c r="Q68" s="122">
        <f t="shared" si="10"/>
        <v>16122.597233409449</v>
      </c>
      <c r="R68" s="122">
        <f t="shared" si="11"/>
        <v>0</v>
      </c>
      <c r="S68" s="131" t="s">
        <v>383</v>
      </c>
    </row>
    <row r="69" spans="1:19" x14ac:dyDescent="0.3">
      <c r="A69" s="112">
        <v>65</v>
      </c>
      <c r="B69" s="136" t="s">
        <v>25</v>
      </c>
      <c r="C69" s="112" t="s">
        <v>319</v>
      </c>
      <c r="D69" s="128" t="s">
        <v>384</v>
      </c>
      <c r="E69" s="112" t="s">
        <v>173</v>
      </c>
      <c r="F69" s="113">
        <v>3</v>
      </c>
      <c r="G69" s="114">
        <v>250000</v>
      </c>
      <c r="H69" s="115">
        <f t="shared" ref="H69:H100" si="12">ROUND(F69*G69,0)</f>
        <v>750000</v>
      </c>
      <c r="I69" s="112" t="s">
        <v>299</v>
      </c>
      <c r="J69" s="129">
        <v>0.92322293433484603</v>
      </c>
      <c r="K69" s="129">
        <v>7.6152966961544097E-2</v>
      </c>
      <c r="L69" s="129">
        <v>6.2409870361035597E-4</v>
      </c>
      <c r="M69" s="129">
        <v>0</v>
      </c>
      <c r="N69" s="130">
        <f t="shared" ref="N69:N100" si="13">SUM(J69:M69)</f>
        <v>1.0000000000000004</v>
      </c>
      <c r="O69" s="115">
        <f t="shared" ref="O69:O97" si="14">H69*J69</f>
        <v>692417.20075113454</v>
      </c>
      <c r="P69" s="115">
        <f t="shared" ref="P69:P97" si="15">H69*K69</f>
        <v>57114.725221158071</v>
      </c>
      <c r="Q69" s="115">
        <f t="shared" ref="Q69:Q97" si="16">H69*L69</f>
        <v>468.07402770776696</v>
      </c>
      <c r="R69" s="115">
        <f t="shared" ref="R69:R97" si="17">H69*M69</f>
        <v>0</v>
      </c>
      <c r="S69" s="128" t="s">
        <v>385</v>
      </c>
    </row>
    <row r="70" spans="1:19" ht="26.4" x14ac:dyDescent="0.3">
      <c r="A70" s="119">
        <v>66</v>
      </c>
      <c r="B70" s="136" t="s">
        <v>25</v>
      </c>
      <c r="C70" s="119" t="s">
        <v>322</v>
      </c>
      <c r="D70" s="131" t="s">
        <v>336</v>
      </c>
      <c r="E70" s="119" t="s">
        <v>386</v>
      </c>
      <c r="F70" s="120">
        <v>527.58000000000004</v>
      </c>
      <c r="G70" s="121">
        <v>6098</v>
      </c>
      <c r="H70" s="122">
        <f t="shared" si="12"/>
        <v>3217183</v>
      </c>
      <c r="I70" s="119" t="s">
        <v>299</v>
      </c>
      <c r="J70" s="132">
        <v>0.80770807708077097</v>
      </c>
      <c r="K70" s="132">
        <v>0.192291922919229</v>
      </c>
      <c r="L70" s="132">
        <v>0</v>
      </c>
      <c r="M70" s="132">
        <v>0</v>
      </c>
      <c r="N70" s="133">
        <f t="shared" si="13"/>
        <v>1</v>
      </c>
      <c r="O70" s="122">
        <f t="shared" si="14"/>
        <v>2598544.6945469459</v>
      </c>
      <c r="P70" s="122">
        <f t="shared" si="15"/>
        <v>618638.30545305391</v>
      </c>
      <c r="Q70" s="122">
        <f t="shared" si="16"/>
        <v>0</v>
      </c>
      <c r="R70" s="122">
        <f t="shared" si="17"/>
        <v>0</v>
      </c>
      <c r="S70" s="131" t="s">
        <v>337</v>
      </c>
    </row>
    <row r="71" spans="1:19" ht="39.6" x14ac:dyDescent="0.3">
      <c r="A71" s="112">
        <v>67</v>
      </c>
      <c r="B71" s="136" t="s">
        <v>25</v>
      </c>
      <c r="C71" s="112" t="s">
        <v>324</v>
      </c>
      <c r="D71" s="128" t="s">
        <v>387</v>
      </c>
      <c r="E71" s="112" t="s">
        <v>197</v>
      </c>
      <c r="F71" s="113">
        <v>1</v>
      </c>
      <c r="G71" s="114">
        <v>1417833.39</v>
      </c>
      <c r="H71" s="115">
        <f t="shared" si="12"/>
        <v>1417833</v>
      </c>
      <c r="I71" s="112" t="s">
        <v>299</v>
      </c>
      <c r="J71" s="129">
        <v>0.33157872660905502</v>
      </c>
      <c r="K71" s="129">
        <v>0.66365343533064902</v>
      </c>
      <c r="L71" s="129">
        <v>4.7678380602956504E-3</v>
      </c>
      <c r="M71" s="129">
        <v>0</v>
      </c>
      <c r="N71" s="130">
        <f t="shared" si="13"/>
        <v>0.99999999999999967</v>
      </c>
      <c r="O71" s="115">
        <f t="shared" si="14"/>
        <v>470123.26068429631</v>
      </c>
      <c r="P71" s="115">
        <f t="shared" si="15"/>
        <v>940949.74117516004</v>
      </c>
      <c r="Q71" s="115">
        <f t="shared" si="16"/>
        <v>6759.9981405431627</v>
      </c>
      <c r="R71" s="115">
        <f t="shared" si="17"/>
        <v>0</v>
      </c>
      <c r="S71" s="128" t="s">
        <v>388</v>
      </c>
    </row>
    <row r="72" spans="1:19" x14ac:dyDescent="0.3">
      <c r="A72" s="119">
        <v>68</v>
      </c>
      <c r="B72" s="136" t="s">
        <v>25</v>
      </c>
      <c r="C72" s="119" t="s">
        <v>341</v>
      </c>
      <c r="D72" s="131" t="s">
        <v>313</v>
      </c>
      <c r="E72" s="119" t="s">
        <v>170</v>
      </c>
      <c r="F72" s="120">
        <v>7</v>
      </c>
      <c r="G72" s="121">
        <v>72762</v>
      </c>
      <c r="H72" s="122">
        <f t="shared" si="12"/>
        <v>509334</v>
      </c>
      <c r="I72" s="119" t="s">
        <v>299</v>
      </c>
      <c r="J72" s="132">
        <v>0.900909574811944</v>
      </c>
      <c r="K72" s="132">
        <v>9.6765940941594894E-2</v>
      </c>
      <c r="L72" s="132">
        <v>2.32448424646135E-3</v>
      </c>
      <c r="M72" s="132">
        <v>0</v>
      </c>
      <c r="N72" s="133">
        <f t="shared" si="13"/>
        <v>1.0000000000000002</v>
      </c>
      <c r="O72" s="122">
        <f t="shared" si="14"/>
        <v>458863.8773772667</v>
      </c>
      <c r="P72" s="122">
        <f t="shared" si="15"/>
        <v>49286.183763546294</v>
      </c>
      <c r="Q72" s="122">
        <f t="shared" si="16"/>
        <v>1183.9388591871452</v>
      </c>
      <c r="R72" s="122">
        <f t="shared" si="17"/>
        <v>0</v>
      </c>
      <c r="S72" s="131" t="s">
        <v>313</v>
      </c>
    </row>
    <row r="73" spans="1:19" x14ac:dyDescent="0.3">
      <c r="A73" s="112">
        <v>69</v>
      </c>
      <c r="B73" s="136" t="s">
        <v>25</v>
      </c>
      <c r="C73" s="112" t="s">
        <v>344</v>
      </c>
      <c r="D73" s="128" t="s">
        <v>389</v>
      </c>
      <c r="E73" s="112" t="s">
        <v>167</v>
      </c>
      <c r="F73" s="113">
        <v>500</v>
      </c>
      <c r="G73" s="114">
        <v>19752</v>
      </c>
      <c r="H73" s="115">
        <f t="shared" si="12"/>
        <v>9876000</v>
      </c>
      <c r="I73" s="112" t="s">
        <v>299</v>
      </c>
      <c r="J73" s="129">
        <v>0.52844074136707198</v>
      </c>
      <c r="K73" s="129">
        <v>0.42877561828689198</v>
      </c>
      <c r="L73" s="129">
        <v>4.27836403460361E-2</v>
      </c>
      <c r="M73" s="129">
        <v>0</v>
      </c>
      <c r="N73" s="130">
        <f t="shared" si="13"/>
        <v>1</v>
      </c>
      <c r="O73" s="115">
        <f t="shared" si="14"/>
        <v>5218880.7617412033</v>
      </c>
      <c r="P73" s="115">
        <f t="shared" si="15"/>
        <v>4234588.0062013455</v>
      </c>
      <c r="Q73" s="115">
        <f t="shared" si="16"/>
        <v>422531.23205745255</v>
      </c>
      <c r="R73" s="115">
        <f t="shared" si="17"/>
        <v>0</v>
      </c>
      <c r="S73" s="128" t="s">
        <v>389</v>
      </c>
    </row>
    <row r="74" spans="1:19" ht="26.4" x14ac:dyDescent="0.3">
      <c r="A74" s="119">
        <v>70</v>
      </c>
      <c r="B74" s="136" t="s">
        <v>25</v>
      </c>
      <c r="C74" s="119" t="s">
        <v>346</v>
      </c>
      <c r="D74" s="131" t="s">
        <v>366</v>
      </c>
      <c r="E74" s="119" t="s">
        <v>255</v>
      </c>
      <c r="F74" s="120">
        <v>45.1</v>
      </c>
      <c r="G74" s="121">
        <v>32729.8</v>
      </c>
      <c r="H74" s="122">
        <f t="shared" si="12"/>
        <v>1476114</v>
      </c>
      <c r="I74" s="119" t="s">
        <v>299</v>
      </c>
      <c r="J74" s="132">
        <v>0.45371496312229198</v>
      </c>
      <c r="K74" s="132">
        <v>0.54112154672500301</v>
      </c>
      <c r="L74" s="132">
        <v>5.1634901527048797E-3</v>
      </c>
      <c r="M74" s="132">
        <v>0</v>
      </c>
      <c r="N74" s="133">
        <f t="shared" si="13"/>
        <v>0.99999999999999989</v>
      </c>
      <c r="O74" s="122">
        <f t="shared" si="14"/>
        <v>669735.0090742989</v>
      </c>
      <c r="P74" s="122">
        <f t="shared" si="15"/>
        <v>798757.09082243114</v>
      </c>
      <c r="Q74" s="122">
        <f t="shared" si="16"/>
        <v>7621.9001032698106</v>
      </c>
      <c r="R74" s="122">
        <f t="shared" si="17"/>
        <v>0</v>
      </c>
      <c r="S74" s="131" t="s">
        <v>367</v>
      </c>
    </row>
    <row r="75" spans="1:19" x14ac:dyDescent="0.3">
      <c r="A75" s="112">
        <v>71</v>
      </c>
      <c r="B75" s="136" t="s">
        <v>25</v>
      </c>
      <c r="C75" s="112" t="s">
        <v>349</v>
      </c>
      <c r="D75" s="128" t="s">
        <v>368</v>
      </c>
      <c r="E75" s="112" t="s">
        <v>173</v>
      </c>
      <c r="F75" s="113">
        <v>2</v>
      </c>
      <c r="G75" s="114">
        <v>4598532</v>
      </c>
      <c r="H75" s="115">
        <f t="shared" si="12"/>
        <v>9197064</v>
      </c>
      <c r="I75" s="112" t="s">
        <v>299</v>
      </c>
      <c r="J75" s="129">
        <v>0.93728442458234595</v>
      </c>
      <c r="K75" s="129">
        <v>6.2715575417653893E-2</v>
      </c>
      <c r="L75" s="129">
        <v>0</v>
      </c>
      <c r="M75" s="129">
        <v>0</v>
      </c>
      <c r="N75" s="130">
        <f t="shared" si="13"/>
        <v>0.99999999999999989</v>
      </c>
      <c r="O75" s="115">
        <f t="shared" si="14"/>
        <v>8620264.8390870094</v>
      </c>
      <c r="P75" s="115">
        <f t="shared" si="15"/>
        <v>576799.16091298964</v>
      </c>
      <c r="Q75" s="115">
        <f t="shared" si="16"/>
        <v>0</v>
      </c>
      <c r="R75" s="115">
        <f t="shared" si="17"/>
        <v>0</v>
      </c>
      <c r="S75" s="128" t="s">
        <v>369</v>
      </c>
    </row>
    <row r="76" spans="1:19" ht="26.4" x14ac:dyDescent="0.3">
      <c r="A76" s="119">
        <v>72</v>
      </c>
      <c r="B76" s="136" t="s">
        <v>25</v>
      </c>
      <c r="C76" s="119" t="s">
        <v>351</v>
      </c>
      <c r="D76" s="131" t="s">
        <v>370</v>
      </c>
      <c r="E76" s="119" t="s">
        <v>173</v>
      </c>
      <c r="F76" s="120">
        <v>2</v>
      </c>
      <c r="G76" s="121">
        <v>204649</v>
      </c>
      <c r="H76" s="122">
        <f t="shared" si="12"/>
        <v>409298</v>
      </c>
      <c r="I76" s="119" t="s">
        <v>299</v>
      </c>
      <c r="J76" s="132">
        <v>0.69264936549897604</v>
      </c>
      <c r="K76" s="132">
        <v>0.30652483031923</v>
      </c>
      <c r="L76" s="132">
        <v>8.2580418179419403E-4</v>
      </c>
      <c r="M76" s="132">
        <v>0</v>
      </c>
      <c r="N76" s="133">
        <f t="shared" si="13"/>
        <v>1.0000000000000002</v>
      </c>
      <c r="O76" s="122">
        <f t="shared" si="14"/>
        <v>283499.99999999988</v>
      </c>
      <c r="P76" s="122">
        <f t="shared" si="15"/>
        <v>125460.0000000002</v>
      </c>
      <c r="Q76" s="122">
        <f t="shared" si="16"/>
        <v>338.00000000000006</v>
      </c>
      <c r="R76" s="122">
        <f t="shared" si="17"/>
        <v>0</v>
      </c>
      <c r="S76" s="131" t="s">
        <v>371</v>
      </c>
    </row>
    <row r="77" spans="1:19" ht="39.6" x14ac:dyDescent="0.3">
      <c r="A77" s="112">
        <v>73</v>
      </c>
      <c r="B77" s="136" t="s">
        <v>25</v>
      </c>
      <c r="C77" s="112" t="s">
        <v>353</v>
      </c>
      <c r="D77" s="128" t="s">
        <v>390</v>
      </c>
      <c r="E77" s="112" t="s">
        <v>197</v>
      </c>
      <c r="F77" s="113">
        <v>1</v>
      </c>
      <c r="G77" s="114">
        <v>1984055.99</v>
      </c>
      <c r="H77" s="115">
        <f t="shared" si="12"/>
        <v>1984056</v>
      </c>
      <c r="I77" s="112" t="s">
        <v>299</v>
      </c>
      <c r="J77" s="129">
        <v>0.36425181226866499</v>
      </c>
      <c r="K77" s="129">
        <v>0.63234102581953799</v>
      </c>
      <c r="L77" s="129">
        <v>3.40716191179665E-3</v>
      </c>
      <c r="M77" s="129">
        <v>0</v>
      </c>
      <c r="N77" s="130">
        <f t="shared" si="13"/>
        <v>0.99999999999999967</v>
      </c>
      <c r="O77" s="115">
        <f t="shared" si="14"/>
        <v>722695.99364251841</v>
      </c>
      <c r="P77" s="115">
        <f t="shared" si="15"/>
        <v>1254600.0063234093</v>
      </c>
      <c r="Q77" s="115">
        <f t="shared" si="16"/>
        <v>6760.0000340716142</v>
      </c>
      <c r="R77" s="115">
        <f t="shared" si="17"/>
        <v>0</v>
      </c>
      <c r="S77" s="128" t="s">
        <v>388</v>
      </c>
    </row>
    <row r="78" spans="1:19" ht="26.4" x14ac:dyDescent="0.3">
      <c r="A78" s="119">
        <v>74</v>
      </c>
      <c r="B78" s="136" t="s">
        <v>25</v>
      </c>
      <c r="C78" s="119" t="s">
        <v>356</v>
      </c>
      <c r="D78" s="131" t="s">
        <v>320</v>
      </c>
      <c r="E78" s="119" t="s">
        <v>321</v>
      </c>
      <c r="F78" s="120">
        <v>183.27957499999999</v>
      </c>
      <c r="G78" s="121">
        <v>9353</v>
      </c>
      <c r="H78" s="122">
        <f t="shared" si="12"/>
        <v>1714214</v>
      </c>
      <c r="I78" s="119" t="s">
        <v>304</v>
      </c>
      <c r="J78" s="132">
        <v>0</v>
      </c>
      <c r="K78" s="132">
        <v>0</v>
      </c>
      <c r="L78" s="132">
        <v>0</v>
      </c>
      <c r="M78" s="132">
        <v>1</v>
      </c>
      <c r="N78" s="133">
        <f t="shared" si="13"/>
        <v>1</v>
      </c>
      <c r="O78" s="122">
        <f t="shared" si="14"/>
        <v>0</v>
      </c>
      <c r="P78" s="122">
        <f t="shared" si="15"/>
        <v>0</v>
      </c>
      <c r="Q78" s="122">
        <f t="shared" si="16"/>
        <v>0</v>
      </c>
      <c r="R78" s="122">
        <f t="shared" si="17"/>
        <v>1714214</v>
      </c>
      <c r="S78" s="131" t="s">
        <v>320</v>
      </c>
    </row>
    <row r="79" spans="1:19" ht="26.4" x14ac:dyDescent="0.3">
      <c r="A79" s="112">
        <v>75</v>
      </c>
      <c r="B79" s="136" t="s">
        <v>25</v>
      </c>
      <c r="C79" s="112" t="s">
        <v>359</v>
      </c>
      <c r="D79" s="128" t="s">
        <v>357</v>
      </c>
      <c r="E79" s="112" t="s">
        <v>358</v>
      </c>
      <c r="F79" s="113">
        <v>2</v>
      </c>
      <c r="G79" s="114">
        <v>353783</v>
      </c>
      <c r="H79" s="115">
        <f t="shared" si="12"/>
        <v>707566</v>
      </c>
      <c r="I79" s="112" t="s">
        <v>304</v>
      </c>
      <c r="J79" s="129">
        <v>0</v>
      </c>
      <c r="K79" s="129">
        <v>0</v>
      </c>
      <c r="L79" s="129">
        <v>0</v>
      </c>
      <c r="M79" s="129">
        <v>1</v>
      </c>
      <c r="N79" s="130">
        <f t="shared" si="13"/>
        <v>1</v>
      </c>
      <c r="O79" s="115">
        <f t="shared" si="14"/>
        <v>0</v>
      </c>
      <c r="P79" s="115">
        <f t="shared" si="15"/>
        <v>0</v>
      </c>
      <c r="Q79" s="115">
        <f t="shared" si="16"/>
        <v>0</v>
      </c>
      <c r="R79" s="115">
        <f t="shared" si="17"/>
        <v>707566</v>
      </c>
      <c r="S79" s="128" t="s">
        <v>357</v>
      </c>
    </row>
    <row r="80" spans="1:19" ht="26.4" x14ac:dyDescent="0.3">
      <c r="A80" s="119">
        <v>76</v>
      </c>
      <c r="B80" s="136" t="s">
        <v>25</v>
      </c>
      <c r="C80" s="119" t="s">
        <v>360</v>
      </c>
      <c r="D80" s="131" t="s">
        <v>325</v>
      </c>
      <c r="E80" s="119" t="s">
        <v>326</v>
      </c>
      <c r="F80" s="120">
        <v>181.10054</v>
      </c>
      <c r="G80" s="121">
        <v>13092</v>
      </c>
      <c r="H80" s="122">
        <f t="shared" si="12"/>
        <v>2370968</v>
      </c>
      <c r="I80" s="119" t="s">
        <v>304</v>
      </c>
      <c r="J80" s="132">
        <v>0</v>
      </c>
      <c r="K80" s="132">
        <v>0</v>
      </c>
      <c r="L80" s="132">
        <v>0</v>
      </c>
      <c r="M80" s="132">
        <v>1</v>
      </c>
      <c r="N80" s="133">
        <f t="shared" si="13"/>
        <v>1</v>
      </c>
      <c r="O80" s="122">
        <f t="shared" si="14"/>
        <v>0</v>
      </c>
      <c r="P80" s="122">
        <f t="shared" si="15"/>
        <v>0</v>
      </c>
      <c r="Q80" s="122">
        <f t="shared" si="16"/>
        <v>0</v>
      </c>
      <c r="R80" s="122">
        <f t="shared" si="17"/>
        <v>2370968</v>
      </c>
      <c r="S80" s="131" t="s">
        <v>325</v>
      </c>
    </row>
    <row r="81" spans="1:19" x14ac:dyDescent="0.3">
      <c r="A81" s="112">
        <v>77</v>
      </c>
      <c r="B81" s="137" t="s">
        <v>26</v>
      </c>
      <c r="C81" s="112" t="s">
        <v>297</v>
      </c>
      <c r="D81" s="128" t="s">
        <v>391</v>
      </c>
      <c r="E81" s="112" t="s">
        <v>173</v>
      </c>
      <c r="F81" s="113">
        <v>1</v>
      </c>
      <c r="G81" s="114">
        <v>3000000</v>
      </c>
      <c r="H81" s="115">
        <f t="shared" si="12"/>
        <v>3000000</v>
      </c>
      <c r="I81" s="112" t="s">
        <v>299</v>
      </c>
      <c r="J81" s="129">
        <v>0.85</v>
      </c>
      <c r="K81" s="129">
        <v>0.14000000000000001</v>
      </c>
      <c r="L81" s="129">
        <v>0.01</v>
      </c>
      <c r="M81" s="129">
        <v>0</v>
      </c>
      <c r="N81" s="130">
        <f t="shared" si="13"/>
        <v>1</v>
      </c>
      <c r="O81" s="115">
        <f t="shared" si="14"/>
        <v>2550000</v>
      </c>
      <c r="P81" s="115">
        <f t="shared" si="15"/>
        <v>420000.00000000006</v>
      </c>
      <c r="Q81" s="115">
        <f t="shared" si="16"/>
        <v>30000</v>
      </c>
      <c r="R81" s="115">
        <f t="shared" si="17"/>
        <v>0</v>
      </c>
      <c r="S81" s="128" t="s">
        <v>392</v>
      </c>
    </row>
    <row r="82" spans="1:19" ht="26.4" x14ac:dyDescent="0.3">
      <c r="A82" s="119">
        <v>78</v>
      </c>
      <c r="B82" s="138" t="s">
        <v>27</v>
      </c>
      <c r="C82" s="119" t="s">
        <v>297</v>
      </c>
      <c r="D82" s="131" t="s">
        <v>298</v>
      </c>
      <c r="E82" s="119" t="s">
        <v>167</v>
      </c>
      <c r="F82" s="120">
        <v>244</v>
      </c>
      <c r="G82" s="121">
        <v>2707</v>
      </c>
      <c r="H82" s="122">
        <f t="shared" si="12"/>
        <v>660508</v>
      </c>
      <c r="I82" s="119" t="s">
        <v>299</v>
      </c>
      <c r="J82" s="132">
        <v>0.16476777349233801</v>
      </c>
      <c r="K82" s="132">
        <v>0.70223581741070795</v>
      </c>
      <c r="L82" s="132">
        <v>0.13299640909695401</v>
      </c>
      <c r="M82" s="132">
        <v>0</v>
      </c>
      <c r="N82" s="133">
        <f t="shared" si="13"/>
        <v>1</v>
      </c>
      <c r="O82" s="122">
        <f t="shared" si="14"/>
        <v>108830.43253387719</v>
      </c>
      <c r="P82" s="122">
        <f t="shared" si="15"/>
        <v>463832.3752863119</v>
      </c>
      <c r="Q82" s="122">
        <f t="shared" si="16"/>
        <v>87845.192179810896</v>
      </c>
      <c r="R82" s="122">
        <f t="shared" si="17"/>
        <v>0</v>
      </c>
      <c r="S82" s="131" t="s">
        <v>300</v>
      </c>
    </row>
    <row r="83" spans="1:19" x14ac:dyDescent="0.3">
      <c r="A83" s="112">
        <v>79</v>
      </c>
      <c r="B83" s="138" t="s">
        <v>27</v>
      </c>
      <c r="C83" s="112" t="s">
        <v>301</v>
      </c>
      <c r="D83" s="128" t="s">
        <v>306</v>
      </c>
      <c r="E83" s="112" t="s">
        <v>170</v>
      </c>
      <c r="F83" s="113">
        <v>96.6</v>
      </c>
      <c r="G83" s="114">
        <v>46775</v>
      </c>
      <c r="H83" s="115">
        <f t="shared" si="12"/>
        <v>4518465</v>
      </c>
      <c r="I83" s="112" t="s">
        <v>299</v>
      </c>
      <c r="J83" s="129">
        <v>0</v>
      </c>
      <c r="K83" s="129">
        <v>0.96619895094411801</v>
      </c>
      <c r="L83" s="129">
        <v>3.3801049055881903E-2</v>
      </c>
      <c r="M83" s="129">
        <v>0</v>
      </c>
      <c r="N83" s="130">
        <f t="shared" si="13"/>
        <v>0.99999999999999989</v>
      </c>
      <c r="O83" s="115">
        <f t="shared" si="14"/>
        <v>0</v>
      </c>
      <c r="P83" s="115">
        <f t="shared" si="15"/>
        <v>4365736.1428777138</v>
      </c>
      <c r="Q83" s="115">
        <f t="shared" si="16"/>
        <v>152728.85712228544</v>
      </c>
      <c r="R83" s="115">
        <f t="shared" si="17"/>
        <v>0</v>
      </c>
      <c r="S83" s="128" t="s">
        <v>307</v>
      </c>
    </row>
    <row r="84" spans="1:19" ht="26.4" x14ac:dyDescent="0.3">
      <c r="A84" s="119">
        <v>80</v>
      </c>
      <c r="B84" s="138" t="s">
        <v>27</v>
      </c>
      <c r="C84" s="119" t="s">
        <v>305</v>
      </c>
      <c r="D84" s="131" t="s">
        <v>302</v>
      </c>
      <c r="E84" s="119" t="s">
        <v>303</v>
      </c>
      <c r="F84" s="120">
        <v>1</v>
      </c>
      <c r="G84" s="121">
        <v>187668</v>
      </c>
      <c r="H84" s="122">
        <f t="shared" si="12"/>
        <v>187668</v>
      </c>
      <c r="I84" s="119" t="s">
        <v>304</v>
      </c>
      <c r="J84" s="132">
        <v>0</v>
      </c>
      <c r="K84" s="132">
        <v>0</v>
      </c>
      <c r="L84" s="132">
        <v>0</v>
      </c>
      <c r="M84" s="132">
        <v>1</v>
      </c>
      <c r="N84" s="133">
        <f t="shared" si="13"/>
        <v>1</v>
      </c>
      <c r="O84" s="122">
        <f t="shared" si="14"/>
        <v>0</v>
      </c>
      <c r="P84" s="122">
        <f t="shared" si="15"/>
        <v>0</v>
      </c>
      <c r="Q84" s="122">
        <f t="shared" si="16"/>
        <v>0</v>
      </c>
      <c r="R84" s="122">
        <f t="shared" si="17"/>
        <v>187668</v>
      </c>
      <c r="S84" s="131" t="s">
        <v>302</v>
      </c>
    </row>
    <row r="85" spans="1:19" ht="39.6" x14ac:dyDescent="0.3">
      <c r="A85" s="112">
        <v>81</v>
      </c>
      <c r="B85" s="138" t="s">
        <v>27</v>
      </c>
      <c r="C85" s="112" t="s">
        <v>308</v>
      </c>
      <c r="D85" s="128" t="s">
        <v>393</v>
      </c>
      <c r="E85" s="112" t="s">
        <v>197</v>
      </c>
      <c r="F85" s="113">
        <v>1</v>
      </c>
      <c r="G85" s="114">
        <v>2456746.56</v>
      </c>
      <c r="H85" s="115">
        <f t="shared" si="12"/>
        <v>2456747</v>
      </c>
      <c r="I85" s="112" t="s">
        <v>299</v>
      </c>
      <c r="J85" s="129">
        <v>0.48657300653755697</v>
      </c>
      <c r="K85" s="129">
        <v>0.510675386882398</v>
      </c>
      <c r="L85" s="129">
        <v>2.7516065800454398E-3</v>
      </c>
      <c r="M85" s="129">
        <v>0</v>
      </c>
      <c r="N85" s="130">
        <f t="shared" si="13"/>
        <v>1.0000000000000004</v>
      </c>
      <c r="O85" s="115">
        <f t="shared" si="14"/>
        <v>1195386.7740921234</v>
      </c>
      <c r="P85" s="115">
        <f t="shared" si="15"/>
        <v>1254600.2246971705</v>
      </c>
      <c r="Q85" s="115">
        <f t="shared" si="16"/>
        <v>6760.0012107068942</v>
      </c>
      <c r="R85" s="115">
        <f t="shared" si="17"/>
        <v>0</v>
      </c>
      <c r="S85" s="128" t="s">
        <v>394</v>
      </c>
    </row>
    <row r="86" spans="1:19" ht="26.4" x14ac:dyDescent="0.3">
      <c r="A86" s="119">
        <v>82</v>
      </c>
      <c r="B86" s="138" t="s">
        <v>27</v>
      </c>
      <c r="C86" s="119" t="s">
        <v>310</v>
      </c>
      <c r="D86" s="131" t="s">
        <v>395</v>
      </c>
      <c r="E86" s="119" t="s">
        <v>173</v>
      </c>
      <c r="F86" s="120">
        <v>1</v>
      </c>
      <c r="G86" s="121">
        <v>6719752.6100000003</v>
      </c>
      <c r="H86" s="122">
        <f t="shared" si="12"/>
        <v>6719753</v>
      </c>
      <c r="I86" s="119" t="s">
        <v>299</v>
      </c>
      <c r="J86" s="132">
        <v>0.62558740685544401</v>
      </c>
      <c r="K86" s="132">
        <v>0.37340660372912199</v>
      </c>
      <c r="L86" s="132">
        <v>1.0059894154347501E-3</v>
      </c>
      <c r="M86" s="132">
        <v>0</v>
      </c>
      <c r="N86" s="133">
        <f t="shared" si="13"/>
        <v>1.0000000000000009</v>
      </c>
      <c r="O86" s="122">
        <f t="shared" si="14"/>
        <v>4203792.8539790902</v>
      </c>
      <c r="P86" s="122">
        <f t="shared" si="15"/>
        <v>2509200.1456285785</v>
      </c>
      <c r="Q86" s="122">
        <f t="shared" si="16"/>
        <v>6760.0003923359081</v>
      </c>
      <c r="R86" s="122">
        <f t="shared" si="17"/>
        <v>0</v>
      </c>
      <c r="S86" s="131" t="s">
        <v>396</v>
      </c>
    </row>
    <row r="87" spans="1:19" ht="26.4" x14ac:dyDescent="0.3">
      <c r="A87" s="112">
        <v>83</v>
      </c>
      <c r="B87" s="138" t="s">
        <v>27</v>
      </c>
      <c r="C87" s="112" t="s">
        <v>312</v>
      </c>
      <c r="D87" s="128" t="s">
        <v>397</v>
      </c>
      <c r="E87" s="112" t="s">
        <v>167</v>
      </c>
      <c r="F87" s="113">
        <v>44</v>
      </c>
      <c r="G87" s="114">
        <v>31077</v>
      </c>
      <c r="H87" s="115">
        <f t="shared" si="12"/>
        <v>1367388</v>
      </c>
      <c r="I87" s="112" t="s">
        <v>299</v>
      </c>
      <c r="J87" s="129">
        <v>0.63235134061037901</v>
      </c>
      <c r="K87" s="129">
        <v>0.34137193720703002</v>
      </c>
      <c r="L87" s="129">
        <v>2.6276722182591201E-2</v>
      </c>
      <c r="M87" s="129">
        <v>0</v>
      </c>
      <c r="N87" s="130">
        <f t="shared" si="13"/>
        <v>1.0000000000000002</v>
      </c>
      <c r="O87" s="115">
        <f t="shared" si="14"/>
        <v>864669.63493454491</v>
      </c>
      <c r="P87" s="115">
        <f t="shared" si="15"/>
        <v>466787.89047364634</v>
      </c>
      <c r="Q87" s="115">
        <f t="shared" si="16"/>
        <v>35930.474591809019</v>
      </c>
      <c r="R87" s="115">
        <f t="shared" si="17"/>
        <v>0</v>
      </c>
      <c r="S87" s="128" t="s">
        <v>397</v>
      </c>
    </row>
    <row r="88" spans="1:19" ht="26.4" x14ac:dyDescent="0.3">
      <c r="A88" s="119">
        <v>84</v>
      </c>
      <c r="B88" s="138" t="s">
        <v>27</v>
      </c>
      <c r="C88" s="119" t="s">
        <v>314</v>
      </c>
      <c r="D88" s="131" t="s">
        <v>398</v>
      </c>
      <c r="E88" s="119" t="s">
        <v>197</v>
      </c>
      <c r="F88" s="120">
        <v>1</v>
      </c>
      <c r="G88" s="121">
        <v>851486.79</v>
      </c>
      <c r="H88" s="122">
        <f t="shared" si="12"/>
        <v>851487</v>
      </c>
      <c r="I88" s="119" t="s">
        <v>299</v>
      </c>
      <c r="J88" s="132">
        <v>0.55698079590876604</v>
      </c>
      <c r="K88" s="132">
        <v>0.442026822283409</v>
      </c>
      <c r="L88" s="132">
        <v>9.92381807825815E-4</v>
      </c>
      <c r="M88" s="132">
        <v>0</v>
      </c>
      <c r="N88" s="133">
        <f t="shared" si="13"/>
        <v>1.0000000000000009</v>
      </c>
      <c r="O88" s="122">
        <f t="shared" si="14"/>
        <v>474261.90696596744</v>
      </c>
      <c r="P88" s="122">
        <f t="shared" si="15"/>
        <v>376380.09282563307</v>
      </c>
      <c r="Q88" s="122">
        <f t="shared" si="16"/>
        <v>845.00020840017976</v>
      </c>
      <c r="R88" s="122">
        <f t="shared" si="17"/>
        <v>0</v>
      </c>
      <c r="S88" s="131" t="s">
        <v>398</v>
      </c>
    </row>
    <row r="89" spans="1:19" x14ac:dyDescent="0.3">
      <c r="A89" s="112">
        <v>85</v>
      </c>
      <c r="B89" s="138" t="s">
        <v>27</v>
      </c>
      <c r="C89" s="112" t="s">
        <v>317</v>
      </c>
      <c r="D89" s="128" t="s">
        <v>313</v>
      </c>
      <c r="E89" s="112" t="s">
        <v>170</v>
      </c>
      <c r="F89" s="113">
        <v>2.8</v>
      </c>
      <c r="G89" s="114">
        <v>72762</v>
      </c>
      <c r="H89" s="115">
        <f t="shared" si="12"/>
        <v>203734</v>
      </c>
      <c r="I89" s="112" t="s">
        <v>299</v>
      </c>
      <c r="J89" s="129">
        <v>0.900909574811944</v>
      </c>
      <c r="K89" s="129">
        <v>9.6765940941594894E-2</v>
      </c>
      <c r="L89" s="129">
        <v>2.32448424646135E-3</v>
      </c>
      <c r="M89" s="129">
        <v>0</v>
      </c>
      <c r="N89" s="130">
        <f t="shared" si="13"/>
        <v>1.0000000000000002</v>
      </c>
      <c r="O89" s="115">
        <f t="shared" si="14"/>
        <v>183545.91131473659</v>
      </c>
      <c r="P89" s="115">
        <f t="shared" si="15"/>
        <v>19714.512211794896</v>
      </c>
      <c r="Q89" s="115">
        <f t="shared" si="16"/>
        <v>473.57647346855669</v>
      </c>
      <c r="R89" s="115">
        <f t="shared" si="17"/>
        <v>0</v>
      </c>
      <c r="S89" s="128" t="s">
        <v>313</v>
      </c>
    </row>
    <row r="90" spans="1:19" x14ac:dyDescent="0.3">
      <c r="A90" s="119">
        <v>86</v>
      </c>
      <c r="B90" s="138" t="s">
        <v>27</v>
      </c>
      <c r="C90" s="119" t="s">
        <v>319</v>
      </c>
      <c r="D90" s="131" t="s">
        <v>315</v>
      </c>
      <c r="E90" s="119" t="s">
        <v>167</v>
      </c>
      <c r="F90" s="120">
        <v>200</v>
      </c>
      <c r="G90" s="121">
        <v>31077</v>
      </c>
      <c r="H90" s="122">
        <f t="shared" si="12"/>
        <v>6215400</v>
      </c>
      <c r="I90" s="119" t="s">
        <v>299</v>
      </c>
      <c r="J90" s="132">
        <v>0.65470110070972398</v>
      </c>
      <c r="K90" s="132">
        <v>0.318093455368262</v>
      </c>
      <c r="L90" s="132">
        <v>2.72054439220141E-2</v>
      </c>
      <c r="M90" s="132">
        <v>0</v>
      </c>
      <c r="N90" s="133">
        <f t="shared" si="13"/>
        <v>1.0000000000000002</v>
      </c>
      <c r="O90" s="122">
        <f t="shared" si="14"/>
        <v>4069229.2213512184</v>
      </c>
      <c r="P90" s="122">
        <f t="shared" si="15"/>
        <v>1977078.0624958957</v>
      </c>
      <c r="Q90" s="122">
        <f t="shared" si="16"/>
        <v>169092.71615288642</v>
      </c>
      <c r="R90" s="122">
        <f t="shared" si="17"/>
        <v>0</v>
      </c>
      <c r="S90" s="131" t="s">
        <v>316</v>
      </c>
    </row>
    <row r="91" spans="1:19" x14ac:dyDescent="0.3">
      <c r="A91" s="112">
        <v>87</v>
      </c>
      <c r="B91" s="138" t="s">
        <v>27</v>
      </c>
      <c r="C91" s="112" t="s">
        <v>322</v>
      </c>
      <c r="D91" s="128" t="s">
        <v>399</v>
      </c>
      <c r="E91" s="112" t="s">
        <v>173</v>
      </c>
      <c r="F91" s="113">
        <v>3</v>
      </c>
      <c r="G91" s="114">
        <v>178915.23</v>
      </c>
      <c r="H91" s="115">
        <f t="shared" si="12"/>
        <v>536746</v>
      </c>
      <c r="I91" s="112" t="s">
        <v>299</v>
      </c>
      <c r="J91" s="129">
        <v>0.90292928109026804</v>
      </c>
      <c r="K91" s="129">
        <v>8.7653242264507103E-2</v>
      </c>
      <c r="L91" s="129">
        <v>9.4174766452246698E-3</v>
      </c>
      <c r="M91" s="129">
        <v>0</v>
      </c>
      <c r="N91" s="130">
        <f t="shared" si="13"/>
        <v>0.99999999999999978</v>
      </c>
      <c r="O91" s="115">
        <f t="shared" si="14"/>
        <v>484643.679908077</v>
      </c>
      <c r="P91" s="115">
        <f t="shared" si="15"/>
        <v>47047.527172505128</v>
      </c>
      <c r="Q91" s="115">
        <f t="shared" si="16"/>
        <v>5054.7929194177605</v>
      </c>
      <c r="R91" s="115">
        <f t="shared" si="17"/>
        <v>0</v>
      </c>
      <c r="S91" s="128" t="s">
        <v>311</v>
      </c>
    </row>
    <row r="92" spans="1:19" ht="26.4" x14ac:dyDescent="0.3">
      <c r="A92" s="119">
        <v>88</v>
      </c>
      <c r="B92" s="138" t="s">
        <v>27</v>
      </c>
      <c r="C92" s="119" t="s">
        <v>324</v>
      </c>
      <c r="D92" s="131" t="s">
        <v>400</v>
      </c>
      <c r="E92" s="119" t="s">
        <v>197</v>
      </c>
      <c r="F92" s="120">
        <v>1</v>
      </c>
      <c r="G92" s="121">
        <v>851486.79</v>
      </c>
      <c r="H92" s="122">
        <f t="shared" si="12"/>
        <v>851487</v>
      </c>
      <c r="I92" s="119" t="s">
        <v>299</v>
      </c>
      <c r="J92" s="132">
        <v>0.55698079590876604</v>
      </c>
      <c r="K92" s="132">
        <v>0.442026822283409</v>
      </c>
      <c r="L92" s="132">
        <v>9.92381807825815E-4</v>
      </c>
      <c r="M92" s="132">
        <v>0</v>
      </c>
      <c r="N92" s="133">
        <f t="shared" si="13"/>
        <v>1.0000000000000009</v>
      </c>
      <c r="O92" s="122">
        <f t="shared" si="14"/>
        <v>474261.90696596744</v>
      </c>
      <c r="P92" s="122">
        <f t="shared" si="15"/>
        <v>376380.09282563307</v>
      </c>
      <c r="Q92" s="122">
        <f t="shared" si="16"/>
        <v>845.00020840017976</v>
      </c>
      <c r="R92" s="122">
        <f t="shared" si="17"/>
        <v>0</v>
      </c>
      <c r="S92" s="131" t="s">
        <v>398</v>
      </c>
    </row>
    <row r="93" spans="1:19" ht="39.6" x14ac:dyDescent="0.3">
      <c r="A93" s="112">
        <v>89</v>
      </c>
      <c r="B93" s="138" t="s">
        <v>27</v>
      </c>
      <c r="C93" s="112" t="s">
        <v>341</v>
      </c>
      <c r="D93" s="128" t="s">
        <v>401</v>
      </c>
      <c r="E93" s="112" t="s">
        <v>402</v>
      </c>
      <c r="F93" s="113">
        <v>1</v>
      </c>
      <c r="G93" s="114">
        <v>678712.13</v>
      </c>
      <c r="H93" s="115">
        <f t="shared" si="12"/>
        <v>678712</v>
      </c>
      <c r="I93" s="112" t="s">
        <v>299</v>
      </c>
      <c r="J93" s="129">
        <v>0.44420471754350399</v>
      </c>
      <c r="K93" s="129">
        <v>0.55455027744973395</v>
      </c>
      <c r="L93" s="129">
        <v>1.24500500676185E-3</v>
      </c>
      <c r="M93" s="129">
        <v>0</v>
      </c>
      <c r="N93" s="130">
        <f t="shared" si="13"/>
        <v>0.99999999999999978</v>
      </c>
      <c r="O93" s="115">
        <f t="shared" si="14"/>
        <v>301487.07225338666</v>
      </c>
      <c r="P93" s="115">
        <f t="shared" si="15"/>
        <v>376379.92790846381</v>
      </c>
      <c r="Q93" s="115">
        <f t="shared" si="16"/>
        <v>844.99983814934876</v>
      </c>
      <c r="R93" s="115">
        <f t="shared" si="17"/>
        <v>0</v>
      </c>
      <c r="S93" s="128" t="s">
        <v>401</v>
      </c>
    </row>
    <row r="94" spans="1:19" ht="26.4" x14ac:dyDescent="0.3">
      <c r="A94" s="119">
        <v>90</v>
      </c>
      <c r="B94" s="138" t="s">
        <v>27</v>
      </c>
      <c r="C94" s="119" t="s">
        <v>344</v>
      </c>
      <c r="D94" s="131" t="s">
        <v>320</v>
      </c>
      <c r="E94" s="119" t="s">
        <v>321</v>
      </c>
      <c r="F94" s="120">
        <v>227.12708333333299</v>
      </c>
      <c r="G94" s="121">
        <v>9353</v>
      </c>
      <c r="H94" s="122">
        <f t="shared" si="12"/>
        <v>2124320</v>
      </c>
      <c r="I94" s="119" t="s">
        <v>304</v>
      </c>
      <c r="J94" s="132">
        <v>0</v>
      </c>
      <c r="K94" s="132">
        <v>0</v>
      </c>
      <c r="L94" s="132">
        <v>0</v>
      </c>
      <c r="M94" s="132">
        <v>1</v>
      </c>
      <c r="N94" s="133">
        <f t="shared" si="13"/>
        <v>1</v>
      </c>
      <c r="O94" s="122">
        <f t="shared" si="14"/>
        <v>0</v>
      </c>
      <c r="P94" s="122">
        <f t="shared" si="15"/>
        <v>0</v>
      </c>
      <c r="Q94" s="122">
        <f t="shared" si="16"/>
        <v>0</v>
      </c>
      <c r="R94" s="122">
        <f t="shared" si="17"/>
        <v>2124320</v>
      </c>
      <c r="S94" s="131" t="s">
        <v>320</v>
      </c>
    </row>
    <row r="95" spans="1:19" ht="26.4" x14ac:dyDescent="0.3">
      <c r="A95" s="112">
        <v>91</v>
      </c>
      <c r="B95" s="138" t="s">
        <v>27</v>
      </c>
      <c r="C95" s="112" t="s">
        <v>346</v>
      </c>
      <c r="D95" s="128" t="s">
        <v>357</v>
      </c>
      <c r="E95" s="112" t="s">
        <v>358</v>
      </c>
      <c r="F95" s="113">
        <v>2</v>
      </c>
      <c r="G95" s="114">
        <v>353783</v>
      </c>
      <c r="H95" s="115">
        <f t="shared" si="12"/>
        <v>707566</v>
      </c>
      <c r="I95" s="112" t="s">
        <v>304</v>
      </c>
      <c r="J95" s="129">
        <v>0</v>
      </c>
      <c r="K95" s="129">
        <v>0</v>
      </c>
      <c r="L95" s="129">
        <v>0</v>
      </c>
      <c r="M95" s="129">
        <v>1</v>
      </c>
      <c r="N95" s="130">
        <f t="shared" si="13"/>
        <v>1</v>
      </c>
      <c r="O95" s="115">
        <f t="shared" si="14"/>
        <v>0</v>
      </c>
      <c r="P95" s="115">
        <f t="shared" si="15"/>
        <v>0</v>
      </c>
      <c r="Q95" s="115">
        <f t="shared" si="16"/>
        <v>0</v>
      </c>
      <c r="R95" s="115">
        <f t="shared" si="17"/>
        <v>707566</v>
      </c>
      <c r="S95" s="128" t="s">
        <v>357</v>
      </c>
    </row>
    <row r="96" spans="1:19" ht="26.4" x14ac:dyDescent="0.3">
      <c r="A96" s="119">
        <v>92</v>
      </c>
      <c r="B96" s="138" t="s">
        <v>27</v>
      </c>
      <c r="C96" s="119" t="s">
        <v>349</v>
      </c>
      <c r="D96" s="131" t="s">
        <v>325</v>
      </c>
      <c r="E96" s="119" t="s">
        <v>326</v>
      </c>
      <c r="F96" s="120">
        <v>26.208541666666701</v>
      </c>
      <c r="G96" s="121">
        <v>13092</v>
      </c>
      <c r="H96" s="122">
        <f t="shared" si="12"/>
        <v>343122</v>
      </c>
      <c r="I96" s="119" t="s">
        <v>304</v>
      </c>
      <c r="J96" s="132">
        <v>0</v>
      </c>
      <c r="K96" s="132">
        <v>0</v>
      </c>
      <c r="L96" s="132">
        <v>0</v>
      </c>
      <c r="M96" s="132">
        <v>1</v>
      </c>
      <c r="N96" s="133">
        <f t="shared" si="13"/>
        <v>1</v>
      </c>
      <c r="O96" s="122">
        <f t="shared" si="14"/>
        <v>0</v>
      </c>
      <c r="P96" s="122">
        <f t="shared" si="15"/>
        <v>0</v>
      </c>
      <c r="Q96" s="122">
        <f t="shared" si="16"/>
        <v>0</v>
      </c>
      <c r="R96" s="122">
        <f t="shared" si="17"/>
        <v>343122</v>
      </c>
      <c r="S96" s="131" t="s">
        <v>325</v>
      </c>
    </row>
    <row r="97" spans="1:19" ht="52.8" x14ac:dyDescent="0.3">
      <c r="A97" s="112">
        <v>93</v>
      </c>
      <c r="B97" s="139" t="s">
        <v>28</v>
      </c>
      <c r="C97" s="112" t="s">
        <v>297</v>
      </c>
      <c r="D97" s="128" t="s">
        <v>403</v>
      </c>
      <c r="E97" s="112" t="s">
        <v>197</v>
      </c>
      <c r="F97" s="113">
        <v>1</v>
      </c>
      <c r="G97" s="114">
        <v>23293674</v>
      </c>
      <c r="H97" s="115">
        <f t="shared" si="12"/>
        <v>23293674</v>
      </c>
      <c r="I97" s="112" t="s">
        <v>299</v>
      </c>
      <c r="J97" s="129">
        <v>0.72997389763418197</v>
      </c>
      <c r="K97" s="129">
        <v>0.26930058349747699</v>
      </c>
      <c r="L97" s="129">
        <v>7.2551886834167903E-4</v>
      </c>
      <c r="M97" s="129">
        <v>0</v>
      </c>
      <c r="N97" s="130">
        <f t="shared" si="13"/>
        <v>1.0000000000000007</v>
      </c>
      <c r="O97" s="115">
        <f t="shared" si="14"/>
        <v>17003774.000000007</v>
      </c>
      <c r="P97" s="115">
        <f t="shared" si="15"/>
        <v>6273000.0000000084</v>
      </c>
      <c r="Q97" s="115">
        <f t="shared" si="16"/>
        <v>16899.999999999993</v>
      </c>
      <c r="R97" s="115">
        <f t="shared" si="17"/>
        <v>0</v>
      </c>
      <c r="S97" s="128" t="s">
        <v>404</v>
      </c>
    </row>
    <row r="98" spans="1:19" ht="15" x14ac:dyDescent="0.3">
      <c r="A98" s="194" t="s">
        <v>405</v>
      </c>
      <c r="B98" s="194"/>
      <c r="C98" s="194"/>
      <c r="D98" s="194"/>
      <c r="E98" s="194"/>
      <c r="F98" s="194"/>
      <c r="G98" s="194"/>
      <c r="H98" s="125">
        <f>SUM(H5:H97)</f>
        <v>177775949</v>
      </c>
      <c r="I98" s="126"/>
      <c r="J98" s="126"/>
      <c r="K98" s="126"/>
      <c r="L98" s="126"/>
      <c r="M98" s="126"/>
      <c r="N98" s="126"/>
      <c r="O98" s="125">
        <f>SUM(O5:O97)</f>
        <v>91676873.424877614</v>
      </c>
      <c r="P98" s="125">
        <f>SUM(P5:P97)</f>
        <v>62464018.36136964</v>
      </c>
      <c r="Q98" s="125">
        <f>SUM(Q5:Q97)</f>
        <v>3893317.2137528034</v>
      </c>
      <c r="R98" s="125">
        <f>SUM(R5:R97)</f>
        <v>19741740</v>
      </c>
      <c r="S98" s="126"/>
    </row>
    <row r="100" spans="1:19" ht="15" x14ac:dyDescent="0.3">
      <c r="A100" s="195" t="s">
        <v>406</v>
      </c>
      <c r="B100" s="195"/>
      <c r="H100" s="140">
        <f>H98</f>
        <v>177775949</v>
      </c>
    </row>
    <row r="101" spans="1:19" ht="15" x14ac:dyDescent="0.3">
      <c r="A101" s="196" t="s">
        <v>407</v>
      </c>
      <c r="B101" s="196"/>
      <c r="C101" s="141">
        <v>0.28000000000000003</v>
      </c>
      <c r="H101" s="142">
        <f>ROUND($H$100*C101,0)</f>
        <v>49777266</v>
      </c>
    </row>
    <row r="102" spans="1:19" ht="15" x14ac:dyDescent="0.3">
      <c r="A102" s="196" t="s">
        <v>408</v>
      </c>
      <c r="B102" s="196"/>
      <c r="C102" s="141">
        <v>0.04</v>
      </c>
      <c r="H102" s="142">
        <f>ROUND($H$100*C102,0)</f>
        <v>7111038</v>
      </c>
    </row>
    <row r="103" spans="1:19" ht="15" x14ac:dyDescent="0.3">
      <c r="A103" s="196" t="s">
        <v>409</v>
      </c>
      <c r="B103" s="196"/>
      <c r="C103" s="141">
        <v>0.03</v>
      </c>
      <c r="H103" s="142">
        <f>ROUND($H$100*C103,0)</f>
        <v>5333278</v>
      </c>
    </row>
    <row r="104" spans="1:19" ht="15" x14ac:dyDescent="0.3">
      <c r="A104" s="197" t="s">
        <v>410</v>
      </c>
      <c r="B104" s="197"/>
      <c r="H104" s="143">
        <f>SUM(H100:H103)</f>
        <v>239997531</v>
      </c>
    </row>
    <row r="105" spans="1:19" ht="15" x14ac:dyDescent="0.3">
      <c r="A105" s="196" t="s">
        <v>411</v>
      </c>
      <c r="B105" s="196"/>
      <c r="H105" s="144">
        <v>239997531</v>
      </c>
      <c r="I105" s="16" t="s">
        <v>412</v>
      </c>
    </row>
    <row r="106" spans="1:19" ht="15" x14ac:dyDescent="0.3">
      <c r="A106" s="196" t="s">
        <v>413</v>
      </c>
      <c r="B106" s="196"/>
      <c r="H106" s="142">
        <f>H104-H105</f>
        <v>0</v>
      </c>
    </row>
  </sheetData>
  <autoFilter ref="A4:S97" xr:uid="{00000000-0009-0000-0000-000005000000}"/>
  <mergeCells count="10">
    <mergeCell ref="A102:B102"/>
    <mergeCell ref="A103:B103"/>
    <mergeCell ref="A104:B104"/>
    <mergeCell ref="A105:B105"/>
    <mergeCell ref="A106:B106"/>
    <mergeCell ref="A1:S1"/>
    <mergeCell ref="A2:S2"/>
    <mergeCell ref="A98:G98"/>
    <mergeCell ref="A100:B100"/>
    <mergeCell ref="A101:B101"/>
  </mergeCells>
  <printOptions horizontalCentered="1"/>
  <pageMargins left="0.4" right="0.4" top="0.5" bottom="0.5" header="0.511811023622047" footer="0.5"/>
  <pageSetup scale="47" fitToHeight="0" orientation="landscape" horizontalDpi="300" verticalDpi="300" r:id="rId1"/>
  <headerFooter>
    <oddFooter>&amp;C&amp;8 Plan de Inversión del Anticipo – Contrato de Obra No. 233 de 2026 – Página &amp;P de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11</vt:i4>
      </vt:variant>
    </vt:vector>
  </HeadingPairs>
  <TitlesOfParts>
    <vt:vector size="17" baseType="lpstr">
      <vt:lpstr>RESUMEN</vt:lpstr>
      <vt:lpstr>PLAN SEMANAL</vt:lpstr>
      <vt:lpstr>DETALLE POR ÍTEM</vt:lpstr>
      <vt:lpstr>PROGRAMA DE OBRA</vt:lpstr>
      <vt:lpstr>COMPRAS MATERIALES</vt:lpstr>
      <vt:lpstr>BASE PRESUPUESTO</vt:lpstr>
      <vt:lpstr>ADMIN</vt:lpstr>
      <vt:lpstr>ANTICIPO</vt:lpstr>
      <vt:lpstr>ANTICIPO_INVERTIDO</vt:lpstr>
      <vt:lpstr>RESUMEN!Área_de_impresión</vt:lpstr>
      <vt:lpstr>CD_TOTAL</vt:lpstr>
      <vt:lpstr>F_INICIO</vt:lpstr>
      <vt:lpstr>'BASE PRESUPUESTO'!Títulos_a_imprimir</vt:lpstr>
      <vt:lpstr>'COMPRAS MATERIALES'!Títulos_a_imprimir</vt:lpstr>
      <vt:lpstr>'DETALLE POR ÍTEM'!Títulos_a_imprimir</vt:lpstr>
      <vt:lpstr>'PROGRAMA DE OBRA'!Títulos_a_imprimir</vt:lpstr>
      <vt:lpstr>VR_CONTRATO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maira aragon</cp:lastModifiedBy>
  <cp:revision>1</cp:revision>
  <cp:lastPrinted>2026-10-01T15:02:27Z</cp:lastPrinted>
  <dcterms:created xsi:type="dcterms:W3CDTF">2026-09-29T21:30:08Z</dcterms:created>
  <dcterms:modified xsi:type="dcterms:W3CDTF">2026-10-01T15:03:46Z</dcterms:modified>
  <dc:language>en-US</dc:language>
</cp:coreProperties>
</file>