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E:\ALE\2026\CONTRATACION\09SEPTIEMBRE\MENOR CUANTIA VIGILANCIA\"/>
    </mc:Choice>
  </mc:AlternateContent>
  <xr:revisionPtr revIDLastSave="0" documentId="8_{8E60CDC8-FF87-4CB2-B1E9-2A82B8863B32}" xr6:coauthVersionLast="47" xr6:coauthVersionMax="47" xr10:uidLastSave="{00000000-0000-0000-0000-000000000000}"/>
  <bookViews>
    <workbookView xWindow="1080" yWindow="1080" windowWidth="21600" windowHeight="11295" activeTab="3" xr2:uid="{AB01A1E0-3850-4BE1-95C9-EB48E95647B3}"/>
  </bookViews>
  <sheets>
    <sheet name="ESTUDIOS POLIZAS" sheetId="3" r:id="rId1"/>
    <sheet name="ESTUDIOS MEDIOS TECN" sheetId="1" r:id="rId2"/>
    <sheet name="CALCULOS" sheetId="2" r:id="rId3"/>
    <sheet name="CONTROL PAGOS" sheetId="4" r:id="rId4"/>
  </sheets>
  <definedNames>
    <definedName name="_xlnm._FilterDatabase" localSheetId="2" hidden="1">CALCULOS!$A$12:$H$85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43" i="2" l="1"/>
  <c r="AA43" i="2" s="1"/>
  <c r="AB43" i="2" l="1"/>
  <c r="AC43" i="2" s="1"/>
  <c r="AD43" i="2" s="1"/>
  <c r="D13" i="3"/>
  <c r="C13" i="3"/>
  <c r="B13" i="3"/>
  <c r="D5" i="1" l="1"/>
  <c r="D4" i="1"/>
  <c r="AU4" i="1"/>
  <c r="AV4" i="1" l="1"/>
  <c r="B14" i="3"/>
  <c r="D4" i="2" l="1"/>
  <c r="R83" i="2" s="1"/>
  <c r="Q83" i="2" s="1"/>
  <c r="D17" i="3"/>
  <c r="E85" i="2"/>
  <c r="H84" i="2"/>
  <c r="G84" i="2"/>
  <c r="F84" i="2"/>
  <c r="S43" i="2"/>
  <c r="T43" i="2" s="1"/>
  <c r="U43" i="2" s="1"/>
  <c r="K43" i="2"/>
  <c r="L43" i="2" s="1"/>
  <c r="D6" i="1"/>
  <c r="D7" i="1"/>
  <c r="D8" i="1"/>
  <c r="D9" i="1"/>
  <c r="D10" i="1"/>
  <c r="D11" i="1"/>
  <c r="D12" i="1"/>
  <c r="D13" i="1"/>
  <c r="D14" i="1"/>
  <c r="D15" i="1"/>
  <c r="D16" i="1"/>
  <c r="D17" i="1"/>
  <c r="D18" i="1"/>
  <c r="D19" i="1"/>
  <c r="D20" i="1"/>
  <c r="D21" i="1"/>
  <c r="D22" i="1"/>
  <c r="D23" i="1"/>
  <c r="D24" i="1"/>
  <c r="D25" i="1"/>
  <c r="D26" i="1"/>
  <c r="D27" i="1"/>
  <c r="D28" i="1"/>
  <c r="D29" i="1"/>
  <c r="D30" i="1"/>
  <c r="D31" i="1"/>
  <c r="D32" i="1"/>
  <c r="D33" i="1"/>
  <c r="D34" i="1"/>
  <c r="AU34" i="1"/>
  <c r="AU33" i="1"/>
  <c r="AU32" i="1"/>
  <c r="AU31" i="1"/>
  <c r="AU30" i="1"/>
  <c r="AU29" i="1"/>
  <c r="AU28" i="1"/>
  <c r="AU27" i="1"/>
  <c r="AU26" i="1"/>
  <c r="AU25" i="1"/>
  <c r="AU24" i="1"/>
  <c r="AU23" i="1"/>
  <c r="AU22" i="1"/>
  <c r="AU21" i="1"/>
  <c r="AU20" i="1"/>
  <c r="AU19" i="1"/>
  <c r="AU18" i="1"/>
  <c r="AU17" i="1"/>
  <c r="AU16" i="1"/>
  <c r="AU15" i="1"/>
  <c r="AU14" i="1"/>
  <c r="AU13" i="1"/>
  <c r="AU12" i="1"/>
  <c r="AU11" i="1"/>
  <c r="AU10" i="1"/>
  <c r="AU9" i="1"/>
  <c r="AU8" i="1"/>
  <c r="AU7" i="1"/>
  <c r="AU6" i="1"/>
  <c r="AU5" i="1"/>
  <c r="R82" i="2" l="1"/>
  <c r="Q82" i="2" s="1"/>
  <c r="Y81" i="2"/>
  <c r="X81" i="2" s="1"/>
  <c r="Y69" i="2"/>
  <c r="X69" i="2" s="1"/>
  <c r="Y57" i="2"/>
  <c r="X57" i="2" s="1"/>
  <c r="Y45" i="2"/>
  <c r="X45" i="2" s="1"/>
  <c r="Y38" i="2"/>
  <c r="X38" i="2" s="1"/>
  <c r="Y26" i="2"/>
  <c r="X26" i="2" s="1"/>
  <c r="Y14" i="2"/>
  <c r="X14" i="2" s="1"/>
  <c r="Y27" i="2"/>
  <c r="X27" i="2" s="1"/>
  <c r="Y74" i="2"/>
  <c r="X74" i="2" s="1"/>
  <c r="Y62" i="2"/>
  <c r="X62" i="2" s="1"/>
  <c r="Y50" i="2"/>
  <c r="X50" i="2" s="1"/>
  <c r="Y31" i="2"/>
  <c r="X31" i="2" s="1"/>
  <c r="Y19" i="2"/>
  <c r="X19" i="2" s="1"/>
  <c r="Y22" i="2"/>
  <c r="X22" i="2" s="1"/>
  <c r="Y82" i="2"/>
  <c r="X82" i="2" s="1"/>
  <c r="Y46" i="2"/>
  <c r="X46" i="2" s="1"/>
  <c r="Y59" i="2"/>
  <c r="X59" i="2" s="1"/>
  <c r="Y76" i="2"/>
  <c r="X76" i="2" s="1"/>
  <c r="Y33" i="2"/>
  <c r="X33" i="2" s="1"/>
  <c r="Y79" i="2"/>
  <c r="X79" i="2" s="1"/>
  <c r="Y67" i="2"/>
  <c r="X67" i="2" s="1"/>
  <c r="Y55" i="2"/>
  <c r="X55" i="2" s="1"/>
  <c r="Y43" i="2"/>
  <c r="Y36" i="2"/>
  <c r="X36" i="2" s="1"/>
  <c r="Y24" i="2"/>
  <c r="X24" i="2" s="1"/>
  <c r="Y70" i="2"/>
  <c r="X70" i="2" s="1"/>
  <c r="Y20" i="2"/>
  <c r="X20" i="2" s="1"/>
  <c r="Y47" i="2"/>
  <c r="X47" i="2" s="1"/>
  <c r="Y64" i="2"/>
  <c r="X64" i="2" s="1"/>
  <c r="Y72" i="2"/>
  <c r="X72" i="2" s="1"/>
  <c r="Y60" i="2"/>
  <c r="X60" i="2" s="1"/>
  <c r="Y48" i="2"/>
  <c r="X48" i="2" s="1"/>
  <c r="Y41" i="2"/>
  <c r="X41" i="2" s="1"/>
  <c r="Y29" i="2"/>
  <c r="X29" i="2" s="1"/>
  <c r="Y17" i="2"/>
  <c r="X17" i="2" s="1"/>
  <c r="Y77" i="2"/>
  <c r="X77" i="2" s="1"/>
  <c r="Y65" i="2"/>
  <c r="X65" i="2" s="1"/>
  <c r="Y53" i="2"/>
  <c r="X53" i="2" s="1"/>
  <c r="Y34" i="2"/>
  <c r="X34" i="2" s="1"/>
  <c r="Y58" i="2"/>
  <c r="X58" i="2" s="1"/>
  <c r="Y39" i="2"/>
  <c r="X39" i="2" s="1"/>
  <c r="Y15" i="2"/>
  <c r="X15" i="2" s="1"/>
  <c r="Y71" i="2"/>
  <c r="X71" i="2" s="1"/>
  <c r="Y16" i="2"/>
  <c r="X16" i="2" s="1"/>
  <c r="Y52" i="2"/>
  <c r="X52" i="2" s="1"/>
  <c r="Y75" i="2"/>
  <c r="X75" i="2" s="1"/>
  <c r="Y63" i="2"/>
  <c r="X63" i="2" s="1"/>
  <c r="Y51" i="2"/>
  <c r="X51" i="2" s="1"/>
  <c r="Y32" i="2"/>
  <c r="X32" i="2" s="1"/>
  <c r="Y28" i="2"/>
  <c r="X28" i="2" s="1"/>
  <c r="Y80" i="2"/>
  <c r="X80" i="2" s="1"/>
  <c r="Y68" i="2"/>
  <c r="X68" i="2" s="1"/>
  <c r="Y56" i="2"/>
  <c r="X56" i="2" s="1"/>
  <c r="Y44" i="2"/>
  <c r="X44" i="2" s="1"/>
  <c r="Y37" i="2"/>
  <c r="X37" i="2" s="1"/>
  <c r="Y25" i="2"/>
  <c r="X25" i="2" s="1"/>
  <c r="Y13" i="2"/>
  <c r="X13" i="2" s="1"/>
  <c r="Y30" i="2"/>
  <c r="X30" i="2" s="1"/>
  <c r="Y54" i="2"/>
  <c r="X54" i="2" s="1"/>
  <c r="Y35" i="2"/>
  <c r="X35" i="2" s="1"/>
  <c r="Y83" i="2"/>
  <c r="X83" i="2" s="1"/>
  <c r="Y73" i="2"/>
  <c r="X73" i="2" s="1"/>
  <c r="Y61" i="2"/>
  <c r="X61" i="2" s="1"/>
  <c r="Y49" i="2"/>
  <c r="X49" i="2" s="1"/>
  <c r="Y42" i="2"/>
  <c r="X42" i="2" s="1"/>
  <c r="Y18" i="2"/>
  <c r="X18" i="2" s="1"/>
  <c r="Y78" i="2"/>
  <c r="X78" i="2" s="1"/>
  <c r="Y66" i="2"/>
  <c r="X66" i="2" s="1"/>
  <c r="Y23" i="2"/>
  <c r="X23" i="2" s="1"/>
  <c r="Y40" i="2"/>
  <c r="X40" i="2" s="1"/>
  <c r="Y21" i="2"/>
  <c r="X21" i="2" s="1"/>
  <c r="R27" i="2"/>
  <c r="Q27" i="2" s="1"/>
  <c r="S27" i="2" s="1"/>
  <c r="T27" i="2" s="1"/>
  <c r="U27" i="2" s="1"/>
  <c r="R65" i="2"/>
  <c r="Q65" i="2" s="1"/>
  <c r="S65" i="2" s="1"/>
  <c r="T65" i="2" s="1"/>
  <c r="U65" i="2" s="1"/>
  <c r="R59" i="2"/>
  <c r="Q59" i="2" s="1"/>
  <c r="S59" i="2" s="1"/>
  <c r="T59" i="2" s="1"/>
  <c r="U59" i="2" s="1"/>
  <c r="R71" i="2"/>
  <c r="Q71" i="2" s="1"/>
  <c r="S71" i="2" s="1"/>
  <c r="T71" i="2" s="1"/>
  <c r="U71" i="2" s="1"/>
  <c r="J23" i="2"/>
  <c r="I23" i="2" s="1"/>
  <c r="K23" i="2" s="1"/>
  <c r="L23" i="2" s="1"/>
  <c r="M23" i="2" s="1"/>
  <c r="J41" i="2"/>
  <c r="I41" i="2" s="1"/>
  <c r="K41" i="2" s="1"/>
  <c r="L41" i="2" s="1"/>
  <c r="M41" i="2" s="1"/>
  <c r="J36" i="2"/>
  <c r="I36" i="2" s="1"/>
  <c r="K36" i="2" s="1"/>
  <c r="L36" i="2" s="1"/>
  <c r="M36" i="2" s="1"/>
  <c r="J33" i="2"/>
  <c r="I33" i="2" s="1"/>
  <c r="K33" i="2" s="1"/>
  <c r="L33" i="2" s="1"/>
  <c r="M33" i="2" s="1"/>
  <c r="J58" i="2"/>
  <c r="I58" i="2" s="1"/>
  <c r="K58" i="2" s="1"/>
  <c r="L58" i="2" s="1"/>
  <c r="M58" i="2" s="1"/>
  <c r="N58" i="2" s="1"/>
  <c r="O58" i="2" s="1"/>
  <c r="J48" i="2"/>
  <c r="I48" i="2" s="1"/>
  <c r="K48" i="2" s="1"/>
  <c r="L48" i="2" s="1"/>
  <c r="M48" i="2" s="1"/>
  <c r="R73" i="2"/>
  <c r="Q73" i="2" s="1"/>
  <c r="S73" i="2" s="1"/>
  <c r="T73" i="2" s="1"/>
  <c r="U73" i="2" s="1"/>
  <c r="R74" i="2"/>
  <c r="Q74" i="2" s="1"/>
  <c r="J74" i="2"/>
  <c r="I74" i="2" s="1"/>
  <c r="K74" i="2" s="1"/>
  <c r="L74" i="2" s="1"/>
  <c r="M74" i="2" s="1"/>
  <c r="J53" i="2"/>
  <c r="I53" i="2" s="1"/>
  <c r="K53" i="2" s="1"/>
  <c r="L53" i="2" s="1"/>
  <c r="M53" i="2" s="1"/>
  <c r="R41" i="2"/>
  <c r="Q41" i="2" s="1"/>
  <c r="S41" i="2" s="1"/>
  <c r="T41" i="2" s="1"/>
  <c r="J65" i="2"/>
  <c r="I65" i="2" s="1"/>
  <c r="K65" i="2" s="1"/>
  <c r="L65" i="2" s="1"/>
  <c r="M65" i="2" s="1"/>
  <c r="N65" i="2" s="1"/>
  <c r="O65" i="2" s="1"/>
  <c r="R56" i="2"/>
  <c r="Q56" i="2" s="1"/>
  <c r="S56" i="2" s="1"/>
  <c r="T56" i="2" s="1"/>
  <c r="U56" i="2" s="1"/>
  <c r="V56" i="2" s="1"/>
  <c r="W56" i="2" s="1"/>
  <c r="J77" i="2"/>
  <c r="I77" i="2" s="1"/>
  <c r="K77" i="2" s="1"/>
  <c r="J44" i="2"/>
  <c r="I44" i="2" s="1"/>
  <c r="K44" i="2" s="1"/>
  <c r="R55" i="2"/>
  <c r="Q55" i="2" s="1"/>
  <c r="S55" i="2" s="1"/>
  <c r="T55" i="2" s="1"/>
  <c r="U55" i="2" s="1"/>
  <c r="V55" i="2" s="1"/>
  <c r="W55" i="2" s="1"/>
  <c r="J67" i="2"/>
  <c r="I67" i="2" s="1"/>
  <c r="K67" i="2" s="1"/>
  <c r="L67" i="2" s="1"/>
  <c r="M67" i="2" s="1"/>
  <c r="J49" i="2"/>
  <c r="I49" i="2" s="1"/>
  <c r="K49" i="2" s="1"/>
  <c r="L49" i="2" s="1"/>
  <c r="M49" i="2" s="1"/>
  <c r="N49" i="2" s="1"/>
  <c r="O49" i="2" s="1"/>
  <c r="J45" i="2"/>
  <c r="I45" i="2" s="1"/>
  <c r="K45" i="2" s="1"/>
  <c r="L45" i="2" s="1"/>
  <c r="M45" i="2" s="1"/>
  <c r="J56" i="2"/>
  <c r="I56" i="2" s="1"/>
  <c r="K56" i="2" s="1"/>
  <c r="L56" i="2" s="1"/>
  <c r="M56" i="2" s="1"/>
  <c r="J62" i="2"/>
  <c r="I62" i="2" s="1"/>
  <c r="K62" i="2" s="1"/>
  <c r="L62" i="2" s="1"/>
  <c r="M62" i="2" s="1"/>
  <c r="J46" i="2"/>
  <c r="I46" i="2" s="1"/>
  <c r="K46" i="2" s="1"/>
  <c r="L46" i="2" s="1"/>
  <c r="M46" i="2" s="1"/>
  <c r="N46" i="2" s="1"/>
  <c r="O46" i="2" s="1"/>
  <c r="R18" i="2"/>
  <c r="Q18" i="2" s="1"/>
  <c r="S18" i="2" s="1"/>
  <c r="T18" i="2" s="1"/>
  <c r="U18" i="2" s="1"/>
  <c r="J60" i="2"/>
  <c r="I60" i="2" s="1"/>
  <c r="K60" i="2" s="1"/>
  <c r="L60" i="2" s="1"/>
  <c r="J38" i="2"/>
  <c r="I38" i="2" s="1"/>
  <c r="K38" i="2" s="1"/>
  <c r="R47" i="2"/>
  <c r="Q47" i="2" s="1"/>
  <c r="S47" i="2" s="1"/>
  <c r="T47" i="2" s="1"/>
  <c r="U47" i="2" s="1"/>
  <c r="R30" i="2"/>
  <c r="Q30" i="2" s="1"/>
  <c r="S30" i="2" s="1"/>
  <c r="T30" i="2" s="1"/>
  <c r="U30" i="2" s="1"/>
  <c r="R49" i="2"/>
  <c r="Q49" i="2" s="1"/>
  <c r="J50" i="2"/>
  <c r="I50" i="2" s="1"/>
  <c r="K50" i="2" s="1"/>
  <c r="L50" i="2" s="1"/>
  <c r="M50" i="2" s="1"/>
  <c r="J79" i="2"/>
  <c r="I79" i="2" s="1"/>
  <c r="K79" i="2" s="1"/>
  <c r="L79" i="2" s="1"/>
  <c r="M79" i="2" s="1"/>
  <c r="R36" i="2"/>
  <c r="Q36" i="2" s="1"/>
  <c r="S36" i="2" s="1"/>
  <c r="R45" i="2"/>
  <c r="Q45" i="2" s="1"/>
  <c r="S45" i="2" s="1"/>
  <c r="T45" i="2" s="1"/>
  <c r="U45" i="2" s="1"/>
  <c r="V45" i="2" s="1"/>
  <c r="W45" i="2" s="1"/>
  <c r="R20" i="2"/>
  <c r="Q20" i="2" s="1"/>
  <c r="S20" i="2" s="1"/>
  <c r="R40" i="2"/>
  <c r="Q40" i="2" s="1"/>
  <c r="S40" i="2" s="1"/>
  <c r="J83" i="2"/>
  <c r="I83" i="2" s="1"/>
  <c r="K83" i="2" s="1"/>
  <c r="L83" i="2" s="1"/>
  <c r="M83" i="2" s="1"/>
  <c r="N83" i="2" s="1"/>
  <c r="O83" i="2" s="1"/>
  <c r="R21" i="2"/>
  <c r="Q21" i="2" s="1"/>
  <c r="S21" i="2" s="1"/>
  <c r="T21" i="2" s="1"/>
  <c r="U21" i="2" s="1"/>
  <c r="R39" i="2"/>
  <c r="Q39" i="2" s="1"/>
  <c r="S39" i="2" s="1"/>
  <c r="T39" i="2" s="1"/>
  <c r="U39" i="2" s="1"/>
  <c r="J28" i="2"/>
  <c r="I28" i="2" s="1"/>
  <c r="K28" i="2" s="1"/>
  <c r="L28" i="2" s="1"/>
  <c r="M28" i="2" s="1"/>
  <c r="R57" i="2"/>
  <c r="Q57" i="2" s="1"/>
  <c r="S57" i="2" s="1"/>
  <c r="T57" i="2" s="1"/>
  <c r="U57" i="2" s="1"/>
  <c r="R44" i="2"/>
  <c r="Q44" i="2" s="1"/>
  <c r="S44" i="2" s="1"/>
  <c r="T44" i="2" s="1"/>
  <c r="U44" i="2" s="1"/>
  <c r="R81" i="2"/>
  <c r="Q81" i="2" s="1"/>
  <c r="S81" i="2" s="1"/>
  <c r="T81" i="2" s="1"/>
  <c r="R48" i="2"/>
  <c r="Q48" i="2" s="1"/>
  <c r="J54" i="2"/>
  <c r="I54" i="2" s="1"/>
  <c r="K54" i="2" s="1"/>
  <c r="J57" i="2"/>
  <c r="I57" i="2" s="1"/>
  <c r="K57" i="2" s="1"/>
  <c r="L57" i="2" s="1"/>
  <c r="M57" i="2" s="1"/>
  <c r="R75" i="2"/>
  <c r="Q75" i="2" s="1"/>
  <c r="S75" i="2" s="1"/>
  <c r="T75" i="2" s="1"/>
  <c r="U75" i="2" s="1"/>
  <c r="V75" i="2" s="1"/>
  <c r="W75" i="2" s="1"/>
  <c r="J13" i="2"/>
  <c r="I13" i="2" s="1"/>
  <c r="K13" i="2" s="1"/>
  <c r="L13" i="2" s="1"/>
  <c r="M13" i="2" s="1"/>
  <c r="N13" i="2" s="1"/>
  <c r="O13" i="2" s="1"/>
  <c r="J63" i="2"/>
  <c r="I63" i="2" s="1"/>
  <c r="K63" i="2" s="1"/>
  <c r="R60" i="2"/>
  <c r="Q60" i="2" s="1"/>
  <c r="S60" i="2" s="1"/>
  <c r="T60" i="2" s="1"/>
  <c r="U60" i="2" s="1"/>
  <c r="R19" i="2"/>
  <c r="Q19" i="2" s="1"/>
  <c r="S19" i="2" s="1"/>
  <c r="T19" i="2" s="1"/>
  <c r="U19" i="2" s="1"/>
  <c r="V19" i="2" s="1"/>
  <c r="W19" i="2" s="1"/>
  <c r="J81" i="2"/>
  <c r="I81" i="2" s="1"/>
  <c r="K81" i="2" s="1"/>
  <c r="L81" i="2" s="1"/>
  <c r="M81" i="2" s="1"/>
  <c r="J16" i="2"/>
  <c r="I16" i="2" s="1"/>
  <c r="K16" i="2" s="1"/>
  <c r="L16" i="2" s="1"/>
  <c r="M16" i="2" s="1"/>
  <c r="J25" i="2"/>
  <c r="I25" i="2" s="1"/>
  <c r="K25" i="2" s="1"/>
  <c r="J75" i="2"/>
  <c r="I75" i="2" s="1"/>
  <c r="K75" i="2" s="1"/>
  <c r="L75" i="2" s="1"/>
  <c r="M75" i="2" s="1"/>
  <c r="R72" i="2"/>
  <c r="Q72" i="2" s="1"/>
  <c r="S72" i="2" s="1"/>
  <c r="T72" i="2" s="1"/>
  <c r="U72" i="2" s="1"/>
  <c r="R43" i="2"/>
  <c r="R70" i="2"/>
  <c r="Q70" i="2" s="1"/>
  <c r="S70" i="2" s="1"/>
  <c r="T70" i="2" s="1"/>
  <c r="U70" i="2" s="1"/>
  <c r="J52" i="2"/>
  <c r="I52" i="2" s="1"/>
  <c r="K52" i="2" s="1"/>
  <c r="L52" i="2" s="1"/>
  <c r="M52" i="2" s="1"/>
  <c r="J37" i="2"/>
  <c r="I37" i="2" s="1"/>
  <c r="K37" i="2" s="1"/>
  <c r="R16" i="2"/>
  <c r="Q16" i="2" s="1"/>
  <c r="S16" i="2" s="1"/>
  <c r="T16" i="2" s="1"/>
  <c r="U16" i="2" s="1"/>
  <c r="V16" i="2" s="1"/>
  <c r="W16" i="2" s="1"/>
  <c r="J82" i="2"/>
  <c r="I82" i="2" s="1"/>
  <c r="K82" i="2" s="1"/>
  <c r="L82" i="2" s="1"/>
  <c r="M82" i="2" s="1"/>
  <c r="J40" i="2"/>
  <c r="I40" i="2" s="1"/>
  <c r="K40" i="2" s="1"/>
  <c r="L40" i="2" s="1"/>
  <c r="M40" i="2" s="1"/>
  <c r="J19" i="2"/>
  <c r="I19" i="2" s="1"/>
  <c r="K19" i="2" s="1"/>
  <c r="L19" i="2" s="1"/>
  <c r="R35" i="2"/>
  <c r="Q35" i="2" s="1"/>
  <c r="S35" i="2" s="1"/>
  <c r="T35" i="2" s="1"/>
  <c r="U35" i="2" s="1"/>
  <c r="R67" i="2"/>
  <c r="Q67" i="2" s="1"/>
  <c r="S67" i="2" s="1"/>
  <c r="T67" i="2" s="1"/>
  <c r="U67" i="2" s="1"/>
  <c r="J61" i="2"/>
  <c r="I61" i="2" s="1"/>
  <c r="K61" i="2" s="1"/>
  <c r="R52" i="2"/>
  <c r="Q52" i="2" s="1"/>
  <c r="S52" i="2" s="1"/>
  <c r="T52" i="2" s="1"/>
  <c r="U52" i="2" s="1"/>
  <c r="R23" i="2"/>
  <c r="Q23" i="2" s="1"/>
  <c r="S23" i="2" s="1"/>
  <c r="T23" i="2" s="1"/>
  <c r="U23" i="2" s="1"/>
  <c r="J17" i="2"/>
  <c r="I17" i="2" s="1"/>
  <c r="K17" i="2" s="1"/>
  <c r="L17" i="2" s="1"/>
  <c r="M17" i="2" s="1"/>
  <c r="J43" i="2"/>
  <c r="J24" i="2"/>
  <c r="I24" i="2" s="1"/>
  <c r="K24" i="2" s="1"/>
  <c r="L24" i="2" s="1"/>
  <c r="M24" i="2" s="1"/>
  <c r="J55" i="2"/>
  <c r="I55" i="2" s="1"/>
  <c r="K55" i="2" s="1"/>
  <c r="L55" i="2" s="1"/>
  <c r="M55" i="2" s="1"/>
  <c r="N55" i="2" s="1"/>
  <c r="O55" i="2" s="1"/>
  <c r="R14" i="2"/>
  <c r="Q14" i="2" s="1"/>
  <c r="S14" i="2" s="1"/>
  <c r="R64" i="2"/>
  <c r="Q64" i="2" s="1"/>
  <c r="S64" i="2" s="1"/>
  <c r="T64" i="2" s="1"/>
  <c r="U64" i="2" s="1"/>
  <c r="J64" i="2"/>
  <c r="I64" i="2" s="1"/>
  <c r="K64" i="2" s="1"/>
  <c r="L64" i="2" s="1"/>
  <c r="M64" i="2" s="1"/>
  <c r="R32" i="2"/>
  <c r="Q32" i="2" s="1"/>
  <c r="S32" i="2" s="1"/>
  <c r="T32" i="2" s="1"/>
  <c r="U32" i="2" s="1"/>
  <c r="J72" i="2"/>
  <c r="I72" i="2" s="1"/>
  <c r="K72" i="2" s="1"/>
  <c r="L72" i="2" s="1"/>
  <c r="M72" i="2" s="1"/>
  <c r="J68" i="2"/>
  <c r="I68" i="2" s="1"/>
  <c r="K68" i="2" s="1"/>
  <c r="L68" i="2" s="1"/>
  <c r="M68" i="2" s="1"/>
  <c r="R76" i="2"/>
  <c r="Q76" i="2" s="1"/>
  <c r="S76" i="2" s="1"/>
  <c r="T76" i="2" s="1"/>
  <c r="U76" i="2" s="1"/>
  <c r="J47" i="2"/>
  <c r="I47" i="2" s="1"/>
  <c r="K47" i="2" s="1"/>
  <c r="L47" i="2" s="1"/>
  <c r="M47" i="2" s="1"/>
  <c r="N47" i="2" s="1"/>
  <c r="O47" i="2" s="1"/>
  <c r="R17" i="2"/>
  <c r="Q17" i="2" s="1"/>
  <c r="S17" i="2" s="1"/>
  <c r="T17" i="2" s="1"/>
  <c r="U17" i="2" s="1"/>
  <c r="R54" i="2"/>
  <c r="Q54" i="2" s="1"/>
  <c r="S54" i="2" s="1"/>
  <c r="T54" i="2" s="1"/>
  <c r="U54" i="2" s="1"/>
  <c r="R68" i="2"/>
  <c r="Q68" i="2" s="1"/>
  <c r="S68" i="2" s="1"/>
  <c r="T68" i="2" s="1"/>
  <c r="U68" i="2" s="1"/>
  <c r="R34" i="2"/>
  <c r="Q34" i="2" s="1"/>
  <c r="R13" i="2"/>
  <c r="Q13" i="2" s="1"/>
  <c r="S13" i="2" s="1"/>
  <c r="T13" i="2" s="1"/>
  <c r="U13" i="2" s="1"/>
  <c r="J42" i="2"/>
  <c r="I42" i="2" s="1"/>
  <c r="K42" i="2" s="1"/>
  <c r="L42" i="2" s="1"/>
  <c r="M42" i="2" s="1"/>
  <c r="R33" i="2"/>
  <c r="Q33" i="2" s="1"/>
  <c r="S33" i="2" s="1"/>
  <c r="T33" i="2" s="1"/>
  <c r="U33" i="2" s="1"/>
  <c r="R38" i="2"/>
  <c r="Q38" i="2" s="1"/>
  <c r="S38" i="2" s="1"/>
  <c r="T38" i="2" s="1"/>
  <c r="U38" i="2" s="1"/>
  <c r="R63" i="2"/>
  <c r="Q63" i="2" s="1"/>
  <c r="R77" i="2"/>
  <c r="Q77" i="2" s="1"/>
  <c r="S77" i="2" s="1"/>
  <c r="T77" i="2" s="1"/>
  <c r="U77" i="2" s="1"/>
  <c r="R26" i="2"/>
  <c r="Q26" i="2" s="1"/>
  <c r="S26" i="2" s="1"/>
  <c r="T26" i="2" s="1"/>
  <c r="U26" i="2" s="1"/>
  <c r="V26" i="2" s="1"/>
  <c r="W26" i="2" s="1"/>
  <c r="J59" i="2"/>
  <c r="I59" i="2" s="1"/>
  <c r="K59" i="2" s="1"/>
  <c r="L59" i="2" s="1"/>
  <c r="M59" i="2" s="1"/>
  <c r="R29" i="2"/>
  <c r="Q29" i="2" s="1"/>
  <c r="S29" i="2" s="1"/>
  <c r="T29" i="2" s="1"/>
  <c r="U29" i="2" s="1"/>
  <c r="R66" i="2"/>
  <c r="Q66" i="2" s="1"/>
  <c r="S66" i="2" s="1"/>
  <c r="T66" i="2" s="1"/>
  <c r="U66" i="2" s="1"/>
  <c r="J20" i="2"/>
  <c r="I20" i="2" s="1"/>
  <c r="K20" i="2" s="1"/>
  <c r="R46" i="2"/>
  <c r="Q46" i="2" s="1"/>
  <c r="S46" i="2" s="1"/>
  <c r="T46" i="2" s="1"/>
  <c r="U46" i="2" s="1"/>
  <c r="V46" i="2" s="1"/>
  <c r="W46" i="2" s="1"/>
  <c r="R25" i="2"/>
  <c r="Q25" i="2" s="1"/>
  <c r="S25" i="2" s="1"/>
  <c r="T25" i="2" s="1"/>
  <c r="J66" i="2"/>
  <c r="I66" i="2" s="1"/>
  <c r="K66" i="2" s="1"/>
  <c r="L66" i="2" s="1"/>
  <c r="M66" i="2" s="1"/>
  <c r="R69" i="2"/>
  <c r="Q69" i="2" s="1"/>
  <c r="S69" i="2" s="1"/>
  <c r="T69" i="2" s="1"/>
  <c r="U69" i="2" s="1"/>
  <c r="R50" i="2"/>
  <c r="Q50" i="2" s="1"/>
  <c r="J15" i="2"/>
  <c r="I15" i="2" s="1"/>
  <c r="K15" i="2" s="1"/>
  <c r="L15" i="2" s="1"/>
  <c r="M15" i="2" s="1"/>
  <c r="R78" i="2"/>
  <c r="Q78" i="2" s="1"/>
  <c r="S78" i="2" s="1"/>
  <c r="T78" i="2" s="1"/>
  <c r="U78" i="2" s="1"/>
  <c r="V78" i="2" s="1"/>
  <c r="W78" i="2" s="1"/>
  <c r="J35" i="2"/>
  <c r="I35" i="2" s="1"/>
  <c r="K35" i="2" s="1"/>
  <c r="L35" i="2" s="1"/>
  <c r="M35" i="2" s="1"/>
  <c r="R42" i="2"/>
  <c r="Q42" i="2" s="1"/>
  <c r="S42" i="2" s="1"/>
  <c r="R22" i="2"/>
  <c r="Q22" i="2" s="1"/>
  <c r="S22" i="2" s="1"/>
  <c r="T22" i="2" s="1"/>
  <c r="U22" i="2" s="1"/>
  <c r="J18" i="2"/>
  <c r="I18" i="2" s="1"/>
  <c r="K18" i="2" s="1"/>
  <c r="L18" i="2" s="1"/>
  <c r="M18" i="2" s="1"/>
  <c r="N18" i="2" s="1"/>
  <c r="O18" i="2" s="1"/>
  <c r="R51" i="2"/>
  <c r="Q51" i="2" s="1"/>
  <c r="S51" i="2" s="1"/>
  <c r="T51" i="2" s="1"/>
  <c r="U51" i="2" s="1"/>
  <c r="V51" i="2" s="1"/>
  <c r="W51" i="2" s="1"/>
  <c r="J34" i="2"/>
  <c r="I34" i="2" s="1"/>
  <c r="K34" i="2" s="1"/>
  <c r="L34" i="2" s="1"/>
  <c r="M34" i="2" s="1"/>
  <c r="J71" i="2"/>
  <c r="I71" i="2" s="1"/>
  <c r="K71" i="2" s="1"/>
  <c r="L71" i="2" s="1"/>
  <c r="M71" i="2" s="1"/>
  <c r="R53" i="2"/>
  <c r="Q53" i="2" s="1"/>
  <c r="S53" i="2" s="1"/>
  <c r="T53" i="2" s="1"/>
  <c r="U53" i="2" s="1"/>
  <c r="J30" i="2"/>
  <c r="I30" i="2" s="1"/>
  <c r="K30" i="2" s="1"/>
  <c r="L30" i="2" s="1"/>
  <c r="M30" i="2" s="1"/>
  <c r="N30" i="2" s="1"/>
  <c r="O30" i="2" s="1"/>
  <c r="J32" i="2"/>
  <c r="I32" i="2" s="1"/>
  <c r="K32" i="2" s="1"/>
  <c r="L32" i="2" s="1"/>
  <c r="M32" i="2" s="1"/>
  <c r="R58" i="2"/>
  <c r="Q58" i="2" s="1"/>
  <c r="S58" i="2" s="1"/>
  <c r="T58" i="2" s="1"/>
  <c r="U58" i="2" s="1"/>
  <c r="R37" i="2"/>
  <c r="Q37" i="2" s="1"/>
  <c r="S37" i="2" s="1"/>
  <c r="T37" i="2" s="1"/>
  <c r="U37" i="2" s="1"/>
  <c r="R31" i="2"/>
  <c r="Q31" i="2" s="1"/>
  <c r="S31" i="2" s="1"/>
  <c r="T31" i="2" s="1"/>
  <c r="U31" i="2" s="1"/>
  <c r="J21" i="2"/>
  <c r="I21" i="2" s="1"/>
  <c r="K21" i="2" s="1"/>
  <c r="L21" i="2" s="1"/>
  <c r="M21" i="2" s="1"/>
  <c r="R62" i="2"/>
  <c r="Q62" i="2" s="1"/>
  <c r="S62" i="2" s="1"/>
  <c r="T62" i="2" s="1"/>
  <c r="U62" i="2" s="1"/>
  <c r="J27" i="2"/>
  <c r="I27" i="2" s="1"/>
  <c r="K27" i="2" s="1"/>
  <c r="J76" i="2"/>
  <c r="I76" i="2" s="1"/>
  <c r="K76" i="2" s="1"/>
  <c r="L76" i="2" s="1"/>
  <c r="M76" i="2" s="1"/>
  <c r="J14" i="2"/>
  <c r="I14" i="2" s="1"/>
  <c r="K14" i="2" s="1"/>
  <c r="L14" i="2" s="1"/>
  <c r="M14" i="2" s="1"/>
  <c r="R79" i="2"/>
  <c r="Q79" i="2" s="1"/>
  <c r="S79" i="2" s="1"/>
  <c r="T79" i="2" s="1"/>
  <c r="U79" i="2" s="1"/>
  <c r="J39" i="2"/>
  <c r="I39" i="2" s="1"/>
  <c r="K39" i="2" s="1"/>
  <c r="J70" i="2"/>
  <c r="I70" i="2" s="1"/>
  <c r="K70" i="2" s="1"/>
  <c r="L70" i="2" s="1"/>
  <c r="M70" i="2" s="1"/>
  <c r="R24" i="2"/>
  <c r="Q24" i="2" s="1"/>
  <c r="S24" i="2" s="1"/>
  <c r="T24" i="2" s="1"/>
  <c r="U24" i="2" s="1"/>
  <c r="J29" i="2"/>
  <c r="I29" i="2" s="1"/>
  <c r="K29" i="2" s="1"/>
  <c r="L29" i="2" s="1"/>
  <c r="M29" i="2" s="1"/>
  <c r="J78" i="2"/>
  <c r="I78" i="2" s="1"/>
  <c r="K78" i="2" s="1"/>
  <c r="L78" i="2" s="1"/>
  <c r="M78" i="2" s="1"/>
  <c r="J80" i="2"/>
  <c r="I80" i="2" s="1"/>
  <c r="K80" i="2" s="1"/>
  <c r="L80" i="2" s="1"/>
  <c r="M80" i="2" s="1"/>
  <c r="J22" i="2"/>
  <c r="I22" i="2" s="1"/>
  <c r="K22" i="2" s="1"/>
  <c r="L22" i="2" s="1"/>
  <c r="M22" i="2" s="1"/>
  <c r="R61" i="2"/>
  <c r="Q61" i="2" s="1"/>
  <c r="S61" i="2" s="1"/>
  <c r="T61" i="2" s="1"/>
  <c r="U61" i="2" s="1"/>
  <c r="J31" i="2"/>
  <c r="I31" i="2" s="1"/>
  <c r="K31" i="2" s="1"/>
  <c r="L31" i="2" s="1"/>
  <c r="M31" i="2" s="1"/>
  <c r="J69" i="2"/>
  <c r="I69" i="2" s="1"/>
  <c r="K69" i="2" s="1"/>
  <c r="J26" i="2"/>
  <c r="I26" i="2" s="1"/>
  <c r="K26" i="2" s="1"/>
  <c r="L26" i="2" s="1"/>
  <c r="M26" i="2" s="1"/>
  <c r="J51" i="2"/>
  <c r="I51" i="2" s="1"/>
  <c r="K51" i="2" s="1"/>
  <c r="L51" i="2" s="1"/>
  <c r="M51" i="2" s="1"/>
  <c r="N51" i="2" s="1"/>
  <c r="O51" i="2" s="1"/>
  <c r="R80" i="2"/>
  <c r="Q80" i="2" s="1"/>
  <c r="S80" i="2" s="1"/>
  <c r="T80" i="2" s="1"/>
  <c r="U80" i="2" s="1"/>
  <c r="J73" i="2"/>
  <c r="I73" i="2" s="1"/>
  <c r="K73" i="2" s="1"/>
  <c r="R15" i="2"/>
  <c r="Q15" i="2" s="1"/>
  <c r="S15" i="2" s="1"/>
  <c r="T15" i="2" s="1"/>
  <c r="U15" i="2" s="1"/>
  <c r="R28" i="2"/>
  <c r="Q28" i="2" s="1"/>
  <c r="S28" i="2" s="1"/>
  <c r="T28" i="2" s="1"/>
  <c r="U28" i="2" s="1"/>
  <c r="S83" i="2"/>
  <c r="T83" i="2" s="1"/>
  <c r="M43" i="2"/>
  <c r="N43" i="2" s="1"/>
  <c r="O43" i="2" s="1"/>
  <c r="V43" i="2"/>
  <c r="W43" i="2" s="1"/>
  <c r="S82" i="2"/>
  <c r="T82" i="2" s="1"/>
  <c r="U82" i="2" s="1"/>
  <c r="BE35" i="1"/>
  <c r="BB35" i="1"/>
  <c r="AY35" i="1"/>
  <c r="AE43" i="2" l="1"/>
  <c r="S49" i="2"/>
  <c r="T49" i="2" s="1"/>
  <c r="U49" i="2" s="1"/>
  <c r="V49" i="2" s="1"/>
  <c r="W49" i="2" s="1"/>
  <c r="S48" i="2"/>
  <c r="T48" i="2" s="1"/>
  <c r="U48" i="2" s="1"/>
  <c r="V48" i="2" s="1"/>
  <c r="W48" i="2" s="1"/>
  <c r="L25" i="2"/>
  <c r="M25" i="2" s="1"/>
  <c r="N25" i="2" s="1"/>
  <c r="O25" i="2" s="1"/>
  <c r="Z63" i="2"/>
  <c r="AA63" i="2" s="1"/>
  <c r="Z23" i="2"/>
  <c r="AA23" i="2" s="1"/>
  <c r="Z13" i="2"/>
  <c r="AA13" i="2" s="1"/>
  <c r="Z52" i="2"/>
  <c r="AA52" i="2" s="1"/>
  <c r="Z41" i="2"/>
  <c r="AA41" i="2" s="1"/>
  <c r="Z67" i="2"/>
  <c r="AA67" i="2" s="1"/>
  <c r="Z74" i="2"/>
  <c r="AA74" i="2" s="1"/>
  <c r="Z21" i="2"/>
  <c r="AA21" i="2" s="1"/>
  <c r="Z62" i="2"/>
  <c r="AA62" i="2" s="1"/>
  <c r="Z66" i="2"/>
  <c r="AA66" i="2" s="1"/>
  <c r="Z25" i="2"/>
  <c r="AA25" i="2" s="1"/>
  <c r="Z16" i="2"/>
  <c r="AA16" i="2" s="1"/>
  <c r="Z48" i="2"/>
  <c r="AA48" i="2" s="1"/>
  <c r="Z79" i="2"/>
  <c r="AA79" i="2" s="1"/>
  <c r="Z27" i="2"/>
  <c r="AA27" i="2" s="1"/>
  <c r="Z40" i="2"/>
  <c r="AA40" i="2" s="1"/>
  <c r="Z78" i="2"/>
  <c r="AA78" i="2" s="1"/>
  <c r="Z37" i="2"/>
  <c r="AA37" i="2" s="1"/>
  <c r="Z71" i="2"/>
  <c r="AA71" i="2" s="1"/>
  <c r="Z60" i="2"/>
  <c r="AA60" i="2" s="1"/>
  <c r="Z33" i="2"/>
  <c r="AA33" i="2" s="1"/>
  <c r="Z14" i="2"/>
  <c r="AA14" i="2" s="1"/>
  <c r="Z55" i="2"/>
  <c r="AA55" i="2" s="1"/>
  <c r="Z18" i="2"/>
  <c r="AA18" i="2" s="1"/>
  <c r="Z44" i="2"/>
  <c r="AA44" i="2" s="1"/>
  <c r="Z15" i="2"/>
  <c r="AA15" i="2" s="1"/>
  <c r="Z72" i="2"/>
  <c r="AA72" i="2" s="1"/>
  <c r="Z76" i="2"/>
  <c r="AA76" i="2" s="1"/>
  <c r="Z26" i="2"/>
  <c r="AA26" i="2" s="1"/>
  <c r="Z17" i="2"/>
  <c r="AA17" i="2" s="1"/>
  <c r="Z42" i="2"/>
  <c r="AA42" i="2" s="1"/>
  <c r="Z56" i="2"/>
  <c r="AA56" i="2" s="1"/>
  <c r="Z39" i="2"/>
  <c r="AA39" i="2" s="1"/>
  <c r="Z64" i="2"/>
  <c r="AA64" i="2" s="1"/>
  <c r="Z59" i="2"/>
  <c r="AA59" i="2" s="1"/>
  <c r="Z38" i="2"/>
  <c r="AA38" i="2" s="1"/>
  <c r="Z50" i="2"/>
  <c r="AA50" i="2" s="1"/>
  <c r="Z49" i="2"/>
  <c r="AA49" i="2" s="1"/>
  <c r="Z68" i="2"/>
  <c r="AA68" i="2" s="1"/>
  <c r="Z58" i="2"/>
  <c r="AA58" i="2" s="1"/>
  <c r="Z47" i="2"/>
  <c r="AA47" i="2" s="1"/>
  <c r="Z46" i="2"/>
  <c r="AA46" i="2" s="1"/>
  <c r="Z45" i="2"/>
  <c r="AA45" i="2" s="1"/>
  <c r="Z54" i="2"/>
  <c r="AA54" i="2" s="1"/>
  <c r="Z30" i="2"/>
  <c r="AA30" i="2" s="1"/>
  <c r="Z61" i="2"/>
  <c r="AA61" i="2" s="1"/>
  <c r="Z80" i="2"/>
  <c r="AA80" i="2" s="1"/>
  <c r="Z34" i="2"/>
  <c r="AA34" i="2" s="1"/>
  <c r="Z20" i="2"/>
  <c r="AA20" i="2" s="1"/>
  <c r="Z82" i="2"/>
  <c r="AA82" i="2" s="1"/>
  <c r="Z57" i="2"/>
  <c r="AA57" i="2" s="1"/>
  <c r="Z73" i="2"/>
  <c r="AA73" i="2" s="1"/>
  <c r="Z28" i="2"/>
  <c r="AA28" i="2" s="1"/>
  <c r="Z53" i="2"/>
  <c r="AA53" i="2" s="1"/>
  <c r="Z70" i="2"/>
  <c r="AA70" i="2" s="1"/>
  <c r="Z22" i="2"/>
  <c r="AA22" i="2" s="1"/>
  <c r="Z69" i="2"/>
  <c r="AA69" i="2" s="1"/>
  <c r="Z75" i="2"/>
  <c r="AA75" i="2" s="1"/>
  <c r="Z83" i="2"/>
  <c r="AA83" i="2" s="1"/>
  <c r="Z32" i="2"/>
  <c r="AA32" i="2" s="1"/>
  <c r="Z65" i="2"/>
  <c r="AA65" i="2" s="1"/>
  <c r="Z24" i="2"/>
  <c r="AA24" i="2" s="1"/>
  <c r="Z19" i="2"/>
  <c r="AA19" i="2" s="1"/>
  <c r="Z81" i="2"/>
  <c r="AA81" i="2" s="1"/>
  <c r="Z29" i="2"/>
  <c r="AA29" i="2" s="1"/>
  <c r="Z35" i="2"/>
  <c r="AA35" i="2" s="1"/>
  <c r="Z51" i="2"/>
  <c r="AA51" i="2" s="1"/>
  <c r="Z77" i="2"/>
  <c r="AA77" i="2" s="1"/>
  <c r="Z36" i="2"/>
  <c r="AA36" i="2" s="1"/>
  <c r="Z31" i="2"/>
  <c r="AA31" i="2" s="1"/>
  <c r="T42" i="2"/>
  <c r="U42" i="2" s="1"/>
  <c r="V42" i="2" s="1"/>
  <c r="W42" i="2" s="1"/>
  <c r="L38" i="2"/>
  <c r="M38" i="2" s="1"/>
  <c r="N38" i="2" s="1"/>
  <c r="O38" i="2" s="1"/>
  <c r="L44" i="2"/>
  <c r="M44" i="2" s="1"/>
  <c r="N44" i="2" s="1"/>
  <c r="O44" i="2" s="1"/>
  <c r="T14" i="2"/>
  <c r="U14" i="2" s="1"/>
  <c r="V14" i="2" s="1"/>
  <c r="W14" i="2" s="1"/>
  <c r="T40" i="2"/>
  <c r="U40" i="2" s="1"/>
  <c r="V40" i="2" s="1"/>
  <c r="W40" i="2" s="1"/>
  <c r="L37" i="2"/>
  <c r="M37" i="2" s="1"/>
  <c r="N37" i="2" s="1"/>
  <c r="O37" i="2" s="1"/>
  <c r="L73" i="2"/>
  <c r="M73" i="2" s="1"/>
  <c r="N73" i="2" s="1"/>
  <c r="O73" i="2" s="1"/>
  <c r="L77" i="2"/>
  <c r="M77" i="2" s="1"/>
  <c r="N77" i="2" s="1"/>
  <c r="O77" i="2" s="1"/>
  <c r="L63" i="2"/>
  <c r="M63" i="2" s="1"/>
  <c r="N63" i="2" s="1"/>
  <c r="O63" i="2" s="1"/>
  <c r="L54" i="2"/>
  <c r="M54" i="2" s="1"/>
  <c r="N54" i="2" s="1"/>
  <c r="O54" i="2" s="1"/>
  <c r="T36" i="2"/>
  <c r="U36" i="2" s="1"/>
  <c r="V36" i="2" s="1"/>
  <c r="W36" i="2" s="1"/>
  <c r="L39" i="2"/>
  <c r="M39" i="2" s="1"/>
  <c r="N39" i="2" s="1"/>
  <c r="O39" i="2" s="1"/>
  <c r="T20" i="2"/>
  <c r="U20" i="2" s="1"/>
  <c r="V20" i="2" s="1"/>
  <c r="W20" i="2" s="1"/>
  <c r="L69" i="2"/>
  <c r="M69" i="2" s="1"/>
  <c r="N69" i="2" s="1"/>
  <c r="O69" i="2" s="1"/>
  <c r="L61" i="2"/>
  <c r="M61" i="2" s="1"/>
  <c r="N61" i="2" s="1"/>
  <c r="O61" i="2" s="1"/>
  <c r="L27" i="2"/>
  <c r="M27" i="2" s="1"/>
  <c r="N27" i="2" s="1"/>
  <c r="O27" i="2" s="1"/>
  <c r="L20" i="2"/>
  <c r="M20" i="2" s="1"/>
  <c r="N20" i="2" s="1"/>
  <c r="O20" i="2" s="1"/>
  <c r="S74" i="2"/>
  <c r="T74" i="2" s="1"/>
  <c r="U74" i="2" s="1"/>
  <c r="V74" i="2" s="1"/>
  <c r="W74" i="2" s="1"/>
  <c r="S34" i="2"/>
  <c r="T34" i="2" s="1"/>
  <c r="U34" i="2" s="1"/>
  <c r="V34" i="2" s="1"/>
  <c r="W34" i="2" s="1"/>
  <c r="S63" i="2"/>
  <c r="T63" i="2" s="1"/>
  <c r="U63" i="2" s="1"/>
  <c r="V63" i="2" s="1"/>
  <c r="W63" i="2" s="1"/>
  <c r="S50" i="2"/>
  <c r="T50" i="2" s="1"/>
  <c r="U50" i="2" s="1"/>
  <c r="V50" i="2" s="1"/>
  <c r="W50" i="2" s="1"/>
  <c r="U83" i="2"/>
  <c r="V83" i="2" s="1"/>
  <c r="W83" i="2" s="1"/>
  <c r="M60" i="2"/>
  <c r="N60" i="2" s="1"/>
  <c r="O60" i="2" s="1"/>
  <c r="U25" i="2"/>
  <c r="V25" i="2" s="1"/>
  <c r="W25" i="2" s="1"/>
  <c r="M19" i="2"/>
  <c r="N19" i="2" s="1"/>
  <c r="O19" i="2" s="1"/>
  <c r="U81" i="2"/>
  <c r="V81" i="2" s="1"/>
  <c r="W81" i="2" s="1"/>
  <c r="U41" i="2"/>
  <c r="V41" i="2" s="1"/>
  <c r="W41" i="2" s="1"/>
  <c r="N50" i="2"/>
  <c r="O50" i="2" s="1"/>
  <c r="N74" i="2"/>
  <c r="O74" i="2" s="1"/>
  <c r="V68" i="2"/>
  <c r="W68" i="2" s="1"/>
  <c r="V82" i="2"/>
  <c r="W82" i="2" s="1"/>
  <c r="V71" i="2"/>
  <c r="W71" i="2" s="1"/>
  <c r="V35" i="2"/>
  <c r="W35" i="2" s="1"/>
  <c r="V15" i="2"/>
  <c r="W15" i="2" s="1"/>
  <c r="N79" i="2"/>
  <c r="O79" i="2" s="1"/>
  <c r="N28" i="2"/>
  <c r="O28" i="2" s="1"/>
  <c r="V18" i="2"/>
  <c r="W18" i="2" s="1"/>
  <c r="V72" i="2"/>
  <c r="W72" i="2" s="1"/>
  <c r="V21" i="2"/>
  <c r="W21" i="2" s="1"/>
  <c r="V28" i="2"/>
  <c r="W28" i="2" s="1"/>
  <c r="N67" i="2"/>
  <c r="O67" i="2" s="1"/>
  <c r="N62" i="2"/>
  <c r="O62" i="2" s="1"/>
  <c r="V24" i="2"/>
  <c r="W24" i="2" s="1"/>
  <c r="N16" i="2"/>
  <c r="O16" i="2" s="1"/>
  <c r="V79" i="2"/>
  <c r="W79" i="2" s="1"/>
  <c r="N17" i="2"/>
  <c r="O17" i="2" s="1"/>
  <c r="N22" i="2"/>
  <c r="O22" i="2" s="1"/>
  <c r="N70" i="2"/>
  <c r="O70" i="2" s="1"/>
  <c r="V54" i="2"/>
  <c r="W54" i="2" s="1"/>
  <c r="N81" i="2"/>
  <c r="O81" i="2" s="1"/>
  <c r="V73" i="2"/>
  <c r="W73" i="2" s="1"/>
  <c r="V64" i="2"/>
  <c r="W64" i="2" s="1"/>
  <c r="V70" i="2"/>
  <c r="W70" i="2" s="1"/>
  <c r="V76" i="2"/>
  <c r="W76" i="2" s="1"/>
  <c r="N75" i="2"/>
  <c r="O75" i="2" s="1"/>
  <c r="V80" i="2"/>
  <c r="W80" i="2" s="1"/>
  <c r="V77" i="2"/>
  <c r="W77" i="2" s="1"/>
  <c r="V53" i="2"/>
  <c r="W53" i="2" s="1"/>
  <c r="N53" i="2"/>
  <c r="O53" i="2" s="1"/>
  <c r="V47" i="2"/>
  <c r="W47" i="2" s="1"/>
  <c r="N42" i="2"/>
  <c r="O42" i="2" s="1"/>
  <c r="N21" i="2"/>
  <c r="O21" i="2" s="1"/>
  <c r="N31" i="2"/>
  <c r="O31" i="2" s="1"/>
  <c r="V65" i="2"/>
  <c r="W65" i="2" s="1"/>
  <c r="N76" i="2"/>
  <c r="O76" i="2" s="1"/>
  <c r="N68" i="2"/>
  <c r="O68" i="2" s="1"/>
  <c r="V22" i="2"/>
  <c r="W22" i="2" s="1"/>
  <c r="N33" i="2"/>
  <c r="O33" i="2" s="1"/>
  <c r="V27" i="2"/>
  <c r="W27" i="2" s="1"/>
  <c r="N82" i="2"/>
  <c r="O82" i="2" s="1"/>
  <c r="V61" i="2"/>
  <c r="W61" i="2" s="1"/>
  <c r="N24" i="2"/>
  <c r="O24" i="2" s="1"/>
  <c r="N78" i="2"/>
  <c r="O78" i="2" s="1"/>
  <c r="N40" i="2"/>
  <c r="O40" i="2" s="1"/>
  <c r="N34" i="2"/>
  <c r="O34" i="2" s="1"/>
  <c r="N23" i="2"/>
  <c r="O23" i="2" s="1"/>
  <c r="N52" i="2"/>
  <c r="O52" i="2" s="1"/>
  <c r="V66" i="2"/>
  <c r="W66" i="2" s="1"/>
  <c r="N36" i="2"/>
  <c r="O36" i="2" s="1"/>
  <c r="N72" i="2"/>
  <c r="O72" i="2" s="1"/>
  <c r="V13" i="2"/>
  <c r="W13" i="2" s="1"/>
  <c r="V59" i="2"/>
  <c r="W59" i="2" s="1"/>
  <c r="N29" i="2"/>
  <c r="O29" i="2" s="1"/>
  <c r="N45" i="2"/>
  <c r="O45" i="2" s="1"/>
  <c r="V31" i="2"/>
  <c r="W31" i="2" s="1"/>
  <c r="N57" i="2"/>
  <c r="O57" i="2" s="1"/>
  <c r="N71" i="2"/>
  <c r="O71" i="2" s="1"/>
  <c r="N35" i="2"/>
  <c r="O35" i="2" s="1"/>
  <c r="V32" i="2"/>
  <c r="W32" i="2" s="1"/>
  <c r="V17" i="2"/>
  <c r="W17" i="2" s="1"/>
  <c r="V62" i="2"/>
  <c r="W62" i="2" s="1"/>
  <c r="V69" i="2"/>
  <c r="W69" i="2" s="1"/>
  <c r="V29" i="2"/>
  <c r="W29" i="2" s="1"/>
  <c r="N59" i="2"/>
  <c r="O59" i="2" s="1"/>
  <c r="N56" i="2"/>
  <c r="O56" i="2" s="1"/>
  <c r="V52" i="2"/>
  <c r="W52" i="2" s="1"/>
  <c r="N66" i="2"/>
  <c r="O66" i="2" s="1"/>
  <c r="N41" i="2"/>
  <c r="O41" i="2" s="1"/>
  <c r="V58" i="2"/>
  <c r="W58" i="2" s="1"/>
  <c r="N32" i="2"/>
  <c r="O32" i="2" s="1"/>
  <c r="V39" i="2"/>
  <c r="W39" i="2" s="1"/>
  <c r="V60" i="2"/>
  <c r="W60" i="2" s="1"/>
  <c r="V67" i="2"/>
  <c r="W67" i="2" s="1"/>
  <c r="V57" i="2"/>
  <c r="W57" i="2" s="1"/>
  <c r="V38" i="2"/>
  <c r="W38" i="2" s="1"/>
  <c r="N26" i="2"/>
  <c r="O26" i="2" s="1"/>
  <c r="V44" i="2"/>
  <c r="W44" i="2" s="1"/>
  <c r="V23" i="2"/>
  <c r="W23" i="2" s="1"/>
  <c r="V37" i="2"/>
  <c r="W37" i="2" s="1"/>
  <c r="V30" i="2"/>
  <c r="W30" i="2" s="1"/>
  <c r="V33" i="2"/>
  <c r="W33" i="2" s="1"/>
  <c r="N15" i="2"/>
  <c r="O15" i="2" s="1"/>
  <c r="N14" i="2"/>
  <c r="O14" i="2" s="1"/>
  <c r="N64" i="2"/>
  <c r="O64" i="2" s="1"/>
  <c r="N80" i="2"/>
  <c r="O80" i="2" s="1"/>
  <c r="N48" i="2"/>
  <c r="O48" i="2" s="1"/>
  <c r="BE36" i="1"/>
  <c r="BE37" i="1" s="1"/>
  <c r="BE38" i="1" s="1"/>
  <c r="BB36" i="1"/>
  <c r="BB37" i="1" s="1"/>
  <c r="BB38" i="1" s="1"/>
  <c r="AY36" i="1"/>
  <c r="AY37" i="1" s="1"/>
  <c r="AY38" i="1" s="1"/>
  <c r="AV34" i="1"/>
  <c r="AV33" i="1"/>
  <c r="AV32" i="1"/>
  <c r="AV31" i="1"/>
  <c r="AV30" i="1"/>
  <c r="AV29" i="1"/>
  <c r="AV28" i="1"/>
  <c r="AV27" i="1"/>
  <c r="AV26" i="1"/>
  <c r="AV25" i="1"/>
  <c r="AV24" i="1"/>
  <c r="AV23" i="1"/>
  <c r="AV22" i="1"/>
  <c r="AV21" i="1"/>
  <c r="AV20" i="1"/>
  <c r="AV19" i="1"/>
  <c r="AV18" i="1"/>
  <c r="AV17" i="1"/>
  <c r="AV16" i="1"/>
  <c r="AV15" i="1"/>
  <c r="AV14" i="1"/>
  <c r="AV13" i="1"/>
  <c r="AV12" i="1"/>
  <c r="AV11" i="1"/>
  <c r="AV10" i="1"/>
  <c r="AV9" i="1"/>
  <c r="AV8" i="1"/>
  <c r="AV7" i="1"/>
  <c r="AV6" i="1"/>
  <c r="AV5" i="1"/>
  <c r="AB21" i="2" l="1"/>
  <c r="AC21" i="2" s="1"/>
  <c r="AD21" i="2" s="1"/>
  <c r="AE21" i="2" s="1"/>
  <c r="AB50" i="2"/>
  <c r="AC50" i="2" s="1"/>
  <c r="AD50" i="2" s="1"/>
  <c r="AE50" i="2" s="1"/>
  <c r="AB53" i="2"/>
  <c r="AC53" i="2" s="1"/>
  <c r="AD53" i="2" s="1"/>
  <c r="AE53" i="2" s="1"/>
  <c r="AG53" i="2" s="1"/>
  <c r="AB62" i="2"/>
  <c r="AC62" i="2" s="1"/>
  <c r="AD62" i="2" s="1"/>
  <c r="AE62" i="2" s="1"/>
  <c r="AH62" i="2" s="1"/>
  <c r="AB32" i="2"/>
  <c r="AC32" i="2" s="1"/>
  <c r="AD32" i="2" s="1"/>
  <c r="AE32" i="2" s="1"/>
  <c r="AI32" i="2" s="1"/>
  <c r="AB35" i="2"/>
  <c r="AC35" i="2" s="1"/>
  <c r="AD35" i="2" s="1"/>
  <c r="AE35" i="2" s="1"/>
  <c r="AH35" i="2" s="1"/>
  <c r="AB69" i="2"/>
  <c r="AC69" i="2" s="1"/>
  <c r="AD69" i="2" s="1"/>
  <c r="AE69" i="2" s="1"/>
  <c r="AG69" i="2" s="1"/>
  <c r="AB20" i="2"/>
  <c r="AC20" i="2" s="1"/>
  <c r="AD20" i="2" s="1"/>
  <c r="AE20" i="2" s="1"/>
  <c r="AB47" i="2"/>
  <c r="AC47" i="2" s="1"/>
  <c r="AD47" i="2" s="1"/>
  <c r="AE47" i="2" s="1"/>
  <c r="AB52" i="2"/>
  <c r="AC52" i="2" s="1"/>
  <c r="AD52" i="2" s="1"/>
  <c r="AE52" i="2" s="1"/>
  <c r="AB18" i="2"/>
  <c r="AC18" i="2" s="1"/>
  <c r="AD18" i="2" s="1"/>
  <c r="AE18" i="2" s="1"/>
  <c r="AH18" i="2" s="1"/>
  <c r="AB74" i="2"/>
  <c r="AC74" i="2" s="1"/>
  <c r="AD74" i="2" s="1"/>
  <c r="AE74" i="2" s="1"/>
  <c r="AB33" i="2"/>
  <c r="AC33" i="2" s="1"/>
  <c r="AD33" i="2" s="1"/>
  <c r="AE33" i="2" s="1"/>
  <c r="AG33" i="2" s="1"/>
  <c r="AB46" i="2"/>
  <c r="AC46" i="2" s="1"/>
  <c r="AD46" i="2" s="1"/>
  <c r="AE46" i="2" s="1"/>
  <c r="AH46" i="2" s="1"/>
  <c r="AB34" i="2"/>
  <c r="AC34" i="2" s="1"/>
  <c r="AD34" i="2" s="1"/>
  <c r="AE34" i="2" s="1"/>
  <c r="AB58" i="2"/>
  <c r="AC58" i="2" s="1"/>
  <c r="AD58" i="2" s="1"/>
  <c r="AE58" i="2" s="1"/>
  <c r="AB13" i="2"/>
  <c r="AC13" i="2" s="1"/>
  <c r="AD13" i="2" s="1"/>
  <c r="AE13" i="2" s="1"/>
  <c r="AB66" i="2"/>
  <c r="AC66" i="2" s="1"/>
  <c r="AD66" i="2" s="1"/>
  <c r="AE66" i="2" s="1"/>
  <c r="AG66" i="2" s="1"/>
  <c r="AB51" i="2"/>
  <c r="AC51" i="2" s="1"/>
  <c r="AD51" i="2" s="1"/>
  <c r="AE51" i="2" s="1"/>
  <c r="AI51" i="2" s="1"/>
  <c r="AB37" i="2"/>
  <c r="AC37" i="2" s="1"/>
  <c r="AD37" i="2" s="1"/>
  <c r="AE37" i="2" s="1"/>
  <c r="AB73" i="2"/>
  <c r="AC73" i="2" s="1"/>
  <c r="AD73" i="2" s="1"/>
  <c r="AE73" i="2" s="1"/>
  <c r="AI73" i="2" s="1"/>
  <c r="AB14" i="2"/>
  <c r="AC14" i="2" s="1"/>
  <c r="AD14" i="2" s="1"/>
  <c r="AE14" i="2" s="1"/>
  <c r="AI14" i="2" s="1"/>
  <c r="AB67" i="2"/>
  <c r="AC67" i="2" s="1"/>
  <c r="AD67" i="2" s="1"/>
  <c r="AE67" i="2" s="1"/>
  <c r="AB19" i="2"/>
  <c r="AC19" i="2" s="1"/>
  <c r="AD19" i="2" s="1"/>
  <c r="AE19" i="2" s="1"/>
  <c r="AB28" i="2"/>
  <c r="AC28" i="2" s="1"/>
  <c r="AD28" i="2" s="1"/>
  <c r="AE28" i="2" s="1"/>
  <c r="AB17" i="2"/>
  <c r="AC17" i="2" s="1"/>
  <c r="AD17" i="2" s="1"/>
  <c r="AE17" i="2" s="1"/>
  <c r="AB26" i="2"/>
  <c r="AC26" i="2" s="1"/>
  <c r="AD26" i="2" s="1"/>
  <c r="AE26" i="2" s="1"/>
  <c r="AG26" i="2" s="1"/>
  <c r="AB83" i="2"/>
  <c r="AC83" i="2" s="1"/>
  <c r="AD83" i="2" s="1"/>
  <c r="AE83" i="2" s="1"/>
  <c r="AB61" i="2"/>
  <c r="AC61" i="2" s="1"/>
  <c r="AD61" i="2" s="1"/>
  <c r="AE61" i="2" s="1"/>
  <c r="AB63" i="2"/>
  <c r="AC63" i="2" s="1"/>
  <c r="AD63" i="2" s="1"/>
  <c r="AE63" i="2" s="1"/>
  <c r="AB29" i="2"/>
  <c r="AC29" i="2" s="1"/>
  <c r="AD29" i="2" s="1"/>
  <c r="AE29" i="2" s="1"/>
  <c r="AB80" i="2"/>
  <c r="AC80" i="2" s="1"/>
  <c r="AD80" i="2" s="1"/>
  <c r="AE80" i="2" s="1"/>
  <c r="AB59" i="2"/>
  <c r="AC59" i="2" s="1"/>
  <c r="AD59" i="2" s="1"/>
  <c r="AE59" i="2" s="1"/>
  <c r="AG59" i="2" s="1"/>
  <c r="AB55" i="2"/>
  <c r="AC55" i="2" s="1"/>
  <c r="AD55" i="2" s="1"/>
  <c r="AE55" i="2" s="1"/>
  <c r="AH55" i="2" s="1"/>
  <c r="AB78" i="2"/>
  <c r="AC78" i="2" s="1"/>
  <c r="AD78" i="2" s="1"/>
  <c r="AE78" i="2" s="1"/>
  <c r="AB25" i="2"/>
  <c r="AC25" i="2" s="1"/>
  <c r="AD25" i="2" s="1"/>
  <c r="AE25" i="2" s="1"/>
  <c r="AB41" i="2"/>
  <c r="AC41" i="2" s="1"/>
  <c r="AD41" i="2" s="1"/>
  <c r="AE41" i="2" s="1"/>
  <c r="AB38" i="2"/>
  <c r="AC38" i="2" s="1"/>
  <c r="AD38" i="2" s="1"/>
  <c r="AE38" i="2" s="1"/>
  <c r="AH38" i="2" s="1"/>
  <c r="AB31" i="2"/>
  <c r="AC31" i="2" s="1"/>
  <c r="AD31" i="2" s="1"/>
  <c r="AE31" i="2" s="1"/>
  <c r="AB81" i="2"/>
  <c r="AC81" i="2" s="1"/>
  <c r="AD81" i="2" s="1"/>
  <c r="AE81" i="2" s="1"/>
  <c r="AG81" i="2" s="1"/>
  <c r="AB75" i="2"/>
  <c r="AC75" i="2" s="1"/>
  <c r="AD75" i="2" s="1"/>
  <c r="AE75" i="2" s="1"/>
  <c r="AB64" i="2"/>
  <c r="AC64" i="2" s="1"/>
  <c r="AD64" i="2" s="1"/>
  <c r="AE64" i="2" s="1"/>
  <c r="AB76" i="2"/>
  <c r="AC76" i="2" s="1"/>
  <c r="AD76" i="2" s="1"/>
  <c r="AE76" i="2" s="1"/>
  <c r="AB40" i="2"/>
  <c r="AC40" i="2" s="1"/>
  <c r="AD40" i="2" s="1"/>
  <c r="AE40" i="2" s="1"/>
  <c r="AG40" i="2" s="1"/>
  <c r="AB16" i="2"/>
  <c r="AC16" i="2" s="1"/>
  <c r="AD16" i="2" s="1"/>
  <c r="AE16" i="2" s="1"/>
  <c r="AB36" i="2"/>
  <c r="AC36" i="2" s="1"/>
  <c r="AD36" i="2" s="1"/>
  <c r="AE36" i="2" s="1"/>
  <c r="AB57" i="2"/>
  <c r="AC57" i="2" s="1"/>
  <c r="AD57" i="2" s="1"/>
  <c r="AE57" i="2" s="1"/>
  <c r="AB68" i="2"/>
  <c r="AC68" i="2" s="1"/>
  <c r="AD68" i="2" s="1"/>
  <c r="AE68" i="2" s="1"/>
  <c r="AH68" i="2" s="1"/>
  <c r="AB39" i="2"/>
  <c r="AC39" i="2" s="1"/>
  <c r="AD39" i="2" s="1"/>
  <c r="AE39" i="2" s="1"/>
  <c r="AH39" i="2" s="1"/>
  <c r="AB72" i="2"/>
  <c r="AC72" i="2" s="1"/>
  <c r="AD72" i="2" s="1"/>
  <c r="AE72" i="2" s="1"/>
  <c r="AG72" i="2" s="1"/>
  <c r="AB30" i="2"/>
  <c r="AC30" i="2" s="1"/>
  <c r="AD30" i="2" s="1"/>
  <c r="AE30" i="2" s="1"/>
  <c r="AB27" i="2"/>
  <c r="AC27" i="2" s="1"/>
  <c r="AD27" i="2" s="1"/>
  <c r="AE27" i="2" s="1"/>
  <c r="AH27" i="2" s="1"/>
  <c r="AB77" i="2"/>
  <c r="AC77" i="2" s="1"/>
  <c r="AD77" i="2" s="1"/>
  <c r="AE77" i="2" s="1"/>
  <c r="AG77" i="2" s="1"/>
  <c r="AB24" i="2"/>
  <c r="AC24" i="2" s="1"/>
  <c r="AD24" i="2" s="1"/>
  <c r="AE24" i="2" s="1"/>
  <c r="AB22" i="2"/>
  <c r="AC22" i="2" s="1"/>
  <c r="AD22" i="2" s="1"/>
  <c r="AE22" i="2" s="1"/>
  <c r="AB82" i="2"/>
  <c r="AC82" i="2" s="1"/>
  <c r="AD82" i="2" s="1"/>
  <c r="AE82" i="2" s="1"/>
  <c r="AB54" i="2"/>
  <c r="AC54" i="2" s="1"/>
  <c r="AD54" i="2" s="1"/>
  <c r="AE54" i="2" s="1"/>
  <c r="AB49" i="2"/>
  <c r="AC49" i="2" s="1"/>
  <c r="AD49" i="2" s="1"/>
  <c r="AE49" i="2" s="1"/>
  <c r="AB56" i="2"/>
  <c r="AC56" i="2" s="1"/>
  <c r="AD56" i="2" s="1"/>
  <c r="AE56" i="2" s="1"/>
  <c r="AB15" i="2"/>
  <c r="AC15" i="2" s="1"/>
  <c r="AD15" i="2" s="1"/>
  <c r="AE15" i="2" s="1"/>
  <c r="AG15" i="2" s="1"/>
  <c r="AB60" i="2"/>
  <c r="AC60" i="2" s="1"/>
  <c r="AD60" i="2" s="1"/>
  <c r="AE60" i="2" s="1"/>
  <c r="AB79" i="2"/>
  <c r="AC79" i="2" s="1"/>
  <c r="AD79" i="2" s="1"/>
  <c r="AE79" i="2" s="1"/>
  <c r="AH79" i="2" s="1"/>
  <c r="AB23" i="2"/>
  <c r="AC23" i="2" s="1"/>
  <c r="AD23" i="2" s="1"/>
  <c r="AE23" i="2" s="1"/>
  <c r="AH23" i="2" s="1"/>
  <c r="AB65" i="2"/>
  <c r="AC65" i="2" s="1"/>
  <c r="AD65" i="2" s="1"/>
  <c r="AE65" i="2" s="1"/>
  <c r="AB70" i="2"/>
  <c r="AC70" i="2" s="1"/>
  <c r="AD70" i="2" s="1"/>
  <c r="AE70" i="2" s="1"/>
  <c r="AB45" i="2"/>
  <c r="AC45" i="2" s="1"/>
  <c r="AD45" i="2" s="1"/>
  <c r="AE45" i="2" s="1"/>
  <c r="AB42" i="2"/>
  <c r="AC42" i="2" s="1"/>
  <c r="AD42" i="2" s="1"/>
  <c r="AE42" i="2" s="1"/>
  <c r="AB44" i="2"/>
  <c r="AC44" i="2" s="1"/>
  <c r="AD44" i="2" s="1"/>
  <c r="AE44" i="2" s="1"/>
  <c r="AH44" i="2" s="1"/>
  <c r="AB71" i="2"/>
  <c r="AC71" i="2" s="1"/>
  <c r="AD71" i="2" s="1"/>
  <c r="AE71" i="2" s="1"/>
  <c r="AH71" i="2" s="1"/>
  <c r="AB48" i="2"/>
  <c r="AC48" i="2" s="1"/>
  <c r="AD48" i="2" s="1"/>
  <c r="AE48" i="2" s="1"/>
  <c r="AG48" i="2" s="1"/>
  <c r="AH43" i="2"/>
  <c r="AI43" i="2"/>
  <c r="AG43" i="2"/>
  <c r="AV35" i="1"/>
  <c r="D5" i="2" s="1"/>
  <c r="X84" i="2" s="1"/>
  <c r="AI55" i="2" l="1"/>
  <c r="AG55" i="2"/>
  <c r="AG19" i="2"/>
  <c r="AH19" i="2"/>
  <c r="AI19" i="2"/>
  <c r="AG18" i="2"/>
  <c r="AI18" i="2"/>
  <c r="AH51" i="2"/>
  <c r="AG16" i="2"/>
  <c r="AI16" i="2"/>
  <c r="AH16" i="2"/>
  <c r="AG51" i="2"/>
  <c r="AG47" i="2"/>
  <c r="AI47" i="2"/>
  <c r="AH47" i="2"/>
  <c r="AH45" i="2"/>
  <c r="AG45" i="2"/>
  <c r="AI45" i="2"/>
  <c r="AH75" i="2"/>
  <c r="AI75" i="2"/>
  <c r="AG75" i="2"/>
  <c r="AI58" i="2"/>
  <c r="AH58" i="2"/>
  <c r="AG58" i="2"/>
  <c r="AG65" i="2"/>
  <c r="AH65" i="2"/>
  <c r="AI65" i="2"/>
  <c r="AG83" i="2"/>
  <c r="AH83" i="2"/>
  <c r="AI83" i="2"/>
  <c r="AH30" i="2"/>
  <c r="AI30" i="2"/>
  <c r="AG30" i="2"/>
  <c r="AH56" i="2"/>
  <c r="AG56" i="2"/>
  <c r="AI56" i="2"/>
  <c r="AI78" i="2"/>
  <c r="AG78" i="2"/>
  <c r="AH78" i="2"/>
  <c r="AH49" i="2"/>
  <c r="AI49" i="2"/>
  <c r="AG49" i="2"/>
  <c r="AI26" i="2"/>
  <c r="AH26" i="2"/>
  <c r="AI46" i="2"/>
  <c r="AG46" i="2"/>
  <c r="AH13" i="2"/>
  <c r="AI13" i="2"/>
  <c r="AG13" i="2"/>
  <c r="AI48" i="2"/>
  <c r="AH48" i="2"/>
  <c r="Q84" i="2"/>
  <c r="U84" i="2" s="1"/>
  <c r="V84" i="2" s="1"/>
  <c r="W84" i="2" s="1"/>
  <c r="W85" i="2" s="1"/>
  <c r="F14" i="4" s="1"/>
  <c r="AG79" i="2"/>
  <c r="AG23" i="2"/>
  <c r="AI23" i="2"/>
  <c r="AI77" i="2"/>
  <c r="AH77" i="2"/>
  <c r="AI62" i="2"/>
  <c r="AH14" i="2"/>
  <c r="AI79" i="2"/>
  <c r="AI81" i="2"/>
  <c r="AI53" i="2"/>
  <c r="AH81" i="2"/>
  <c r="AH53" i="2"/>
  <c r="AH69" i="2"/>
  <c r="AI69" i="2"/>
  <c r="AI68" i="2"/>
  <c r="AG68" i="2"/>
  <c r="AG62" i="2"/>
  <c r="AG14" i="2"/>
  <c r="AG71" i="2"/>
  <c r="AG35" i="2"/>
  <c r="AG39" i="2"/>
  <c r="AI35" i="2"/>
  <c r="AI71" i="2"/>
  <c r="AI39" i="2"/>
  <c r="AI15" i="2"/>
  <c r="AH15" i="2"/>
  <c r="AI72" i="2"/>
  <c r="AH72" i="2"/>
  <c r="AH59" i="2"/>
  <c r="AG38" i="2"/>
  <c r="AI59" i="2"/>
  <c r="AG44" i="2"/>
  <c r="AI38" i="2"/>
  <c r="AI40" i="2"/>
  <c r="AI66" i="2"/>
  <c r="AH40" i="2"/>
  <c r="AH32" i="2"/>
  <c r="AH66" i="2"/>
  <c r="AG32" i="2"/>
  <c r="AI33" i="2"/>
  <c r="AG27" i="2"/>
  <c r="AH33" i="2"/>
  <c r="AI27" i="2"/>
  <c r="AI44" i="2"/>
  <c r="AG73" i="2"/>
  <c r="AH73" i="2"/>
  <c r="AG60" i="2"/>
  <c r="AI60" i="2"/>
  <c r="AH60" i="2"/>
  <c r="AH41" i="2"/>
  <c r="AI41" i="2"/>
  <c r="AG41" i="2"/>
  <c r="AH31" i="2"/>
  <c r="AI31" i="2"/>
  <c r="AG31" i="2"/>
  <c r="AG50" i="2"/>
  <c r="AH50" i="2"/>
  <c r="AI50" i="2"/>
  <c r="AG21" i="2"/>
  <c r="AH21" i="2"/>
  <c r="AI21" i="2"/>
  <c r="AG54" i="2"/>
  <c r="AH54" i="2"/>
  <c r="AI54" i="2"/>
  <c r="AG37" i="2"/>
  <c r="AH37" i="2"/>
  <c r="AI37" i="2"/>
  <c r="AH57" i="2"/>
  <c r="AI57" i="2"/>
  <c r="AG57" i="2"/>
  <c r="AG24" i="2"/>
  <c r="AH24" i="2"/>
  <c r="AI24" i="2"/>
  <c r="AG20" i="2"/>
  <c r="AH20" i="2"/>
  <c r="AI20" i="2"/>
  <c r="AG76" i="2"/>
  <c r="AH76" i="2"/>
  <c r="AI76" i="2"/>
  <c r="AG34" i="2"/>
  <c r="AH34" i="2"/>
  <c r="AI34" i="2"/>
  <c r="AG80" i="2"/>
  <c r="AH80" i="2"/>
  <c r="AI80" i="2"/>
  <c r="AI22" i="2"/>
  <c r="AG22" i="2"/>
  <c r="AH22" i="2"/>
  <c r="AH29" i="2"/>
  <c r="AG29" i="2"/>
  <c r="AI29" i="2"/>
  <c r="AG42" i="2"/>
  <c r="AH42" i="2"/>
  <c r="AI42" i="2"/>
  <c r="AG64" i="2"/>
  <c r="AH64" i="2"/>
  <c r="AI64" i="2"/>
  <c r="AG74" i="2"/>
  <c r="AH74" i="2"/>
  <c r="AI74" i="2"/>
  <c r="AG36" i="2"/>
  <c r="AH36" i="2"/>
  <c r="AI36" i="2"/>
  <c r="AH63" i="2"/>
  <c r="AI63" i="2"/>
  <c r="AG63" i="2"/>
  <c r="AG25" i="2"/>
  <c r="AH25" i="2"/>
  <c r="AI25" i="2"/>
  <c r="AG61" i="2"/>
  <c r="AH61" i="2"/>
  <c r="AI61" i="2"/>
  <c r="AG17" i="2"/>
  <c r="AH17" i="2"/>
  <c r="AI17" i="2"/>
  <c r="AG28" i="2"/>
  <c r="AH28" i="2"/>
  <c r="AI28" i="2"/>
  <c r="AG82" i="2"/>
  <c r="AH82" i="2"/>
  <c r="AI82" i="2"/>
  <c r="AG52" i="2"/>
  <c r="AH52" i="2"/>
  <c r="AI52" i="2"/>
  <c r="AI70" i="2"/>
  <c r="AG70" i="2"/>
  <c r="AH70" i="2"/>
  <c r="AH67" i="2"/>
  <c r="AI67" i="2"/>
  <c r="AG67" i="2"/>
  <c r="AV36" i="1"/>
  <c r="AV37" i="1" s="1"/>
  <c r="AV38" i="1" s="1"/>
  <c r="I84" i="2"/>
  <c r="M84" i="2" s="1"/>
  <c r="N84" i="2" s="1"/>
  <c r="O84" i="2" s="1"/>
  <c r="AB84" i="2" l="1"/>
  <c r="AC84" i="2" s="1"/>
  <c r="AD84" i="2" s="1"/>
  <c r="AD85" i="2" s="1"/>
  <c r="F15" i="4" s="1"/>
  <c r="O85" i="2"/>
  <c r="F13" i="4" s="1"/>
  <c r="F16" i="4" l="1"/>
  <c r="AE84" i="2"/>
  <c r="AH84" i="2" s="1"/>
  <c r="AH85" i="2" s="1"/>
  <c r="D6" i="4" s="1"/>
  <c r="AG84" i="2" l="1"/>
  <c r="AG85" i="2" s="1"/>
  <c r="C6" i="4" s="1"/>
  <c r="AE85" i="2"/>
  <c r="AI84" i="2"/>
  <c r="AI85" i="2" s="1"/>
  <c r="E6" i="4" s="1"/>
  <c r="E7" i="4" s="1"/>
  <c r="D7" i="4"/>
  <c r="AG86" i="2" l="1"/>
  <c r="C7" i="4"/>
  <c r="F6" i="4"/>
  <c r="G7" i="4" l="1"/>
  <c r="F7" i="4"/>
  <c r="E5" i="4"/>
  <c r="E15" i="4" s="1"/>
  <c r="D5" i="4"/>
  <c r="D15" i="4" s="1"/>
  <c r="C5" i="4"/>
  <c r="C15" i="4" l="1"/>
  <c r="C13" i="4"/>
  <c r="C14" i="4"/>
  <c r="G14" i="4"/>
  <c r="G13" i="4"/>
  <c r="F17" i="4"/>
  <c r="D14" i="4"/>
  <c r="D13" i="4"/>
  <c r="E14" i="4"/>
  <c r="E13" i="4"/>
  <c r="D16" i="4" l="1"/>
  <c r="D17" i="4" s="1"/>
  <c r="E16" i="4"/>
  <c r="E17" i="4" s="1"/>
  <c r="C16" i="4"/>
  <c r="C17" i="4" s="1"/>
  <c r="G16" i="4"/>
  <c r="G17"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s>
  <commentList>
    <comment ref="C23" authorId="0" shapeId="0" xr:uid="{B40DAC3F-CAEF-4636-AD19-A082ACFAA0F9}">
      <text>
        <r>
          <rPr>
            <b/>
            <sz val="9"/>
            <color indexed="81"/>
            <rFont val="Tahoma"/>
            <family val="2"/>
          </rPr>
          <t>CARACTERISTICAS DEL SOFWARE:
*INTERCONECTAR EL SISTEMA DE REGISTRO PARA EL CONTROL DE INGRESO. 
*Sistema de control de Acceso que nos permite marcaciones en tiempo real, inclusive permite reportar el aumento en productividad o de fice de la misma, el control del ingreso y salidas de personal a nuestra entidad o institución.
*Sistema de acceso que pueda aportar credenciales las cuales son asignadas solamente al personal idóneo para dicha actividad.
*VISUALIZACION GENERAL DEL SISTEMA DE CONTROL DE ACCEESO.
*REGISTRO DE PARQUEADERO O UNIDADES DE PARQUEO DE VEHICULOS.
*SE PERMITA DIGITALIZAR EL CODIGO O NUMERO DEL PARQUEADERO CON LA CANTIDAD DE VEHICULOS ESTIMADOS.
*REGISTRO DE TIPOS DE USUARIOS QUE PUEDEN INGRESAR A NUESTRA EMPRESA O INSTITUCION.
* SE PERMITA DIGITALIZAR EL CODIGO EL NOMBRE Y EL TIPO DE USUARIO.
*SE PERMITA DIGITALIZAR PUESTOS DE TRABAJO U OFICINAS EXISTENTES.
*ITEM PARA BUSQUEDA, AJUSTE O ACTUALIZACION DE X PERSONA EN EL TIEMPO.
BUSQUEDA CON LOS DATOS BASICOS DONDE INDICA BUSCAR TRABAJADOR, ESTE NOS EXTRAE LA INFORMACION PARA SU REVISION O ACTUALIZACION DEL MISMO.
*ITEM PARA EXTRAER UN EXCEL DE AUTORIZACIONES O GALERIA FOTOGRAFICA Y CARGARA EN EL SISTEMA.
*NOS PERMITE DE MANERA FACIL LA GENERACION DEL FORMATO DE EXCEL A CARGAR Y LA CARGA DE UNA GALERIA FOTOGRAFICA DE MANERA DINAMICA DEL PERSONAL AUTORIZADO.
*ITEM PARA REGISTRO MANUAL DE PERSONAL AUTORIZADO.
*ITEM PODEMOS BUSCAR PARA REGISTRAR, AUTORIZAR O ELIMINAR PERSONAL QUE YA NO LABORA EN NUESTRA EMPRESA.
*GENERADOR DE CARNET CON LECTURA QR Y CODIGOS DE BARRAS PARA PERSONAL AUTORIZADO.
*ITEM PARA BLOQUEO DE PERSONA NO GRATA.
*BUSCAR Y RESTRINGIR EL ACCESO A LAS INSTALACIONES DE PERSONAL NO GRATO PARA NUESTRA EMPRESA.
*ITEM DE REGISTRO DE USUARIO.*REGISTRO DE USUARIOS CON LOS DIFERENTES PERMISOS ASIGNADOS POR EL ADMINISTRADOR.
*ITEM DE LISTADO DE USUARIOS DEL SISTEMA
*MODULO QUE PERMITA VISUALIZAR LOS USUARIOS CON SUS RESPECIVAS CONTRASEÑAS PARA INACTIVACION O ACTUALIZACION.
*ITEM PARA CARGAR EL LOGO PRINCIPAL EN EL SISTEMA DE ENTRADAS Y SALIDAS.
*CARGA DE IMAGEN LOGO PRINCIPAL O DE INGRESO, POR CARGA O POR CAPTURA DE CAMARA.
*ITEM IMAGEN PRINCIPAL DEL SISTEMA.
*ITEM CERRAR O FINALIZAR SESION.
*CIERRE O SALIDA TOTAL DEL SISTEMA.
*ITEM DE REGISTRO DE INGRESO Y SALIDAS.
*REGISTRO DE INGRESOS Y SALIDAS CON CEDULAS O TARJETAS DE IDENTIDAD COLOMBIANAS, POR LECTURA SCANNER ZEBRA O HONEYWELL.
*SITEMA PERMITA QUE UN FUNCIONARIO POSEA HASTA 6 AUTOMOTARES REGISTRADOS A SU NOMBRE, PARA EL INGRESO AL PARQUEADERO.
*REGISTRO INDIVIDUAL DE SOAT, TECNOMECANICA Y TARJETA DE PROPIEDAD DEL VEHICULO
*AUTENTICACION DE REGISTRO PARA EL PERSONAL QUE SE ENCUENTRE AUTORIZADO PARA EL INGRESO A LAS INSTALACIONES.
*CREACION ADHESIVA DE CODIGO QR PARA VEHICULOS AUTORIZADOS PARA INGRESAR A LAS INSTALACIONES, ESTE CODIGO ES LEGIBLE POR EL SISTEMAUNA VEZ ADICIONADO AL AUTOMOTOR.
*GENERA STIQUER AUTOADHESIBLE PARA EL RCONOCIMIENTO DE VISITANTES QUE SE ENCUENTREN DENTRO DE LA INSTITUCION.
*CONSULTAS E INFORMES SEGÚN SE REQUIERA POR LA EMPRESA
*ITEM PARA PERSONAL QUE INGRESO Y NO HA SALIDO DE LAS INSTALACIONES
*BUSQUEDA POR NOMBRES, APELLIOS O NUMERO DE CEDULA DEL VISITANTE QUE SE ENCUENTRA EN LAS INSTALACIONES.
*SELECCIÓN A UN CLICK PARA BUSQUEDA INDIVIDUAL Y RECONOCIMIENTO DEL MISMO.
*EN CASO DE FINALIZAR ACTIVIDADES Y HAYAN DATOS RESIDUALES, PODERLOS SACAR DE MANERA DINAMICA.
*ITEM DE INFORMA GENERAL.
*PERMITE GENERAR UN INFORME CON ESTIMADOS DE FECHAS INICIALES Y FINALES.
*ITEM DE INFORME DETALLADO POR USUARIOS QUE INGRESAN A LAS INSTALACIONES.
*EL SISTEMA ME CUANTIFICA LA CANTIDAD DE PERSONAS QUE INGRESARON A LAS INSTALACIONES POR DISTINCION DE CEDULA.
*LISTADO LAS PERSONAS QUE INGRESARON SEGÚN LA FECHA DE INGRESO.
*PERMITA REVISAR Y IDENTIFICAR LA PERSONA.
*ITEM PARA BUSQUEDA INTELIGENTE POR GALERIA FOTOGRAFICA.
AL DARLE CLICK EN LA IMAGEN ME EXTRAE LA INFORMACION DEL VISITANTE.
*AL DARLE CLICK EN LA IMAGEN ME EXTRAE LA INFORMACION DEL VISITANTE.
*AUTO GENERADOR DE COPIAS DE SEGURIDAD.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Juan Carlos Blanco Rincon</author>
  </authors>
  <commentList>
    <comment ref="A43" authorId="0" shapeId="0" xr:uid="{608D674C-D20F-4785-BF2E-AC1C358CEF81}">
      <text>
        <r>
          <rPr>
            <b/>
            <sz val="9"/>
            <color indexed="81"/>
            <rFont val="Tahoma"/>
            <family val="2"/>
          </rPr>
          <t>Juan Carlos Blanco Rincon:</t>
        </r>
        <r>
          <rPr>
            <sz val="9"/>
            <color indexed="81"/>
            <rFont val="Tahoma"/>
            <family val="2"/>
          </rPr>
          <t xml:space="preserve">
SERVICIO POR LOS 4 MESES DE ENERO A ABRIL DEL 2026</t>
        </r>
      </text>
    </comment>
    <comment ref="A49" authorId="0" shapeId="0" xr:uid="{999BDB14-83FE-4957-84AD-3AEF5D3BCA49}">
      <text>
        <r>
          <rPr>
            <b/>
            <sz val="9"/>
            <color indexed="81"/>
            <rFont val="Tahoma"/>
            <family val="2"/>
          </rPr>
          <t>Juan Carlos Blanco Rincon:</t>
        </r>
        <r>
          <rPr>
            <sz val="9"/>
            <color indexed="81"/>
            <rFont val="Tahoma"/>
            <family val="2"/>
          </rPr>
          <t xml:space="preserve">
se sujiere 14 horas domingo a domingo porque funciones de habeas corpus</t>
        </r>
      </text>
    </comment>
    <comment ref="A51" authorId="0" shapeId="0" xr:uid="{5B8B819C-9690-41B2-ACE0-8F24A39675B9}">
      <text>
        <r>
          <rPr>
            <b/>
            <sz val="9"/>
            <color indexed="81"/>
            <rFont val="Tahoma"/>
            <family val="2"/>
          </rPr>
          <t>Juan Carlos Blanco Rincon:</t>
        </r>
        <r>
          <rPr>
            <sz val="9"/>
            <color indexed="81"/>
            <rFont val="Tahoma"/>
            <family val="2"/>
          </rPr>
          <t xml:space="preserve">
se sujiere lunes a viernes 14 horas y sabado 10 hoars diarias
por qu hay juzgados penales del circuito por temas de garantias atiendes 24 horas
</t>
        </r>
      </text>
    </comment>
  </commentList>
</comments>
</file>

<file path=xl/sharedStrings.xml><?xml version="1.0" encoding="utf-8"?>
<sst xmlns="http://schemas.openxmlformats.org/spreadsheetml/2006/main" count="519" uniqueCount="340">
  <si>
    <t xml:space="preserve">CONSOLIDADO MEDIOS TECNOLOGICOS SOLICITADOS </t>
  </si>
  <si>
    <t>Palacio de justicia de cucuta</t>
  </si>
  <si>
    <t>edificio temis</t>
  </si>
  <si>
    <t>villa del Rosario</t>
  </si>
  <si>
    <t>Palacio de Justicia de Los Patios</t>
  </si>
  <si>
    <t>Bodega Archivos Los Patios</t>
  </si>
  <si>
    <t>edificio bco Bogota</t>
  </si>
  <si>
    <t>Juzgado 1 pequeñas causas, LIBERTAD</t>
  </si>
  <si>
    <t>Juzgado 2 pequeñas causas, ATALAYA</t>
  </si>
  <si>
    <t>Juzgado 3 pequeñas causas, ATALAYA</t>
  </si>
  <si>
    <t>Palacio Nacional</t>
  </si>
  <si>
    <t>CESPA Cucuta</t>
  </si>
  <si>
    <t>P Just Pamplona</t>
  </si>
  <si>
    <t>Palacio Justicia Ocaña</t>
  </si>
  <si>
    <t>Edificio bahene Juz, prom de flia 1y 2 De Ocaña</t>
  </si>
  <si>
    <t>Juzgados Administrativos Ocaña</t>
  </si>
  <si>
    <t>P, Jus, Ocaña Remodelación</t>
  </si>
  <si>
    <t>Gonzales Cesar</t>
  </si>
  <si>
    <t>Hacari</t>
  </si>
  <si>
    <t>Juzgado de Tibu</t>
  </si>
  <si>
    <t>San calixto</t>
  </si>
  <si>
    <t>Juzgado del Tarra</t>
  </si>
  <si>
    <t>Juzgado 2 Administrativo y 2 Ejecución Ocaña</t>
  </si>
  <si>
    <t>Sede Juzgados 1,3 y 4 Penales del Circuito OCAÑA</t>
  </si>
  <si>
    <t>EL CARMEN</t>
  </si>
  <si>
    <t>ABREGO</t>
  </si>
  <si>
    <t>RIO DE ORO</t>
  </si>
  <si>
    <t>CONVENCION</t>
  </si>
  <si>
    <t>TEORAMA</t>
  </si>
  <si>
    <t>LA PLAYA</t>
  </si>
  <si>
    <t>SARDINATA</t>
  </si>
  <si>
    <t>Juz, 1 y 2 prom flia Saravena</t>
  </si>
  <si>
    <t>Juz, cto de Saravena</t>
  </si>
  <si>
    <t>Juz, de flia de Saravena</t>
  </si>
  <si>
    <t>Cespa Arauca</t>
  </si>
  <si>
    <t>Palacio Antiguo de Arauca</t>
  </si>
  <si>
    <t>Bodega archivo arauca</t>
  </si>
  <si>
    <t>Palcio nuevo de Arauca</t>
  </si>
  <si>
    <t>Contraloria departamental Juz de Saravena</t>
  </si>
  <si>
    <t>Edificio Atenea Archivo</t>
  </si>
  <si>
    <t>Juzgaqdo Tame Arauca</t>
  </si>
  <si>
    <t>Juzgado 01 prom de Fortul</t>
  </si>
  <si>
    <t>ITEM</t>
  </si>
  <si>
    <t>MEDIO SOLICITADO</t>
  </si>
  <si>
    <t>ESPECIFICACIÓN TECNICA</t>
  </si>
  <si>
    <t>VALOR UNITARIO</t>
  </si>
  <si>
    <t>VALOR TOTAL</t>
  </si>
  <si>
    <t xml:space="preserve">CAMARA PARA INTERIORES </t>
  </si>
  <si>
    <t>CAMARA 4 EN 1 1/2,7" CMOS 5MP@20FPS TIPO BALA METALICA 2,8MM FOV 93° DWDR IR 20M IP67, Tecnología: 4 en 1.</t>
  </si>
  <si>
    <t>CAMARA PARA EXTERIORES</t>
  </si>
  <si>
    <t>CAMARA 4 EN 1 1/2,7" CMOS 1080P TIPO BALA METALICA LENTE MOTORIZADO 2,7-12MM FOV 33.4°-105.9° DWDR IR 60M IP67, Tecnología: 4 en 1.</t>
  </si>
  <si>
    <t xml:space="preserve">CIBER DOMOS PTZ </t>
  </si>
  <si>
    <t xml:space="preserve">Alcance De Vision Inflarroja 100 m
Angulo De Vision 360.00
Con Infrarrojo 
Con Visión Nocturna
Distancia De Alcance 60 Metros
Modelo ZS
Ambiente De Uso Exterior
Calidad De Resolucion 2MP
Cantidad Máxima De Fps 30
Zoom Óptico 25x
Tipo De Cámara PTZ
Tipo De Conexión IP.
WDR, Smart IR100m, RS485, IP66, 12VDC/3A  resolución de 1080P a 25/30 fps.
</t>
  </si>
  <si>
    <t>XVR DE 32 CANALES</t>
  </si>
  <si>
    <t>XVR DE 32 CANALES PentahÍbrido 5 en 1, Soporta HDCVI/HDTVI/AHD/CVBS/IP, H.265/H.264</t>
  </si>
  <si>
    <t>XVR DE 16 CANALES</t>
  </si>
  <si>
    <t>XVR DE 16 CANALES PentahÍbrido 5 en 1, Soporta HDCVI/HDTVI/AHD/CVBS/IP, H.265/H.265</t>
  </si>
  <si>
    <t>XVR  DE 8 CANALES</t>
  </si>
  <si>
    <t>XVR  DE 8 CANALES PentahÍbrido 5 en 1, Soporta HDCVI/HDTVI/AHD/CVBS/IP, H.265/H.264</t>
  </si>
  <si>
    <t>XVR  DE 4 CANALES</t>
  </si>
  <si>
    <t>XVR  DE 4 CANALES PentahÍbrido 5 en 1, Soporta HDCVI/HDTVI/AHD/CVBS/IP, H.265/H.265</t>
  </si>
  <si>
    <t>GABINETE RACK PARA 8 XVR</t>
  </si>
  <si>
    <t>GABINETE RACK 11Ru F51
*MEDIDAS
-56cm ALTURA
-52cm ANCHO
-51cm FONDO</t>
  </si>
  <si>
    <t xml:space="preserve">TELEVISOR  55" </t>
  </si>
  <si>
    <t>TELEVISOR  55" P1 resolución 4K UHD</t>
  </si>
  <si>
    <t>TELEVISOR  42"</t>
  </si>
  <si>
    <t>TELEVISOR  42" P1 resolución 4K UHD</t>
  </si>
  <si>
    <t>TELEVISOR  32"</t>
  </si>
  <si>
    <t>TELEVISOR  32" P1 resolución 4K UHD</t>
  </si>
  <si>
    <t xml:space="preserve">TELEVISOR  22" </t>
  </si>
  <si>
    <t>TELEVISOR  22" 4K UHD</t>
  </si>
  <si>
    <t xml:space="preserve">ESPEJO DE VIGILANCIA VEHICULAR </t>
  </si>
  <si>
    <t>DE ESPEJO DE 30 Cms CON LITERNA RECARGABLE Espaldar en polipropileno, Brazo en tubo coll roll de 1" cal. 18.</t>
  </si>
  <si>
    <t>COMPUTADORES PARA REGISTROS DE INGRESOS</t>
  </si>
  <si>
    <t xml:space="preserve">  Pantalla de 21,5 Core I5 10110u 8gb ram  disco solido 500 gigas Windows 10 y oficce instalado.</t>
  </si>
  <si>
    <t>CAMARAS (PARA COMPUTADORAS)</t>
  </si>
  <si>
    <t xml:space="preserve">  Cámaras 1080. Camara Web Genius Qcam 6000 Full Hd 1080p Negra</t>
  </si>
  <si>
    <t>CAMARAS INALAMBRICAS (PARA COMPUTADORAS)</t>
  </si>
  <si>
    <t>[szxmkjacMY] Cámara De Seguridad WiFi De Dos Vías Hablar 1080P HD Loop Grabación Para Interior Al Aire Libre NoBrand.
Tipo: cámara IP Resolución: 1080P Tarjeta TF: admite hasta 64 gb Frecuencia principal: 180MHz Corriente de carga: 420mA Consumo de energía: 1.5W (infrarrojo); 1.0W (infrarrojo) Capacidad de la batería: 500mAh  color negro Tamaño: 3.9cmx3.3cmx3.3cm/1.54inchx1.30inchx1 cuadrada.</t>
  </si>
  <si>
    <t>LECTOR CODIGO DE BARRAS Y QR CEDULA PARA ALTO RENDIMIENTO</t>
  </si>
  <si>
    <t xml:space="preserve">  Lector de código de barras con soporte Zebra DS2200 Series DS2278 USB/RS-232/PS-2/RS-485 2D 4.5V - 5.5V twilight black alámbrico.</t>
  </si>
  <si>
    <t>LECTOR CODIGO DE BARRAS Y QR CEDULA INALAMBRICO DE ALTO RENDIMIENTO</t>
  </si>
  <si>
    <t xml:space="preserve">  Lector de código de barras con soporte Zebra DS2200 Series DS2278 USB/RS-232/PS-2/RS-485 2D 4.5V - 5.5V twilight black in alámbrico</t>
  </si>
  <si>
    <t>ESTACIONES CON LECTOR PARA CODIGOS DE BARRA Y QR INCLUYE BASE SOPORTE
https://www.supremainc.com/en/hardware/versatile-intelligent-terminal-xstation2.asp</t>
  </si>
  <si>
    <t xml:space="preserve">Lector de código de barras automatico para lectura de barras 1D, QR, 2D. Que se ajuste a las sofware de ingreso </t>
  </si>
  <si>
    <t>SOFTWARE GLOBAL PARA TODOS LOS COMPUTADORES Y TABLET</t>
  </si>
  <si>
    <t>CARACTERISTICAS DEL SOFWARE EN COMENTARIOS:</t>
  </si>
  <si>
    <t xml:space="preserve">ESCANER RAYOS X </t>
  </si>
  <si>
    <t xml:space="preserve">Especificaciones Técnicas
• Sensitividad 40 AWG Típico, 38 AWG Garantizado
• Resolución Espacial 1.0 mm Horizontal, 1.00 mm Vertical
• Penetración1
37 mm en Acero Típico, 35 mm Garantizado
• Sensitividad al Contraste 24 Niveles Visibles, 4096 en la Escala de Grises </t>
  </si>
  <si>
    <t>ARCOS DETECTOR DE METALES</t>
  </si>
  <si>
    <t>Fuente de alimentación AC100 V~240V
Temperatura de trabajo -20°C ~+50°C
Frecuencia de trabajo 4KHz~8KHz
Tamaño externo estándar 2220mm(H)X835mm(W)X578mm(D)
Tamaño interno estándar 1990mm(H)X700mm(W)X578mm(D)
Dimensiones del paquete 2310mm(H)X350mm(W)X665mm(D)
Peso bruto 65kg</t>
  </si>
  <si>
    <t>GARRET DETECTOR METAL</t>
  </si>
  <si>
    <t>DETECTOR AUDIBLE FRECUENCIA AUDIBLE DE 2 kHz</t>
  </si>
  <si>
    <t>CAJAS FUERTE GRANDE</t>
  </si>
  <si>
    <t>SISTEMA MECANICO GRANDE
PESO 90KG
DIMENSIONES 70X45X45</t>
  </si>
  <si>
    <t>CAJA FUERTE PEQUEÑA</t>
  </si>
  <si>
    <t>SISTEMA MECANICO O DIGITAL PEQUEÑA
PESO APROX 8 KG
DIMENSIONES 43X18X30</t>
  </si>
  <si>
    <t>CILINDRO DESCARGE ARMAS</t>
  </si>
  <si>
    <t>SEGÚN MEDIDAS ESTABLECIDAS DE SEGURIDAD</t>
  </si>
  <si>
    <t>SISTEMA ELECTRONICO DE ALARMA CON INFRAROJO PARA EL CONTROL DE ACCESO SISTEMA AUDITIVO Y SEÑAL A UNA CENTRAL DE ALARMAS</t>
  </si>
  <si>
    <t>DSC LC100 O 104 DEPEDIENDO LA NECESIDAD DE LA EDIFICACION.</t>
  </si>
  <si>
    <t>SISTEMA DE ALERTA DE HUMO</t>
  </si>
  <si>
    <t>CON NUMERO DE SENSORES DE HUMO DEPENDIENDO DE LA NECESIDAD DE LA EDIFICACION</t>
  </si>
  <si>
    <t xml:space="preserve">RADIO BASE </t>
  </si>
  <si>
    <t xml:space="preserve">GLOBAL </t>
  </si>
  <si>
    <t>SISTEMA DE COMUNICACIÓN MOVIL  INALAMABRICA CON PLAN MENSUAL</t>
  </si>
  <si>
    <t xml:space="preserve">Memoria Interna 512 GB, Memoria RAM 8 GB, procesador de 8 nucleos
CON PLAN MENSUAL
</t>
  </si>
  <si>
    <t xml:space="preserve">RADIOS DE COMUNICACIÓN </t>
  </si>
  <si>
    <t>Subtotal</t>
  </si>
  <si>
    <t>AIU 10%</t>
  </si>
  <si>
    <t>MEDIOS MAGNETICOS -   DISCOS DURO 4 A 6 TB PURPLE, LOS QUE SE REQUIERAN SEGÚN SU USO.</t>
  </si>
  <si>
    <t>IVA</t>
  </si>
  <si>
    <t>UPS DE 2 KVA</t>
  </si>
  <si>
    <t>TOTAL</t>
  </si>
  <si>
    <t>SUPRESORES DE PICO DE VOLTAJE</t>
  </si>
  <si>
    <t>CABLES HDMI DIFERENTES MEDIDAS</t>
  </si>
  <si>
    <t>BASES O SOPORTES PARA LOS MEDIOS VISUALES</t>
  </si>
  <si>
    <t>CAJAS DE PASO O DE DISTRIBUCION PARA LAS CAMARAS</t>
  </si>
  <si>
    <t>VIDEO TRANSCEPTORES PARA LAS CAMARAS SOLICITADAS</t>
  </si>
  <si>
    <t>FUENTES DE VOLTAJES PARA CAMARAS SOLICITADAS</t>
  </si>
  <si>
    <t>SWITCH DE RED DE 2,4 O 6 PUERTOS</t>
  </si>
  <si>
    <t>CANTIDAD TOTAL</t>
  </si>
  <si>
    <t>CANTIDAD DE MEDIOS POR SEDE</t>
  </si>
  <si>
    <t>VALORES</t>
  </si>
  <si>
    <t>NOTA: LOS MEDIOS TECNOLOGICOS DEBEN INCLUIR LOS SIGUIENTES ACCESORIOS EN CASO DE SER NECESARIO  PARA LAS DIFERENTES INSTALACIONES, COMO PARA SU OPERACIÓN:</t>
  </si>
  <si>
    <t>DIGITAL</t>
  </si>
  <si>
    <t>NOMBRE O RAZON SOCIAL DE QUIEN COTIZA</t>
  </si>
  <si>
    <t>DATOS DE CONTACTO</t>
  </si>
  <si>
    <t>COTIZACION No 01
COOPSERCIVICOS ASOCIADOS</t>
  </si>
  <si>
    <t>COTIZACION No 02
EDISMAN LTDA</t>
  </si>
  <si>
    <t>COTIZACION No 03
EAGLE AMERICAN DE SEGURIDAD LTDA</t>
  </si>
  <si>
    <t>Juzgado Cravo Norte Arauca</t>
  </si>
  <si>
    <t>CALCULOS CONTRATO DE VIGILANCIA NORTE DE SANTANDER Y ARAUCA A PARTIR DEL 19 DE MARZO DEL 2026
RESOLUCION SUPERVIGILANCIA Nº 20251300000115CS DEL 30/12/2025</t>
  </si>
  <si>
    <t>ESPECIFICAR EL VALOR DE LA POLIZA DEL SEGURO COLECTIVO POR PERSONA EN ESTE ESPACIO</t>
  </si>
  <si>
    <t xml:space="preserve">VALOR DE LOS MEDIOS TECNOLOGICOS ANTES DEL IVA, EN ESTA CASILLA </t>
  </si>
  <si>
    <t>A partir del 25 de diciembre del año 2025.</t>
  </si>
  <si>
    <t>A partir del 01 de julio del año 2026.</t>
  </si>
  <si>
    <t>A partir del 15 de julio del año 2026.</t>
  </si>
  <si>
    <t>TIPO DE SERVICIO</t>
  </si>
  <si>
    <t>UBICACIÓN</t>
  </si>
  <si>
    <t>SEDE JUDICIAL
DIRECCION</t>
  </si>
  <si>
    <t>CIUDAD</t>
  </si>
  <si>
    <t xml:space="preserve">No. SERVICIOS </t>
  </si>
  <si>
    <t>% UND 02</t>
  </si>
  <si>
    <t>% UND 08</t>
  </si>
  <si>
    <t>% UND 09</t>
  </si>
  <si>
    <t>VALOR</t>
  </si>
  <si>
    <t>VALOR SEGURO DE VIDA COLECTIVO</t>
  </si>
  <si>
    <t>PORCENTAJE DE GASTOS DE ADMINISTRACIÓ N Y SUPERVISIÓN</t>
  </si>
  <si>
    <t>V/R SERVICIO - CIRCULAR EXTERNA No 20241300000445  Y SEGURO DE VIDA - INCUIDO AYS</t>
  </si>
  <si>
    <t xml:space="preserve">AIU 10% </t>
  </si>
  <si>
    <t>IVA 19%</t>
  </si>
  <si>
    <t xml:space="preserve">VALOR TOTAL MENSUAL </t>
  </si>
  <si>
    <t>Servicio de vigilancia física con medio humano, con arma, sin canino, con jornada laboral mes/24 horas de domingo a domingo.</t>
  </si>
  <si>
    <t>(Interno)
Entrada Principal de Funcionarios Palacio deJusticia</t>
  </si>
  <si>
    <t xml:space="preserve">PALACIO DE JUSTICIA FRANCISCO PAULA SANTANDER
AV GRAN COLOMBIA ENTRE AV 3E Y 4E </t>
  </si>
  <si>
    <t>Cucuta</t>
  </si>
  <si>
    <t xml:space="preserve">Servicio de vigilancia física con medio humano, con arma, sin canino, con jornada laboral mes/12 horas de lunes a sábado, sin festivos </t>
  </si>
  <si>
    <t>Ingreso parqueadero</t>
  </si>
  <si>
    <t>(Exterior) 
AV 2E con Cll 9 Esquina frente al Bunquer</t>
  </si>
  <si>
    <t xml:space="preserve">(Interno) 
Entrada de Visitantes y Abogados Palacio de Justicia </t>
  </si>
  <si>
    <t>(Exterior) 
Esquina de Virgilo Barco (subida rampa).</t>
  </si>
  <si>
    <t>(Operador de medios tecnológicos) Servicio de vigilancia física con medio humano, sin arma, sin canino, con jornada laboral mes/24 horas de domingo a domingo.</t>
  </si>
  <si>
    <t>(interno). 
MONITOREO CCTV Cuarto de monitoreo CCTV del Palacio de Justicia de Cúcuta - Avenida Gran Colombia entre Avd. 3E y 4E, Cúcuta.</t>
  </si>
  <si>
    <t>Servicio de vigilancia física con medio humano, sin arma, sin canino, con jornada laboral mes/10 horas diurnas de lunes a viernes sin festivos</t>
  </si>
  <si>
    <t xml:space="preserve">(interno).
FICHERO 1 CUBICULO Control de fichero puerta principal I Etapa del Palacio de Justicia de Cúcuta - Avenida Gran Colombia entre Avd. 3E y 4E de Cúcuta. </t>
  </si>
  <si>
    <t xml:space="preserve">(interno)
FICHERO 2 CUBICULO Control de fichero puerta principal I Etapa del Palacio de Justicia de Cúcuta - Avenida Gran Colombia entre Avd. 3E y 4E de Cúcuta. </t>
  </si>
  <si>
    <t xml:space="preserve">(interno)
FICHERO 3 CUBICULO  Control de fichero puerta principal, abogados y usuarios. I Etapa del Palacio de Justicia de Cúcuta - Avenida Gran Colombia entre Avd. 3E y 4E de Cúcuta. </t>
  </si>
  <si>
    <t>Servicio de vigilancia física con medio humano, sin arma, sin canino, con jornada laboral mes/12 horas de domingo a domingo.</t>
  </si>
  <si>
    <t xml:space="preserve">SISTEMA PENAL ACUSATORIO 2DO PISO Seguridad nuevo SPA I Etapa del Palacio de Justicia de Cúcuta </t>
  </si>
  <si>
    <t>(interno y exterior)
(FICHERO) GARITA CONTROL VEHICULAR Puesto de control vehicular al sótano del Palacio de Justicia de Cúcuta - Avenida 4E de Cúcuta.</t>
  </si>
  <si>
    <t>Servicio de vigilancia física con medio humano, sin arma , sin canino, con jornada laboral mes/8 horas diurnas de lunes a viernes.</t>
  </si>
  <si>
    <t>(interno)
Palacio de Justicia
RAYOS X usuarios</t>
  </si>
  <si>
    <t>(interno)
ENTRADA INPEC AV3E I Etapa del Palacio de Justicia de Cúcuta, entrada lateral.</t>
  </si>
  <si>
    <t>(Manejador Canino) Servicio de vigilancia física con medio humano, sin arma, con canino, con jornada laboral mes/11 horas de lunes a viernes y sabados 6 horas diurnas</t>
  </si>
  <si>
    <t>(Interno y externo)
Puesto control ingreso al parqueadero palacio de Justicia (CON CANINO)</t>
  </si>
  <si>
    <t>Servicio de vigilancia física con medio humano, sin arma, sin canino, con jornada laboral mes/12 horas diurnas de lunes a viernes, sin festivos</t>
  </si>
  <si>
    <t>Piso 3 y 4 Torre A
Apoyo INPEC
Apoyo sotano</t>
  </si>
  <si>
    <t>Servicio de vigilancia física con medio humano, sin arma, sin canino, con jornada laboral mes/8 horas diurnas de lunes a viernes, sin festivos</t>
  </si>
  <si>
    <t>Servicio de vigilancia física con medio humano, sin arma, sin canino, con jornada laboral mes/9 horas diurnas de lunes a viernes sin festivos</t>
  </si>
  <si>
    <t>(interno)
(FICHERO TEMIS) Juridiccion tierras.</t>
  </si>
  <si>
    <t xml:space="preserve">EDIFICIO TEMIS CALLE 7A Nº 3 E -103 </t>
  </si>
  <si>
    <t xml:space="preserve">(Interno)
PARTE EXTERIOR Y INTERIOR  JURISDICCION DE TIERRAS </t>
  </si>
  <si>
    <t>Servicio de vigilancia física con medio humano, con arma, sin canino, con jornada laboral mes/10 horas de domingo a domingo.</t>
  </si>
  <si>
    <t xml:space="preserve">(externo)
PARTE EXTERIOR Y INTERIOR  JURISDICCION DE TIERRAS </t>
  </si>
  <si>
    <t xml:space="preserve">(interno)
PARTE INTERIOR  VILLA DEL ROSARIO </t>
  </si>
  <si>
    <t>EDIFICIO LOS PINOS # 22N-197 # 22N-203 LOCAL 201,202,203 Y PARQUEADERO  BARRIO MONTEVIDEO DEL MUNICIPIO DE VILLA DEL ROSARIO N/S</t>
  </si>
  <si>
    <t>Villa Rosario</t>
  </si>
  <si>
    <t>(Operador de medios tecnológicos) Servicio de vigilancia física con medio humano, sin arma, sin canino, con jornada laboral mes/12 horas diurnas de domingo a domingo.</t>
  </si>
  <si>
    <t>(Interno)
CCTV PALACIO DE JUSTICA LOS PATIOS</t>
  </si>
  <si>
    <t>PALACIO JUSTICIA DE PATIOS
 Av. 1 #36-30</t>
  </si>
  <si>
    <t>Los Patios</t>
  </si>
  <si>
    <t xml:space="preserve">(Interno)
(FICHERO) PALACIO DE JUSTICIA DE LOS PATIOS </t>
  </si>
  <si>
    <t>(Exterior)
ESQUINA PALACIO DE JUSTICIA LOS PATIOS</t>
  </si>
  <si>
    <t>(Interno y Externo)
Puesto de control garita parqueadero</t>
  </si>
  <si>
    <t>(Manejador Canino) Servicio de vigilancia física con medio humano, sin arma, con canino, con jornada laboral mes/8 horas diurnas de lunes a viernes sin festivos</t>
  </si>
  <si>
    <t>Palacio de justicia Los Patios</t>
  </si>
  <si>
    <t>garita</t>
  </si>
  <si>
    <t>Servicio de vigilancia física con medio humano, SIN arma, sin canino, con jornada laboral mes/8 horas diurnas de lunes a viernes, sin festivos</t>
  </si>
  <si>
    <t>(Interno)
Puesto de control JUZGADO 01 PEQUEÑAS CAUSAS, La libertad.</t>
  </si>
  <si>
    <t>JUZGADO 01 DE PEQUEÑAS CAUSAS Y COMPETENCIA MULTIPLE.
BARRIO LA LIBERTAD,CALLE 16 #12-06 DEL MUNICIPIO DE CUCUTA  – NORTE DE SANTANDER,</t>
  </si>
  <si>
    <t>(Interno)
Puesto de control JUZGADO 02 PEQUEÑAS CAUSAS, La libertad.</t>
  </si>
  <si>
    <t>JUZGADO 02 DE PEQUEÑAS CAUSAS Y COMPETENCIA MULTIPLE.
BARRIO LA LIBERTAD, CALLE 15 A # 12-15 DEL MUNICIPIO DE CUCUTA - NORTE DE SANTANDER</t>
  </si>
  <si>
    <t>(Interno)
Puesto de control JUZGADO 03 PEQUEÑAS CAUSAS ATALAYA</t>
  </si>
  <si>
    <t>JUZGADO 03 DE PEQUEÑAS CAUSAS Y COMPETENCIA MULTIPLE.
CALLE 4 BN #18-27 APARTAMENTOS 101, Y 102 MZ G 6 LOTE 11,  ATALAYA</t>
  </si>
  <si>
    <t>(Interno)
(FICHERO) Puesto de control Palacio Nacional.</t>
  </si>
  <si>
    <t>PALACIO NACIONAL.
CALLE 8 N° 3-47
OF 307,308,313,314</t>
  </si>
  <si>
    <t xml:space="preserve">(fichero)
CESPA CUCUTA. Ubicado  ingreso de sede.
</t>
  </si>
  <si>
    <t>CESPA
CALLE 13 No 1-48 Barrio la Playa</t>
  </si>
  <si>
    <t>Servicio de vigilancia física con medio humano, con arma, sin canino, con jornada laboral mes/12 horas diurnas de domingo a domingo.</t>
  </si>
  <si>
    <t xml:space="preserve">(Interno)
(FICHERO) cumple labores vigilancia Puestos de control Palacio de Justicia de Pamplona - Calle 4 No. 6-59 Pamplona, N de S. </t>
  </si>
  <si>
    <t>Palacio de Justicia - Alvaro Luna Gomez
CARRERA 7 N° 6 - 59</t>
  </si>
  <si>
    <t>Pamplona</t>
  </si>
  <si>
    <t xml:space="preserve">(Interno)
Puestos de control Placio de Justicia de Pamplona - Calle 4 No. 6-59 Pamplona, N de S. </t>
  </si>
  <si>
    <t xml:space="preserve">Edificio cootransunidos  Puesto de control Palacio de Justicia de Ocaña - Carrera 12 No. 12-87 Ocaña N. de S.  </t>
  </si>
  <si>
    <t>CARRERA 13 # 12-87 BARRIO EL TAMACO MUNICIPIO  DE OCAÑA</t>
  </si>
  <si>
    <t>Ocaña</t>
  </si>
  <si>
    <t>Servicio de vigilancia física con medio humano, con arma, sin canino, con jornada laboral mes/12 horas de domingo a domingo.</t>
  </si>
  <si>
    <t xml:space="preserve">Edificio bahene 2 piso apt 201, 2 familia Carrera 13 No. 11-44 Ocaña N. de S. </t>
  </si>
  <si>
    <t>CARRERA 13 #11-44 EDIFICIO BAHENE APTO 1 PISO, DEL MUNICIPIO DE OCAÑA  – NORTE DE SANTANDER,</t>
  </si>
  <si>
    <t>Servicio de vigilancia física con medio humano, sin arma, sin canino, con jornada laboral mes/12 horas Diurnas de lunes a sabado.</t>
  </si>
  <si>
    <t xml:space="preserve">(FICHERO) Edificio cootransunidos  Puesto de control Palacio de Justicia de Ocaña - Carrera 12 No. 12-87 Ocaña N. de S.  </t>
  </si>
  <si>
    <t>Cra 11 No 11-58 junto iglesia torcoroma. Juzgado ejecucion de penas y medidas y juzgado administrativo</t>
  </si>
  <si>
    <t>CARRERA 11 # 11-54 PISO 2 EDIFICIO CASTELLANOS LEMUS CONTIGUO A LA CAPILLA DE LA TORCOROMA</t>
  </si>
  <si>
    <t>Servicio de vigilancia física con medio humano, con arma, sin canino, con jornada laboral mes/12 horas diurnas de lunes a viernes, sin festivos</t>
  </si>
  <si>
    <t>SEDE JUZGADO 02 ADMINISTRATIVO Y EJECUCION DE PENAS DE PENAS DE OCAÑA</t>
  </si>
  <si>
    <t>Carrera 13 # 12-107 Barrio Tamaco</t>
  </si>
  <si>
    <t>SEDE JUZGADO 01, 03 Y 04 PENAL DEL CIRCUITO DE OCAÑA</t>
  </si>
  <si>
    <t>Carrera 13 # 12-52 Barrio Tamaco</t>
  </si>
  <si>
    <t>Servicio de vigilancia física con medio humano, SIN arma, sin canino, con jornada laboral mes/8 horas de lunes a viernes.</t>
  </si>
  <si>
    <t>Puesto de control Juzgado de González - Barrio Palomar González Cesar.</t>
  </si>
  <si>
    <t>CARRERA 6 # 2-128 BARRIO EL PALOMAR DEL MUNICIPIO  DE GONZALEZ CESAR</t>
  </si>
  <si>
    <t xml:space="preserve">Puesto de control Hacarí N. de S. </t>
  </si>
  <si>
    <t>HACARÍ
Calle de piedad Palacio Municipal</t>
  </si>
  <si>
    <t>Hacarí</t>
  </si>
  <si>
    <t>Servicio de vigilancia física con medio humano, SIN arma, sin canino, con jornada laboral mes/24 horas de domingo a domingo.</t>
  </si>
  <si>
    <t xml:space="preserve"> Puesto de control, Juzgado promiscuo Municipal de San Calixto (N. de S.) </t>
  </si>
  <si>
    <t>SAN CALIXTO.
AVENIDA 13 DE JUNIO EN SAN CALIXTO NORTE DE SANTANDER</t>
  </si>
  <si>
    <t>San Calixto</t>
  </si>
  <si>
    <t>Servicio de vigilancia física con medio humano, SIN arma, sin canino, con jornada laboral mes/12 horas de domingo a domingo.</t>
  </si>
  <si>
    <t xml:space="preserve"> Puesto de control Juzgados Promiscuo Municipal de El Tarra (N. de S.) Edificio Coomultar Limitada, ubicado en la calle4 15 No. 7-17 El Tarra. </t>
  </si>
  <si>
    <t>EL TARRA.
LA CALLE 15 #7-17-19-27-35, BARRIO PUEBLO NUEVO, DEL MUNICIPIO DE TARRA– NORTE DE SANTANDER,</t>
  </si>
  <si>
    <t>El tarra</t>
  </si>
  <si>
    <t>Servicio de vigilancia física con medio humano, sin arma, sin canino, con jornada laboral mes/12 horas nocturnas de lunes a domingo.</t>
  </si>
  <si>
    <t xml:space="preserve"> Puesto de control Juzgado de Tibú - Carrera 3 No. 4-40 Tibú N. de S. </t>
  </si>
  <si>
    <t>TIBÚ.
CARRERA 3 N° 4A - 46/50/56 N, DE SANTANDER</t>
  </si>
  <si>
    <t>Tibú</t>
  </si>
  <si>
    <t xml:space="preserve"> SERVICIO DE VIGILANCIA A TRAVÉS DE MEDIO HUMANO SIN ARMA DURANTE JORNADA DE 8 HORAS DIURNAS DE LUNES A VIERNES SIN FESTIVOS</t>
  </si>
  <si>
    <t>PUESTO DE VIGILANCIA PARA EL JUZGADO DE EL CARMEN</t>
  </si>
  <si>
    <t>PUESTO DE VIGILANCIA PARA EL JUZGADO DE ABREGO</t>
  </si>
  <si>
    <t>PUESTO DE VIGILANCIA PARA EL JUZGADO DE RIO DE ORO</t>
  </si>
  <si>
    <t>PUESTO DE VIGILANCIA PARA EL JUZGADO DE CONVENCIÓN</t>
  </si>
  <si>
    <t>PUESTO DE VIGILANCIA PARA EL JUZGADO DE TEORAMA</t>
  </si>
  <si>
    <t>PUESTO DE VIGILANCIA PARA EL JUZGADO DE LA PLAYA</t>
  </si>
  <si>
    <t>PUESTO DE VIGILANCIA PARA EL JUZGADO DE SARDINATA</t>
  </si>
  <si>
    <t>CARRERA 7 # 7-26/30/32/36/40/42 LOTE 2 BARRIO LA PERLA CENTRO SARDINATA</t>
  </si>
  <si>
    <t>(Interno)
Puesto de control JUZGADO 1 Y 2 PROMISCUO MUNICIPAL DE SARAVENA.</t>
  </si>
  <si>
    <t>CARRERA 16# 25-66/68/70 SARAVENA ARAUCA</t>
  </si>
  <si>
    <t>Saravena</t>
  </si>
  <si>
    <t>Servicio de vigilancia física con medio humano, con arma, sin canino, con jornada laboral mes/12 horas Diurnas de domigo a domingo.</t>
  </si>
  <si>
    <t>(Interno)
(FICHERO)  JUZGADO PROMISCUO DEL CIRCUITO DE SARAVENA</t>
  </si>
  <si>
    <t>CALLE 26 # 15-83-87 SARAVENA</t>
  </si>
  <si>
    <t>(Interno)
JUZGADO 01 PROMISCUO DE FAMILIA DE SARAVENA</t>
  </si>
  <si>
    <t>CALLE 27 #13-74, BARRIO CENTRO, DEL MUNICIPIO DE SARAVENA  – ARAUCA,</t>
  </si>
  <si>
    <t>Puesto de control JUZGADO 1 Y 2 PROMISCUO MUNICIPAL DE SARAVENA..</t>
  </si>
  <si>
    <t xml:space="preserve"> Centro de servicios Penales Adolescentes CESPA, EDIFICIO IGUANITO Arauca </t>
  </si>
  <si>
    <t>CALLE 16 #20-34, 40, 46 TEATRO IGUANITO, ARAUCA - ARAUCA</t>
  </si>
  <si>
    <t>Arauca</t>
  </si>
  <si>
    <t>(Interno)
(FICHERO) PUESTOS DE CONTROL PRIMER PISO DE ENTRADA PALACIO DE JUSTICIA SPA</t>
  </si>
  <si>
    <t>CALLE 19 NRO 21-31</t>
  </si>
  <si>
    <t xml:space="preserve">
Puesto de control ingreso del Palacio de Justicia de Arauca - Calle 19 No. 21-31 Arauca - Arauca  </t>
  </si>
  <si>
    <t xml:space="preserve">CALLE 19 NRO 21-31 </t>
  </si>
  <si>
    <t>Puesto de control Palacio de Justicia de Arauca SPA - INPEC-Calle 19 No. 21-31 Arauca - Arauca</t>
  </si>
  <si>
    <t>CIRCUITO CCTV PALACIO DE JUSTICIA ANTIGUO</t>
  </si>
  <si>
    <t>Puesto de control, contraloria, JUZGADO DEL CIRCUITO PENAL DE SARAVENA UBICADO EN ARAUCA</t>
  </si>
  <si>
    <t>CRA 22 #18-32</t>
  </si>
  <si>
    <t>(FICHERO) FICHERO #1 PUESTO DE CONTROL DE ENTRADA PALACIO DE JUSTICIA NUEVO</t>
  </si>
  <si>
    <t>CALLE 21 N° 21-07 PALACIO DE JUSTICIA NUEVO</t>
  </si>
  <si>
    <t>(FICHERO) FICHERO # 2 PUESTO DE CONTROL DE ENTRADA PALACIO DE JUSTICIA NUEVO</t>
  </si>
  <si>
    <t>CIRCUITO CCTV PALACIO DE JUSTICIA ARAUCA EDIFICIO CALLE 21</t>
  </si>
  <si>
    <t>PUESTO DE CONTROL PUERTA DE INGRESO PRINCIPAL PALACIO DE JUSTICIA NUEVO</t>
  </si>
  <si>
    <t>(Interno y Externo)
PALACIO DE JUSTICIA NUEVO, ARAUCA.  PISOS 2,3,4 Y PARTE EXTERNA</t>
  </si>
  <si>
    <t>Servicio de vigilancia física con medio humano, SIN arma, sin canino, con jornada laboral mes/10 horas diurnas de Domingo a domingo</t>
  </si>
  <si>
    <t>SOTANO DEL PALACIO NUEVO DE ARAUCA</t>
  </si>
  <si>
    <t xml:space="preserve">Parte externa - Palacio de justicia Antiguo Sistema Penal Acusatorio </t>
  </si>
  <si>
    <t>Servicio de vigilancia física con medio humano, SIN arma, sin canino, con jornada laboral mes/8 horas diurnas de lunes a viernes sin festivos</t>
  </si>
  <si>
    <t>PUESTO DE CONTROL ARCHIVO EDIFICIO ATENEA</t>
  </si>
  <si>
    <t>CALLE 19 NRO 25-28</t>
  </si>
  <si>
    <t>Servicio de vigilancia física con medio humano, SIN arma, sin canino, con jornada laboral mes/10 horas Diurnas de domigo a domingo.</t>
  </si>
  <si>
    <t xml:space="preserve"> NUEVO JUZGADO TAME</t>
  </si>
  <si>
    <t>TAME</t>
  </si>
  <si>
    <t>Tame</t>
  </si>
  <si>
    <t xml:space="preserve">Medios Tecnológicos </t>
  </si>
  <si>
    <t xml:space="preserve">(Ver detalle) </t>
  </si>
  <si>
    <t>MT</t>
  </si>
  <si>
    <t>cantidad de servicios</t>
  </si>
  <si>
    <t>RONDERO</t>
  </si>
  <si>
    <t>PALACIO DE JUSTICIA DE OCAÑA</t>
  </si>
  <si>
    <t>OCAÑA</t>
  </si>
  <si>
    <t>COTIZACIONES POLIZAS</t>
  </si>
  <si>
    <t>NOMBRE DE ASESOR</t>
  </si>
  <si>
    <t>Asesoras Profesionales en Seguros, Fianzas y Pólizas.</t>
  </si>
  <si>
    <t>Asesor de seguros bastet Ltda</t>
  </si>
  <si>
    <t>Sandra Fabiola Mora Gutiérrez.
Asesora Profesional de Seguros, Fianzas y Pólizas.</t>
  </si>
  <si>
    <t>ENTIDAD ASEGURADORA</t>
  </si>
  <si>
    <t>SEGUROS DEL ESTADO</t>
  </si>
  <si>
    <t>COLMENA SEGUROS</t>
  </si>
  <si>
    <t>METLIFE</t>
  </si>
  <si>
    <t>SURAMERICANA SEGUROS</t>
  </si>
  <si>
    <t xml:space="preserve">VALOR ASEGURADO </t>
  </si>
  <si>
    <t>VALOR DE LA PRIMA</t>
  </si>
  <si>
    <t>ESTUDIO DE POLIZAS POR VALOR ASEGURADO</t>
  </si>
  <si>
    <t>PROMEDIO VALOR PRIMA</t>
  </si>
  <si>
    <t>PROMEDIO VALOR TOTAL</t>
  </si>
  <si>
    <t>2- VALOR DE NOVIEMBRE 2026 CON TARIFA (10,21)
(30 DIAS)</t>
  </si>
  <si>
    <t xml:space="preserve"> EDIFICIO BANCO BOGOTA AVENIDA 6 # 10 - 82</t>
  </si>
  <si>
    <t xml:space="preserve">(interno)
SEXTO Y SEPTIMO PISO </t>
  </si>
  <si>
    <t>1-VALOR DEL 24 AL 31 DIAS OCTUBRE 2026 CON TARIFA (10,21)
(07 DIAS)</t>
  </si>
  <si>
    <t>UNIDADES</t>
  </si>
  <si>
    <t>U2</t>
  </si>
  <si>
    <t>U8</t>
  </si>
  <si>
    <t>U9</t>
  </si>
  <si>
    <t>PORCENTAJE</t>
  </si>
  <si>
    <t>VIGENCIA 2026</t>
  </si>
  <si>
    <t>TOTAL  CONTRATO</t>
  </si>
  <si>
    <t>C-008-2026</t>
  </si>
  <si>
    <t>PAGOS</t>
  </si>
  <si>
    <t>FECHA</t>
  </si>
  <si>
    <t>%</t>
  </si>
  <si>
    <t>TURNOS</t>
  </si>
  <si>
    <t>N/A</t>
  </si>
  <si>
    <t>Saldo</t>
  </si>
  <si>
    <t>valor por unidades</t>
  </si>
  <si>
    <t>7 DIAS DE OCTUBRE DEL 2026</t>
  </si>
  <si>
    <t xml:space="preserve">AVANCE DEL CONTRATO </t>
  </si>
  <si>
    <t>10 Dias de diciembre 2026</t>
  </si>
  <si>
    <t>3- VALOR DE  DIEZ DIAS DE DICIEMBRE 2026 CON TARIFA (10,21)
(10 DIAS)</t>
  </si>
  <si>
    <t>VALOR TOTAL DEL 24 DE OCTUBRE AL 10 DE DICIEMBRE DEL 2026</t>
  </si>
  <si>
    <t>VALR MAX A ADICIONAR</t>
  </si>
  <si>
    <t>NORTE DE SANTANDER Y ARAUCA 24 DE OCTUBRE AL 10 DE DIC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</si>
</sst>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4" formatCode="_-&quot;$&quot;\ * #,##0.00_-;\-&quot;$&quot;\ * #,##0.00_-;_-&quot;$&quot;\ * &quot;-&quot;??_-;_-@_-"/>
    <numFmt numFmtId="43" formatCode="_-* #,##0.00_-;\-* #,##0.00_-;_-* &quot;-&quot;??_-;_-@_-"/>
    <numFmt numFmtId="164" formatCode="_-* #,##0_-;\-* #,##0_-;_-* &quot;-&quot;??_-;_-@_-"/>
    <numFmt numFmtId="165" formatCode="&quot;$&quot;\ #,##0"/>
    <numFmt numFmtId="166" formatCode="_-&quot;$&quot;\ * #,##0_-;\-&quot;$&quot;\ * #,##0_-;_-&quot;$&quot;\ * &quot;-&quot;??_-;_-@_-"/>
    <numFmt numFmtId="167" formatCode="_-&quot;$&quot;* #,##0_-;\-&quot;$&quot;* #,##0_-;_-&quot;$&quot;* &quot;-&quot;_-;_-@_-"/>
    <numFmt numFmtId="168" formatCode="_-&quot;$&quot;* #,##0.00_-;\-&quot;$&quot;* #,##0.00_-;_-&quot;$&quot;* &quot;-&quot;_-;_-@_-"/>
    <numFmt numFmtId="169" formatCode="#,##0_ ;\-#,##0\ "/>
    <numFmt numFmtId="170" formatCode="&quot;$&quot;\ #,##0.00"/>
    <numFmt numFmtId="171" formatCode="mmmm/yyyy"/>
  </numFmts>
  <fonts count="29" x14ac:knownFonts="1">
    <font>
      <sz val="11"/>
      <color theme="1"/>
      <name val="Calibri"/>
      <family val="2"/>
      <scheme val="minor"/>
    </font>
    <font>
      <sz val="11"/>
      <color theme="1"/>
      <name val="Calibri"/>
      <family val="2"/>
      <scheme val="minor"/>
    </font>
    <font>
      <sz val="11"/>
      <color rgb="FFFF0000"/>
      <name val="Calibri"/>
      <family val="2"/>
      <scheme val="minor"/>
    </font>
    <font>
      <b/>
      <sz val="16"/>
      <color theme="0"/>
      <name val="Arial"/>
      <family val="2"/>
    </font>
    <font>
      <sz val="8"/>
      <color theme="0"/>
      <name val="Arial"/>
      <family val="2"/>
    </font>
    <font>
      <b/>
      <sz val="11"/>
      <name val="Arial"/>
      <family val="2"/>
    </font>
    <font>
      <b/>
      <sz val="10"/>
      <name val="Arial"/>
      <family val="2"/>
    </font>
    <font>
      <sz val="11"/>
      <color theme="1"/>
      <name val="Arial"/>
      <family val="2"/>
    </font>
    <font>
      <b/>
      <sz val="11"/>
      <color theme="1"/>
      <name val="Arial"/>
      <family val="2"/>
    </font>
    <font>
      <sz val="11"/>
      <name val="Arial"/>
      <family val="2"/>
    </font>
    <font>
      <b/>
      <sz val="9"/>
      <color indexed="81"/>
      <name val="Tahoma"/>
      <family val="2"/>
    </font>
    <font>
      <b/>
      <sz val="11"/>
      <color theme="1"/>
      <name val="Calibri"/>
      <family val="2"/>
      <scheme val="minor"/>
    </font>
    <font>
      <b/>
      <sz val="11"/>
      <color rgb="FFFF0000"/>
      <name val="Arial"/>
      <family val="2"/>
    </font>
    <font>
      <b/>
      <sz val="11"/>
      <name val="Calibri"/>
      <family val="2"/>
      <scheme val="minor"/>
    </font>
    <font>
      <b/>
      <sz val="11"/>
      <color theme="0"/>
      <name val="Arial"/>
      <family val="2"/>
    </font>
    <font>
      <b/>
      <sz val="16"/>
      <color theme="1"/>
      <name val="Calibri"/>
      <family val="2"/>
      <scheme val="minor"/>
    </font>
    <font>
      <sz val="14"/>
      <color theme="1"/>
      <name val="Calibri"/>
      <family val="2"/>
      <scheme val="minor"/>
    </font>
    <font>
      <b/>
      <sz val="14"/>
      <color theme="1"/>
      <name val="Calibri"/>
      <family val="2"/>
      <scheme val="minor"/>
    </font>
    <font>
      <sz val="10"/>
      <name val="Arial"/>
      <family val="2"/>
    </font>
    <font>
      <b/>
      <sz val="9"/>
      <color theme="1"/>
      <name val="Arial"/>
      <family val="2"/>
    </font>
    <font>
      <b/>
      <sz val="8"/>
      <color theme="1"/>
      <name val="Arial"/>
      <family val="2"/>
    </font>
    <font>
      <sz val="9"/>
      <color theme="1"/>
      <name val="Arial"/>
      <family val="2"/>
    </font>
    <font>
      <sz val="9"/>
      <name val="Arial"/>
      <family val="2"/>
    </font>
    <font>
      <sz val="11"/>
      <name val="Calibri"/>
      <family val="2"/>
      <scheme val="minor"/>
    </font>
    <font>
      <sz val="9"/>
      <color indexed="81"/>
      <name val="Tahoma"/>
      <family val="2"/>
    </font>
    <font>
      <b/>
      <sz val="12"/>
      <color theme="3" tint="0.79998168889431442"/>
      <name val="Calibri"/>
      <family val="2"/>
      <scheme val="minor"/>
    </font>
    <font>
      <sz val="12"/>
      <name val="Calibri"/>
      <family val="2"/>
      <scheme val="minor"/>
    </font>
    <font>
      <sz val="8"/>
      <color theme="1"/>
      <name val="Calibri"/>
      <family val="2"/>
      <scheme val="minor"/>
    </font>
    <font>
      <sz val="9"/>
      <color theme="1"/>
      <name val="Calibri"/>
      <family val="2"/>
      <scheme val="minor"/>
    </font>
  </fonts>
  <fills count="13">
    <fill>
      <patternFill patternType="none"/>
    </fill>
    <fill>
      <patternFill patternType="gray125"/>
    </fill>
    <fill>
      <patternFill patternType="solid">
        <fgColor theme="4" tint="-0.249977111117893"/>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8" tint="0.39997558519241921"/>
        <bgColor indexed="65"/>
      </patternFill>
    </fill>
    <fill>
      <patternFill patternType="solid">
        <fgColor theme="9" tint="0.79998168889431442"/>
        <bgColor indexed="64"/>
      </patternFill>
    </fill>
    <fill>
      <patternFill patternType="solid">
        <fgColor theme="8" tint="0.79998168889431442"/>
        <bgColor indexed="64"/>
      </patternFill>
    </fill>
    <fill>
      <patternFill patternType="solid">
        <fgColor theme="9" tint="0.39997558519241921"/>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0.249977111117893"/>
        <bgColor indexed="64"/>
      </patternFill>
    </fill>
  </fills>
  <borders count="57">
    <border>
      <left/>
      <right/>
      <top/>
      <bottom/>
      <diagonal/>
    </border>
    <border>
      <left style="thin">
        <color indexed="64"/>
      </left>
      <right style="thin">
        <color indexed="64"/>
      </right>
      <top style="thin">
        <color indexed="64"/>
      </top>
      <bottom/>
      <diagonal/>
    </border>
    <border>
      <left style="medium">
        <color theme="0"/>
      </left>
      <right style="medium">
        <color theme="0"/>
      </right>
      <top style="medium">
        <color theme="0"/>
      </top>
      <bottom style="medium">
        <color theme="0"/>
      </bottom>
      <diagonal/>
    </border>
    <border>
      <left style="medium">
        <color theme="0"/>
      </left>
      <right style="medium">
        <color theme="0"/>
      </right>
      <top style="medium">
        <color theme="0"/>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medium">
        <color rgb="FFFF0000"/>
      </left>
      <right/>
      <top style="medium">
        <color rgb="FFFF0000"/>
      </top>
      <bottom style="thin">
        <color indexed="64"/>
      </bottom>
      <diagonal/>
    </border>
    <border>
      <left/>
      <right style="medium">
        <color rgb="FFFF0000"/>
      </right>
      <top style="medium">
        <color rgb="FFFF0000"/>
      </top>
      <bottom style="thin">
        <color indexed="64"/>
      </bottom>
      <diagonal/>
    </border>
    <border>
      <left style="medium">
        <color rgb="FFFF0000"/>
      </left>
      <right/>
      <top style="thin">
        <color indexed="64"/>
      </top>
      <bottom style="thin">
        <color indexed="64"/>
      </bottom>
      <diagonal/>
    </border>
    <border>
      <left/>
      <right style="medium">
        <color rgb="FFFF0000"/>
      </right>
      <top style="thin">
        <color indexed="64"/>
      </top>
      <bottom style="thin">
        <color indexed="64"/>
      </bottom>
      <diagonal/>
    </border>
    <border>
      <left style="medium">
        <color rgb="FFFF0000"/>
      </left>
      <right/>
      <top style="thin">
        <color indexed="64"/>
      </top>
      <bottom style="medium">
        <color rgb="FFFF0000"/>
      </bottom>
      <diagonal/>
    </border>
    <border>
      <left/>
      <right style="medium">
        <color rgb="FFFF0000"/>
      </right>
      <top style="thin">
        <color indexed="64"/>
      </top>
      <bottom style="medium">
        <color rgb="FFFF0000"/>
      </bottom>
      <diagonal/>
    </border>
    <border>
      <left/>
      <right/>
      <top/>
      <bottom style="medium">
        <color theme="0"/>
      </bottom>
      <diagonal/>
    </border>
    <border>
      <left/>
      <right/>
      <top style="thin">
        <color indexed="64"/>
      </top>
      <bottom/>
      <diagonal/>
    </border>
    <border>
      <left style="medium">
        <color indexed="64"/>
      </left>
      <right style="medium">
        <color theme="0"/>
      </right>
      <top style="medium">
        <color indexed="64"/>
      </top>
      <bottom style="medium">
        <color theme="0"/>
      </bottom>
      <diagonal/>
    </border>
    <border>
      <left style="medium">
        <color theme="0"/>
      </left>
      <right style="medium">
        <color theme="0"/>
      </right>
      <top style="medium">
        <color indexed="64"/>
      </top>
      <bottom style="medium">
        <color theme="0"/>
      </bottom>
      <diagonal/>
    </border>
    <border>
      <left/>
      <right/>
      <top style="medium">
        <color indexed="64"/>
      </top>
      <bottom/>
      <diagonal/>
    </border>
    <border>
      <left style="medium">
        <color theme="0"/>
      </left>
      <right style="medium">
        <color indexed="64"/>
      </right>
      <top style="medium">
        <color indexed="64"/>
      </top>
      <bottom style="medium">
        <color theme="0"/>
      </bottom>
      <diagonal/>
    </border>
    <border>
      <left style="medium">
        <color indexed="64"/>
      </left>
      <right style="medium">
        <color theme="0"/>
      </right>
      <top style="medium">
        <color theme="0"/>
      </top>
      <bottom/>
      <diagonal/>
    </border>
    <border>
      <left style="medium">
        <color theme="0"/>
      </left>
      <right style="medium">
        <color indexed="64"/>
      </right>
      <top style="medium">
        <color theme="0"/>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s>
  <cellStyleXfs count="7">
    <xf numFmtId="0" fontId="0" fillId="0" borderId="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1" fillId="6" borderId="0" applyNumberFormat="0" applyBorder="0" applyAlignment="0" applyProtection="0"/>
    <xf numFmtId="0" fontId="18" fillId="0" borderId="0"/>
  </cellStyleXfs>
  <cellXfs count="256">
    <xf numFmtId="0" fontId="0" fillId="0" borderId="0" xfId="0"/>
    <xf numFmtId="0" fontId="5" fillId="3" borderId="2" xfId="0" applyFont="1" applyFill="1" applyBorder="1" applyAlignment="1">
      <alignment horizontal="center" vertical="center"/>
    </xf>
    <xf numFmtId="0" fontId="5"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7" fillId="4" borderId="4" xfId="0" applyFont="1" applyFill="1" applyBorder="1" applyAlignment="1">
      <alignment horizontal="center" vertical="top"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xf>
    <xf numFmtId="0" fontId="7" fillId="0" borderId="5" xfId="0" applyFont="1" applyBorder="1" applyAlignment="1">
      <alignment horizontal="center" vertical="center"/>
    </xf>
    <xf numFmtId="165" fontId="7" fillId="0" borderId="7" xfId="0" applyNumberFormat="1" applyFont="1" applyBorder="1" applyAlignment="1">
      <alignment horizontal="center" vertical="center"/>
    </xf>
    <xf numFmtId="0" fontId="0" fillId="0" borderId="0" xfId="0" applyAlignment="1">
      <alignment horizontal="center" vertical="center"/>
    </xf>
    <xf numFmtId="0" fontId="7" fillId="4" borderId="7" xfId="0" applyFont="1" applyFill="1" applyBorder="1" applyAlignment="1">
      <alignment horizontal="center" vertical="top"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9" fillId="4" borderId="7" xfId="0" applyFont="1" applyFill="1" applyBorder="1" applyAlignment="1">
      <alignment horizontal="center" vertical="center" wrapText="1"/>
    </xf>
    <xf numFmtId="0" fontId="7" fillId="0" borderId="9" xfId="0" applyFont="1" applyBorder="1" applyAlignment="1">
      <alignment horizontal="center" vertical="center" wrapText="1"/>
    </xf>
    <xf numFmtId="0" fontId="9" fillId="4" borderId="7" xfId="0" applyFont="1" applyFill="1" applyBorder="1" applyAlignment="1">
      <alignment horizontal="center" vertical="top" wrapText="1"/>
    </xf>
    <xf numFmtId="0" fontId="7" fillId="4" borderId="7" xfId="0" applyFont="1" applyFill="1" applyBorder="1" applyAlignment="1">
      <alignment horizontal="center" vertical="center" wrapText="1"/>
    </xf>
    <xf numFmtId="0" fontId="7" fillId="0" borderId="10" xfId="0" applyFont="1" applyBorder="1" applyAlignment="1">
      <alignment horizontal="center" vertical="center"/>
    </xf>
    <xf numFmtId="0" fontId="7" fillId="0" borderId="1" xfId="0" applyFont="1" applyBorder="1" applyAlignment="1">
      <alignment horizontal="center" vertical="center"/>
    </xf>
    <xf numFmtId="0" fontId="7" fillId="0" borderId="11" xfId="0" applyFont="1" applyBorder="1" applyAlignment="1">
      <alignment horizontal="center" vertical="center"/>
    </xf>
    <xf numFmtId="0" fontId="7" fillId="0" borderId="0" xfId="0" applyFont="1"/>
    <xf numFmtId="0" fontId="8" fillId="0" borderId="12" xfId="0" applyFont="1" applyBorder="1" applyAlignment="1">
      <alignment horizontal="center" vertical="center" wrapText="1"/>
    </xf>
    <xf numFmtId="165" fontId="7" fillId="4" borderId="7" xfId="0" applyNumberFormat="1" applyFont="1" applyFill="1" applyBorder="1" applyAlignment="1">
      <alignment horizontal="center" vertical="center"/>
    </xf>
    <xf numFmtId="166" fontId="0" fillId="0" borderId="0" xfId="2" applyNumberFormat="1" applyFont="1"/>
    <xf numFmtId="0" fontId="2" fillId="0" borderId="0" xfId="0" applyFont="1" applyAlignment="1">
      <alignment vertical="center"/>
    </xf>
    <xf numFmtId="165" fontId="0" fillId="0" borderId="0" xfId="0" applyNumberFormat="1"/>
    <xf numFmtId="165" fontId="0" fillId="0" borderId="0" xfId="2" applyNumberFormat="1" applyFont="1"/>
    <xf numFmtId="0" fontId="7" fillId="4" borderId="7" xfId="0" applyFont="1" applyFill="1" applyBorder="1" applyAlignment="1">
      <alignment horizontal="center" vertical="center"/>
    </xf>
    <xf numFmtId="0" fontId="7" fillId="4" borderId="4" xfId="0" applyFont="1" applyFill="1" applyBorder="1" applyAlignment="1">
      <alignment horizontal="center" vertical="center"/>
    </xf>
    <xf numFmtId="0" fontId="8" fillId="4" borderId="4"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8" fillId="0" borderId="7" xfId="0" applyFont="1" applyBorder="1" applyAlignment="1">
      <alignment vertical="center"/>
    </xf>
    <xf numFmtId="0" fontId="8" fillId="4" borderId="7" xfId="0" applyFont="1" applyFill="1" applyBorder="1" applyAlignment="1">
      <alignment vertical="center"/>
    </xf>
    <xf numFmtId="0" fontId="9" fillId="0" borderId="9" xfId="0" applyFont="1" applyBorder="1" applyAlignment="1">
      <alignment horizontal="center" vertical="center"/>
    </xf>
    <xf numFmtId="0" fontId="0" fillId="0" borderId="0" xfId="0" applyAlignment="1">
      <alignment vertical="center"/>
    </xf>
    <xf numFmtId="164" fontId="7" fillId="5" borderId="7" xfId="1" applyNumberFormat="1" applyFont="1" applyFill="1" applyBorder="1" applyAlignment="1">
      <alignment vertical="center"/>
    </xf>
    <xf numFmtId="165" fontId="7" fillId="0" borderId="7" xfId="0" applyNumberFormat="1" applyFont="1" applyBorder="1" applyAlignment="1">
      <alignment vertical="center"/>
    </xf>
    <xf numFmtId="0" fontId="0" fillId="0" borderId="23" xfId="0" applyBorder="1"/>
    <xf numFmtId="0" fontId="6" fillId="3" borderId="25" xfId="0" applyFont="1" applyFill="1" applyBorder="1" applyAlignment="1">
      <alignment horizontal="center" vertical="center" wrapText="1"/>
    </xf>
    <xf numFmtId="0" fontId="6" fillId="3" borderId="26" xfId="0" applyFont="1" applyFill="1" applyBorder="1" applyAlignment="1">
      <alignment horizontal="center" vertical="center" wrapText="1"/>
    </xf>
    <xf numFmtId="164" fontId="7" fillId="5" borderId="27" xfId="1" applyNumberFormat="1" applyFont="1" applyFill="1" applyBorder="1" applyAlignment="1">
      <alignment vertical="center"/>
    </xf>
    <xf numFmtId="165" fontId="7" fillId="0" borderId="28" xfId="0" applyNumberFormat="1" applyFont="1" applyBorder="1" applyAlignment="1">
      <alignment vertical="center"/>
    </xf>
    <xf numFmtId="0" fontId="8" fillId="0" borderId="27" xfId="0" applyFont="1" applyBorder="1" applyAlignment="1">
      <alignment vertical="center"/>
    </xf>
    <xf numFmtId="165" fontId="7" fillId="0" borderId="28" xfId="0" applyNumberFormat="1" applyFont="1" applyBorder="1" applyAlignment="1">
      <alignment horizontal="center" vertical="center"/>
    </xf>
    <xf numFmtId="0" fontId="8" fillId="4" borderId="29" xfId="0" applyFont="1" applyFill="1" applyBorder="1" applyAlignment="1">
      <alignment vertical="center"/>
    </xf>
    <xf numFmtId="165" fontId="7" fillId="4" borderId="30" xfId="0" applyNumberFormat="1" applyFont="1" applyFill="1" applyBorder="1" applyAlignment="1">
      <alignment horizontal="center" vertical="center"/>
    </xf>
    <xf numFmtId="0" fontId="0" fillId="0" borderId="31" xfId="0" applyBorder="1"/>
    <xf numFmtId="0" fontId="8" fillId="4" borderId="30" xfId="0" applyFont="1" applyFill="1" applyBorder="1" applyAlignment="1">
      <alignment vertical="center"/>
    </xf>
    <xf numFmtId="165" fontId="7" fillId="4" borderId="32" xfId="0" applyNumberFormat="1" applyFont="1" applyFill="1" applyBorder="1" applyAlignment="1">
      <alignment horizontal="center" vertical="center"/>
    </xf>
    <xf numFmtId="0" fontId="13" fillId="0" borderId="0" xfId="0" applyFont="1" applyAlignment="1">
      <alignment horizontal="center"/>
    </xf>
    <xf numFmtId="0" fontId="5" fillId="3" borderId="3" xfId="0" applyFont="1" applyFill="1" applyBorder="1" applyAlignment="1">
      <alignment horizontal="center" vertical="center"/>
    </xf>
    <xf numFmtId="0" fontId="0" fillId="0" borderId="0" xfId="0" applyProtection="1">
      <protection locked="0"/>
    </xf>
    <xf numFmtId="0" fontId="15" fillId="0" borderId="0" xfId="0" applyFont="1" applyAlignment="1" applyProtection="1">
      <alignment horizontal="center" vertical="center"/>
      <protection locked="0"/>
    </xf>
    <xf numFmtId="42" fontId="0" fillId="0" borderId="0" xfId="0" applyNumberFormat="1" applyProtection="1">
      <protection locked="0"/>
    </xf>
    <xf numFmtId="42" fontId="0" fillId="0" borderId="0" xfId="0" applyNumberFormat="1"/>
    <xf numFmtId="0" fontId="0" fillId="0" borderId="11" xfId="5" applyFont="1" applyFill="1" applyBorder="1" applyAlignment="1" applyProtection="1">
      <alignment vertical="center" wrapText="1"/>
    </xf>
    <xf numFmtId="0" fontId="0" fillId="0" borderId="20" xfId="5" applyFont="1" applyFill="1" applyBorder="1" applyAlignment="1" applyProtection="1">
      <alignment vertical="center" wrapText="1"/>
    </xf>
    <xf numFmtId="10" fontId="0" fillId="0" borderId="0" xfId="0" applyNumberFormat="1" applyAlignment="1">
      <alignment horizontal="center" vertical="center"/>
    </xf>
    <xf numFmtId="0" fontId="0" fillId="0" borderId="40" xfId="0" applyBorder="1"/>
    <xf numFmtId="9" fontId="0" fillId="0" borderId="0" xfId="0" applyNumberFormat="1" applyAlignment="1">
      <alignment horizontal="center"/>
    </xf>
    <xf numFmtId="10" fontId="0" fillId="0" borderId="41" xfId="0" applyNumberFormat="1" applyBorder="1" applyAlignment="1">
      <alignment horizontal="center" vertical="center"/>
    </xf>
    <xf numFmtId="0" fontId="19" fillId="4" borderId="7" xfId="6" applyFont="1" applyFill="1" applyBorder="1" applyAlignment="1">
      <alignment horizontal="center" vertical="center" wrapText="1"/>
    </xf>
    <xf numFmtId="0" fontId="20" fillId="4" borderId="7" xfId="6" applyFont="1" applyFill="1" applyBorder="1" applyAlignment="1">
      <alignment horizontal="center" vertical="center" wrapText="1"/>
    </xf>
    <xf numFmtId="9" fontId="19" fillId="4" borderId="9" xfId="4" applyFont="1" applyFill="1" applyBorder="1" applyAlignment="1" applyProtection="1">
      <alignment horizontal="center" vertical="center" wrapText="1"/>
    </xf>
    <xf numFmtId="9" fontId="19" fillId="4" borderId="7" xfId="4" applyFont="1" applyFill="1" applyBorder="1" applyAlignment="1" applyProtection="1">
      <alignment horizontal="center" vertical="center" wrapText="1"/>
    </xf>
    <xf numFmtId="9" fontId="19" fillId="4" borderId="8" xfId="4" applyFont="1" applyFill="1" applyBorder="1" applyAlignment="1" applyProtection="1">
      <alignment horizontal="center" vertical="center" wrapText="1"/>
    </xf>
    <xf numFmtId="0" fontId="19" fillId="4" borderId="27" xfId="6" applyFont="1" applyFill="1" applyBorder="1" applyAlignment="1">
      <alignment horizontal="center" vertical="center" wrapText="1"/>
    </xf>
    <xf numFmtId="43" fontId="19" fillId="4" borderId="7" xfId="1" applyFont="1" applyFill="1" applyBorder="1" applyAlignment="1" applyProtection="1">
      <alignment horizontal="center" vertical="center" wrapText="1"/>
    </xf>
    <xf numFmtId="43" fontId="19" fillId="4" borderId="28" xfId="1" applyFont="1" applyFill="1" applyBorder="1" applyAlignment="1" applyProtection="1">
      <alignment horizontal="center" vertical="center" wrapText="1"/>
    </xf>
    <xf numFmtId="167" fontId="21" fillId="7" borderId="7" xfId="0" applyNumberFormat="1" applyFont="1" applyFill="1" applyBorder="1" applyAlignment="1">
      <alignment horizontal="center" vertical="center" wrapText="1"/>
    </xf>
    <xf numFmtId="0" fontId="21" fillId="7" borderId="7" xfId="6" applyFont="1" applyFill="1" applyBorder="1" applyAlignment="1">
      <alignment vertical="center" wrapText="1"/>
    </xf>
    <xf numFmtId="0" fontId="21" fillId="7" borderId="7" xfId="6" applyFont="1" applyFill="1" applyBorder="1" applyAlignment="1">
      <alignment horizontal="center" vertical="center" wrapText="1"/>
    </xf>
    <xf numFmtId="43" fontId="21" fillId="7" borderId="7" xfId="1" applyFont="1" applyFill="1" applyBorder="1" applyAlignment="1" applyProtection="1">
      <alignment horizontal="center" vertical="center"/>
    </xf>
    <xf numFmtId="9" fontId="21" fillId="0" borderId="7" xfId="4" applyFont="1" applyFill="1" applyBorder="1" applyAlignment="1" applyProtection="1">
      <alignment horizontal="center" vertical="center"/>
    </xf>
    <xf numFmtId="9" fontId="21" fillId="0" borderId="8" xfId="4" applyFont="1" applyFill="1" applyBorder="1" applyAlignment="1" applyProtection="1">
      <alignment horizontal="center" vertical="center"/>
    </xf>
    <xf numFmtId="165" fontId="21" fillId="0" borderId="34" xfId="1" applyNumberFormat="1" applyFont="1" applyFill="1" applyBorder="1" applyAlignment="1" applyProtection="1">
      <alignment horizontal="center" vertical="center"/>
    </xf>
    <xf numFmtId="44" fontId="1" fillId="7" borderId="7" xfId="2" applyFill="1" applyBorder="1" applyAlignment="1" applyProtection="1">
      <alignment horizontal="center" vertical="center"/>
    </xf>
    <xf numFmtId="165" fontId="21" fillId="0" borderId="9" xfId="1" applyNumberFormat="1" applyFont="1" applyFill="1" applyBorder="1" applyAlignment="1" applyProtection="1">
      <alignment horizontal="center" vertical="center"/>
    </xf>
    <xf numFmtId="42" fontId="21" fillId="0" borderId="7" xfId="3" applyFont="1" applyFill="1" applyBorder="1" applyAlignment="1" applyProtection="1">
      <alignment horizontal="center" vertical="center"/>
    </xf>
    <xf numFmtId="42" fontId="21" fillId="7" borderId="28" xfId="3" applyFont="1" applyFill="1" applyBorder="1" applyAlignment="1" applyProtection="1">
      <alignment horizontal="center" vertical="center"/>
    </xf>
    <xf numFmtId="42" fontId="0" fillId="0" borderId="0" xfId="0" applyNumberFormat="1" applyAlignment="1">
      <alignment horizontal="right" vertical="center"/>
    </xf>
    <xf numFmtId="0" fontId="22" fillId="7" borderId="7" xfId="6" applyFont="1" applyFill="1" applyBorder="1" applyAlignment="1">
      <alignment vertical="center" wrapText="1"/>
    </xf>
    <xf numFmtId="43" fontId="21" fillId="7" borderId="7" xfId="1" applyFont="1" applyFill="1" applyBorder="1" applyAlignment="1" applyProtection="1">
      <alignment vertical="center" wrapText="1"/>
    </xf>
    <xf numFmtId="0" fontId="21" fillId="7" borderId="7" xfId="0" applyFont="1" applyFill="1" applyBorder="1" applyAlignment="1">
      <alignment horizontal="center" vertical="center" wrapText="1"/>
    </xf>
    <xf numFmtId="0" fontId="21" fillId="7" borderId="7" xfId="6" applyFont="1" applyFill="1" applyBorder="1" applyAlignment="1">
      <alignment horizontal="left" vertical="center" wrapText="1"/>
    </xf>
    <xf numFmtId="43" fontId="21" fillId="7" borderId="7" xfId="1" applyFont="1" applyFill="1" applyBorder="1" applyAlignment="1" applyProtection="1">
      <alignment horizontal="center" vertical="top" wrapText="1"/>
    </xf>
    <xf numFmtId="0" fontId="21" fillId="7" borderId="7" xfId="0" applyFont="1" applyFill="1" applyBorder="1" applyAlignment="1">
      <alignment vertical="center" wrapText="1"/>
    </xf>
    <xf numFmtId="0" fontId="21" fillId="7" borderId="7" xfId="0" applyFont="1" applyFill="1" applyBorder="1" applyAlignment="1">
      <alignment horizontal="center" vertical="top" wrapText="1"/>
    </xf>
    <xf numFmtId="43" fontId="21" fillId="7" borderId="7" xfId="1" applyFont="1" applyFill="1" applyBorder="1" applyAlignment="1" applyProtection="1">
      <alignment horizontal="center" vertical="center" wrapText="1"/>
    </xf>
    <xf numFmtId="0" fontId="21" fillId="7" borderId="7" xfId="0" applyFont="1" applyFill="1" applyBorder="1" applyAlignment="1">
      <alignment horizontal="center" vertical="center"/>
    </xf>
    <xf numFmtId="167" fontId="22" fillId="7" borderId="7" xfId="0" applyNumberFormat="1" applyFont="1" applyFill="1" applyBorder="1" applyAlignment="1">
      <alignment horizontal="center" vertical="center" wrapText="1"/>
    </xf>
    <xf numFmtId="0" fontId="22" fillId="7" borderId="7" xfId="6" applyFont="1" applyFill="1" applyBorder="1" applyAlignment="1">
      <alignment horizontal="center" vertical="center" wrapText="1"/>
    </xf>
    <xf numFmtId="0" fontId="22" fillId="7" borderId="1" xfId="0" applyFont="1" applyFill="1" applyBorder="1" applyAlignment="1">
      <alignment horizontal="center" vertical="center"/>
    </xf>
    <xf numFmtId="165" fontId="21" fillId="0" borderId="10" xfId="1" applyNumberFormat="1" applyFont="1" applyFill="1" applyBorder="1" applyAlignment="1" applyProtection="1">
      <alignment horizontal="center" vertical="center"/>
    </xf>
    <xf numFmtId="42" fontId="21" fillId="0" borderId="1" xfId="3" applyFont="1" applyFill="1" applyBorder="1" applyAlignment="1" applyProtection="1">
      <alignment horizontal="center" vertical="center"/>
    </xf>
    <xf numFmtId="165" fontId="21" fillId="0" borderId="27" xfId="1" applyNumberFormat="1" applyFont="1" applyFill="1" applyBorder="1" applyAlignment="1" applyProtection="1">
      <alignment horizontal="center" vertical="center" wrapText="1"/>
    </xf>
    <xf numFmtId="165" fontId="21" fillId="0" borderId="7" xfId="1" applyNumberFormat="1" applyFont="1" applyFill="1" applyBorder="1" applyAlignment="1" applyProtection="1">
      <alignment horizontal="center" vertical="center"/>
    </xf>
    <xf numFmtId="165" fontId="21" fillId="0" borderId="7" xfId="3" applyNumberFormat="1" applyFont="1" applyFill="1" applyBorder="1" applyAlignment="1" applyProtection="1">
      <alignment horizontal="right" vertical="center"/>
    </xf>
    <xf numFmtId="0" fontId="22" fillId="7" borderId="1" xfId="6" applyFont="1" applyFill="1" applyBorder="1" applyAlignment="1">
      <alignment vertical="center" wrapText="1"/>
    </xf>
    <xf numFmtId="0" fontId="22" fillId="7" borderId="1" xfId="6" applyFont="1" applyFill="1" applyBorder="1" applyAlignment="1">
      <alignment horizontal="center" vertical="center" wrapText="1"/>
    </xf>
    <xf numFmtId="9" fontId="21" fillId="0" borderId="1" xfId="4" applyFont="1" applyFill="1" applyBorder="1" applyAlignment="1" applyProtection="1">
      <alignment horizontal="center" vertical="center"/>
    </xf>
    <xf numFmtId="9" fontId="21" fillId="0" borderId="11" xfId="4" applyFont="1" applyFill="1" applyBorder="1" applyAlignment="1" applyProtection="1">
      <alignment horizontal="center" vertical="center"/>
    </xf>
    <xf numFmtId="43" fontId="21" fillId="7" borderId="7" xfId="1" applyFont="1" applyFill="1" applyBorder="1" applyAlignment="1" applyProtection="1">
      <alignment horizontal="left" vertical="center" wrapText="1"/>
    </xf>
    <xf numFmtId="0" fontId="21" fillId="7" borderId="7" xfId="1" applyNumberFormat="1" applyFont="1" applyFill="1" applyBorder="1" applyAlignment="1" applyProtection="1">
      <alignment horizontal="center" vertical="center" wrapText="1"/>
    </xf>
    <xf numFmtId="0" fontId="22" fillId="7" borderId="7" xfId="6" applyFont="1" applyFill="1" applyBorder="1" applyAlignment="1">
      <alignment horizontal="left" vertical="center" wrapText="1"/>
    </xf>
    <xf numFmtId="43" fontId="22" fillId="7" borderId="7" xfId="1" applyFont="1" applyFill="1" applyBorder="1" applyAlignment="1" applyProtection="1">
      <alignment vertical="center" wrapText="1"/>
    </xf>
    <xf numFmtId="43" fontId="22" fillId="7" borderId="7" xfId="1" applyFont="1" applyFill="1" applyBorder="1" applyAlignment="1" applyProtection="1">
      <alignment horizontal="left" vertical="center" wrapText="1"/>
    </xf>
    <xf numFmtId="0" fontId="21" fillId="0" borderId="7" xfId="6" applyFont="1" applyBorder="1" applyAlignment="1">
      <alignment horizontal="left" vertical="center" wrapText="1"/>
    </xf>
    <xf numFmtId="0" fontId="21" fillId="0" borderId="7" xfId="6" applyFont="1" applyBorder="1" applyAlignment="1">
      <alignment vertical="center" wrapText="1"/>
    </xf>
    <xf numFmtId="0" fontId="21" fillId="0" borderId="7" xfId="6" applyFont="1" applyBorder="1" applyAlignment="1">
      <alignment horizontal="center" vertical="center" wrapText="1"/>
    </xf>
    <xf numFmtId="10" fontId="22" fillId="0" borderId="7" xfId="4" applyNumberFormat="1" applyFont="1" applyBorder="1" applyAlignment="1" applyProtection="1">
      <alignment horizontal="center" vertical="center" wrapText="1"/>
    </xf>
    <xf numFmtId="167" fontId="21" fillId="0" borderId="30" xfId="0" applyNumberFormat="1" applyFont="1" applyBorder="1" applyAlignment="1">
      <alignment horizontal="center" vertical="center"/>
    </xf>
    <xf numFmtId="168" fontId="21" fillId="0" borderId="30" xfId="0" applyNumberFormat="1" applyFont="1" applyBorder="1" applyAlignment="1">
      <alignment horizontal="center" vertical="center"/>
    </xf>
    <xf numFmtId="168" fontId="21" fillId="4" borderId="32" xfId="0" applyNumberFormat="1" applyFont="1" applyFill="1" applyBorder="1" applyAlignment="1">
      <alignment horizontal="center" vertical="center"/>
    </xf>
    <xf numFmtId="42" fontId="8" fillId="0" borderId="0" xfId="3" applyFont="1" applyFill="1" applyBorder="1" applyAlignment="1" applyProtection="1">
      <alignment vertical="center"/>
    </xf>
    <xf numFmtId="1" fontId="8" fillId="0" borderId="0" xfId="3" applyNumberFormat="1" applyFont="1" applyFill="1" applyBorder="1" applyAlignment="1" applyProtection="1">
      <alignment horizontal="center" vertical="center"/>
    </xf>
    <xf numFmtId="42" fontId="8" fillId="0" borderId="42" xfId="3" applyFont="1" applyFill="1" applyBorder="1" applyAlignment="1" applyProtection="1">
      <alignment vertical="center"/>
    </xf>
    <xf numFmtId="0" fontId="21" fillId="0" borderId="0" xfId="6" applyFont="1" applyAlignment="1">
      <alignment horizontal="left" vertical="center" wrapText="1"/>
    </xf>
    <xf numFmtId="0" fontId="21" fillId="0" borderId="0" xfId="6" applyFont="1" applyAlignment="1">
      <alignment vertical="center" wrapText="1"/>
    </xf>
    <xf numFmtId="0" fontId="21" fillId="0" borderId="0" xfId="6" applyFont="1" applyAlignment="1">
      <alignment horizontal="center" vertical="center" wrapText="1"/>
    </xf>
    <xf numFmtId="10" fontId="22" fillId="0" borderId="0" xfId="4" applyNumberFormat="1" applyFont="1" applyBorder="1" applyAlignment="1" applyProtection="1">
      <alignment horizontal="center" vertical="center" wrapText="1"/>
    </xf>
    <xf numFmtId="9" fontId="23" fillId="0" borderId="0" xfId="4" applyFont="1" applyProtection="1">
      <protection locked="0"/>
    </xf>
    <xf numFmtId="9" fontId="0" fillId="0" borderId="0" xfId="4" applyFont="1" applyProtection="1">
      <protection locked="0"/>
    </xf>
    <xf numFmtId="0" fontId="21" fillId="7" borderId="7" xfId="1" applyNumberFormat="1" applyFont="1" applyFill="1" applyBorder="1" applyAlignment="1" applyProtection="1">
      <alignment horizontal="center" vertical="center"/>
    </xf>
    <xf numFmtId="43" fontId="21" fillId="9" borderId="7" xfId="1" applyFont="1" applyFill="1" applyBorder="1" applyAlignment="1" applyProtection="1">
      <alignment horizontal="left" vertical="center" wrapText="1"/>
    </xf>
    <xf numFmtId="0" fontId="21" fillId="9" borderId="7" xfId="6" applyFont="1" applyFill="1" applyBorder="1" applyAlignment="1">
      <alignment vertical="center" wrapText="1"/>
    </xf>
    <xf numFmtId="0" fontId="21" fillId="9" borderId="7" xfId="6" applyFont="1" applyFill="1" applyBorder="1" applyAlignment="1">
      <alignment horizontal="center" vertical="center" wrapText="1"/>
    </xf>
    <xf numFmtId="0" fontId="21" fillId="9" borderId="7" xfId="0" applyFont="1" applyFill="1" applyBorder="1" applyAlignment="1">
      <alignment horizontal="center" vertical="center"/>
    </xf>
    <xf numFmtId="0" fontId="4" fillId="9" borderId="2" xfId="0" applyFont="1" applyFill="1" applyBorder="1" applyAlignment="1">
      <alignment horizontal="center" vertical="center" wrapText="1"/>
    </xf>
    <xf numFmtId="0" fontId="0" fillId="0" borderId="7" xfId="0" applyBorder="1"/>
    <xf numFmtId="0" fontId="0" fillId="0" borderId="7" xfId="0" applyBorder="1" applyAlignment="1">
      <alignment horizontal="center" vertical="center"/>
    </xf>
    <xf numFmtId="0" fontId="0" fillId="0" borderId="7" xfId="0" applyBorder="1" applyAlignment="1">
      <alignment horizontal="center" vertical="center" wrapText="1"/>
    </xf>
    <xf numFmtId="169" fontId="0" fillId="0" borderId="7" xfId="2" applyNumberFormat="1" applyFont="1" applyBorder="1" applyAlignment="1">
      <alignment horizontal="center"/>
    </xf>
    <xf numFmtId="169" fontId="0" fillId="0" borderId="7" xfId="2" applyNumberFormat="1" applyFont="1" applyBorder="1" applyAlignment="1"/>
    <xf numFmtId="166" fontId="0" fillId="0" borderId="7" xfId="2" applyNumberFormat="1" applyFont="1" applyBorder="1"/>
    <xf numFmtId="166" fontId="0" fillId="0" borderId="7" xfId="0" applyNumberFormat="1" applyBorder="1"/>
    <xf numFmtId="42" fontId="21" fillId="10" borderId="28" xfId="3" applyFont="1" applyFill="1" applyBorder="1" applyAlignment="1" applyProtection="1">
      <alignment horizontal="center" vertical="center"/>
    </xf>
    <xf numFmtId="0" fontId="11" fillId="0" borderId="40" xfId="0" applyFont="1" applyBorder="1" applyAlignment="1">
      <alignment horizontal="center" vertical="center"/>
    </xf>
    <xf numFmtId="0" fontId="11" fillId="0" borderId="0" xfId="0" applyFont="1" applyAlignment="1">
      <alignment horizontal="center" vertical="center"/>
    </xf>
    <xf numFmtId="0" fontId="11" fillId="0" borderId="41" xfId="0" applyFont="1" applyBorder="1" applyAlignment="1">
      <alignment horizontal="center" vertical="center"/>
    </xf>
    <xf numFmtId="0" fontId="25" fillId="0" borderId="40" xfId="0" applyFont="1" applyBorder="1" applyAlignment="1">
      <alignment horizontal="center" vertical="center"/>
    </xf>
    <xf numFmtId="0" fontId="25" fillId="0" borderId="0" xfId="0" applyFont="1" applyAlignment="1">
      <alignment horizontal="center" vertical="center"/>
    </xf>
    <xf numFmtId="0" fontId="0" fillId="0" borderId="41" xfId="0" applyBorder="1"/>
    <xf numFmtId="10" fontId="26" fillId="0" borderId="7" xfId="0" applyNumberFormat="1" applyFont="1" applyBorder="1" applyAlignment="1">
      <alignment horizontal="center" vertical="center"/>
    </xf>
    <xf numFmtId="10" fontId="27" fillId="0" borderId="0" xfId="4" applyNumberFormat="1" applyFont="1" applyBorder="1" applyAlignment="1">
      <alignment horizontal="center" vertical="center"/>
    </xf>
    <xf numFmtId="44" fontId="23" fillId="0" borderId="7" xfId="2" applyFont="1" applyBorder="1" applyAlignment="1">
      <alignment horizontal="right" vertical="center"/>
    </xf>
    <xf numFmtId="0" fontId="0" fillId="0" borderId="40" xfId="0" applyBorder="1" applyAlignment="1">
      <alignment horizontal="center" vertical="center"/>
    </xf>
    <xf numFmtId="165" fontId="0" fillId="0" borderId="41" xfId="0" applyNumberFormat="1" applyBorder="1"/>
    <xf numFmtId="44" fontId="0" fillId="0" borderId="0" xfId="0" applyNumberFormat="1"/>
    <xf numFmtId="0" fontId="11" fillId="12" borderId="47" xfId="0" applyFont="1" applyFill="1" applyBorder="1" applyAlignment="1">
      <alignment horizontal="center" vertical="center"/>
    </xf>
    <xf numFmtId="0" fontId="11" fillId="12" borderId="4" xfId="0" applyFont="1" applyFill="1" applyBorder="1" applyAlignment="1">
      <alignment horizontal="center" vertical="center"/>
    </xf>
    <xf numFmtId="0" fontId="11" fillId="11" borderId="4" xfId="0" applyFont="1" applyFill="1" applyBorder="1" applyAlignment="1">
      <alignment horizontal="center" vertical="center"/>
    </xf>
    <xf numFmtId="0" fontId="11" fillId="11" borderId="4" xfId="0" applyFont="1" applyFill="1" applyBorder="1" applyAlignment="1">
      <alignment horizontal="center"/>
    </xf>
    <xf numFmtId="0" fontId="11" fillId="11" borderId="48" xfId="0" applyFont="1" applyFill="1" applyBorder="1" applyAlignment="1">
      <alignment horizontal="center"/>
    </xf>
    <xf numFmtId="0" fontId="11" fillId="0" borderId="27" xfId="0" applyFont="1" applyBorder="1" applyAlignment="1">
      <alignment horizontal="center" vertical="center"/>
    </xf>
    <xf numFmtId="171" fontId="28" fillId="0" borderId="7" xfId="0" applyNumberFormat="1" applyFont="1" applyBorder="1" applyAlignment="1">
      <alignment horizontal="center" vertical="center" wrapText="1"/>
    </xf>
    <xf numFmtId="4" fontId="0" fillId="0" borderId="7" xfId="0" applyNumberFormat="1" applyBorder="1" applyAlignment="1">
      <alignment horizontal="right"/>
    </xf>
    <xf numFmtId="4" fontId="0" fillId="0" borderId="7" xfId="0" applyNumberFormat="1" applyBorder="1"/>
    <xf numFmtId="44" fontId="0" fillId="0" borderId="7" xfId="2" applyFont="1" applyFill="1" applyBorder="1" applyAlignment="1">
      <alignment horizontal="center"/>
    </xf>
    <xf numFmtId="10" fontId="0" fillId="0" borderId="7" xfId="4" applyNumberFormat="1" applyFont="1" applyFill="1" applyBorder="1" applyAlignment="1">
      <alignment horizontal="center" vertical="center"/>
    </xf>
    <xf numFmtId="0" fontId="0" fillId="0" borderId="28" xfId="0" applyBorder="1" applyAlignment="1">
      <alignment horizontal="center"/>
    </xf>
    <xf numFmtId="10" fontId="0" fillId="0" borderId="7" xfId="4" applyNumberFormat="1" applyFont="1" applyBorder="1" applyAlignment="1">
      <alignment horizontal="center" vertical="center"/>
    </xf>
    <xf numFmtId="4" fontId="0" fillId="0" borderId="30" xfId="0" applyNumberFormat="1" applyBorder="1"/>
    <xf numFmtId="10" fontId="0" fillId="0" borderId="30" xfId="0" applyNumberFormat="1" applyBorder="1" applyAlignment="1">
      <alignment horizontal="center" vertical="center"/>
    </xf>
    <xf numFmtId="43" fontId="19" fillId="4" borderId="8" xfId="1" applyFont="1" applyFill="1" applyBorder="1" applyAlignment="1" applyProtection="1">
      <alignment horizontal="center" vertical="center" wrapText="1"/>
    </xf>
    <xf numFmtId="42" fontId="21" fillId="7" borderId="8" xfId="3" applyFont="1" applyFill="1" applyBorder="1" applyAlignment="1" applyProtection="1">
      <alignment horizontal="center" vertical="center"/>
    </xf>
    <xf numFmtId="168" fontId="21" fillId="4" borderId="51" xfId="0" applyNumberFormat="1" applyFont="1" applyFill="1" applyBorder="1" applyAlignment="1">
      <alignment horizontal="center" vertical="center"/>
    </xf>
    <xf numFmtId="42" fontId="21" fillId="7" borderId="7" xfId="3" applyFont="1" applyFill="1" applyBorder="1" applyAlignment="1" applyProtection="1">
      <alignment horizontal="center" vertical="center"/>
    </xf>
    <xf numFmtId="42" fontId="8" fillId="0" borderId="43" xfId="3" applyFont="1" applyFill="1" applyBorder="1" applyAlignment="1" applyProtection="1">
      <alignment vertical="center"/>
    </xf>
    <xf numFmtId="42" fontId="8" fillId="0" borderId="52" xfId="3" applyFont="1" applyFill="1" applyBorder="1" applyAlignment="1" applyProtection="1">
      <alignment vertical="center"/>
    </xf>
    <xf numFmtId="44" fontId="0" fillId="0" borderId="7" xfId="2" applyFont="1" applyBorder="1"/>
    <xf numFmtId="0" fontId="0" fillId="0" borderId="49" xfId="0" applyBorder="1" applyAlignment="1">
      <alignment horizontal="center"/>
    </xf>
    <xf numFmtId="10" fontId="27" fillId="0" borderId="46" xfId="4" applyNumberFormat="1" applyFont="1" applyBorder="1" applyAlignment="1">
      <alignment horizontal="center" vertical="center"/>
    </xf>
    <xf numFmtId="44" fontId="0" fillId="0" borderId="44" xfId="0" applyNumberFormat="1" applyBorder="1"/>
    <xf numFmtId="0" fontId="25" fillId="0" borderId="53" xfId="0" applyFont="1" applyBorder="1" applyAlignment="1">
      <alignment horizontal="center" vertical="center"/>
    </xf>
    <xf numFmtId="0" fontId="11" fillId="11" borderId="54" xfId="0" applyFont="1" applyFill="1" applyBorder="1" applyAlignment="1">
      <alignment horizontal="center" vertical="center"/>
    </xf>
    <xf numFmtId="0" fontId="11" fillId="11" borderId="55" xfId="0" applyFont="1" applyFill="1" applyBorder="1" applyAlignment="1">
      <alignment horizontal="center"/>
    </xf>
    <xf numFmtId="0" fontId="25" fillId="0" borderId="27" xfId="0" applyFont="1" applyBorder="1" applyAlignment="1">
      <alignment horizontal="center" vertical="center"/>
    </xf>
    <xf numFmtId="9" fontId="0" fillId="0" borderId="28" xfId="4" applyFont="1" applyBorder="1" applyAlignment="1">
      <alignment horizontal="center" vertical="center"/>
    </xf>
    <xf numFmtId="0" fontId="27" fillId="0" borderId="27" xfId="0" applyFont="1" applyBorder="1" applyAlignment="1">
      <alignment horizontal="center" vertical="center" wrapText="1"/>
    </xf>
    <xf numFmtId="44" fontId="0" fillId="0" borderId="28" xfId="2" applyFont="1" applyBorder="1" applyAlignment="1">
      <alignment horizontal="right" vertical="center"/>
    </xf>
    <xf numFmtId="0" fontId="27" fillId="0" borderId="29" xfId="0" applyFont="1" applyBorder="1" applyAlignment="1">
      <alignment horizontal="center" vertical="center" wrapText="1"/>
    </xf>
    <xf numFmtId="170" fontId="0" fillId="0" borderId="56" xfId="0" applyNumberFormat="1" applyBorder="1"/>
    <xf numFmtId="170" fontId="0" fillId="0" borderId="32" xfId="0" applyNumberFormat="1" applyBorder="1"/>
    <xf numFmtId="0" fontId="0" fillId="0" borderId="46" xfId="0" applyBorder="1"/>
    <xf numFmtId="0" fontId="15" fillId="7" borderId="52" xfId="0" applyFont="1" applyFill="1" applyBorder="1" applyAlignment="1">
      <alignment horizontal="center" vertical="center" wrapText="1"/>
    </xf>
    <xf numFmtId="3" fontId="7" fillId="0" borderId="0" xfId="0" applyNumberFormat="1" applyFont="1"/>
    <xf numFmtId="0" fontId="17" fillId="8" borderId="45" xfId="0" applyFont="1" applyFill="1" applyBorder="1" applyAlignment="1">
      <alignment horizontal="center" vertical="center" wrapText="1"/>
    </xf>
    <xf numFmtId="0" fontId="11" fillId="8" borderId="23" xfId="0" applyFont="1" applyFill="1" applyBorder="1" applyAlignment="1">
      <alignment horizontal="center" vertical="center" wrapText="1"/>
    </xf>
    <xf numFmtId="0" fontId="11" fillId="8" borderId="46" xfId="0" applyFont="1" applyFill="1" applyBorder="1" applyAlignment="1">
      <alignment horizontal="center" vertical="center" wrapText="1"/>
    </xf>
    <xf numFmtId="0" fontId="11" fillId="8" borderId="40" xfId="0" applyFont="1" applyFill="1" applyBorder="1" applyAlignment="1">
      <alignment horizontal="center" vertical="center" wrapText="1"/>
    </xf>
    <xf numFmtId="0" fontId="11" fillId="8" borderId="0" xfId="0" applyFont="1" applyFill="1" applyAlignment="1">
      <alignment horizontal="center" vertical="center" wrapText="1"/>
    </xf>
    <xf numFmtId="0" fontId="11" fillId="8" borderId="41" xfId="0" applyFont="1" applyFill="1" applyBorder="1" applyAlignment="1">
      <alignment horizontal="center" vertical="center" wrapText="1"/>
    </xf>
    <xf numFmtId="0" fontId="0" fillId="0" borderId="45" xfId="0" applyBorder="1" applyAlignment="1">
      <alignment horizontal="center"/>
    </xf>
    <xf numFmtId="0" fontId="0" fillId="0" borderId="23" xfId="0" applyBorder="1" applyAlignment="1">
      <alignment horizontal="center"/>
    </xf>
    <xf numFmtId="0" fontId="0" fillId="0" borderId="27" xfId="0" applyBorder="1" applyAlignment="1">
      <alignment horizontal="center" vertical="center"/>
    </xf>
    <xf numFmtId="0" fontId="0" fillId="0" borderId="7" xfId="0" applyBorder="1" applyAlignment="1">
      <alignment horizontal="center" vertical="center"/>
    </xf>
    <xf numFmtId="0" fontId="0" fillId="0" borderId="49" xfId="0" applyBorder="1" applyAlignment="1">
      <alignment horizontal="center" vertical="center"/>
    </xf>
    <xf numFmtId="0" fontId="0" fillId="0" borderId="50" xfId="0" applyBorder="1" applyAlignment="1">
      <alignment horizontal="center" vertical="center"/>
    </xf>
    <xf numFmtId="0" fontId="0" fillId="0" borderId="29" xfId="0" applyBorder="1" applyAlignment="1">
      <alignment horizontal="center"/>
    </xf>
    <xf numFmtId="0" fontId="0" fillId="0" borderId="30" xfId="0" applyBorder="1" applyAlignment="1">
      <alignment horizontal="center"/>
    </xf>
    <xf numFmtId="0" fontId="0" fillId="0" borderId="7" xfId="0" applyBorder="1" applyAlignment="1">
      <alignment horizontal="center" vertical="center" wrapText="1"/>
    </xf>
    <xf numFmtId="44" fontId="0" fillId="0" borderId="7" xfId="2" applyFont="1" applyBorder="1" applyAlignment="1">
      <alignment horizontal="center" vertical="center"/>
    </xf>
    <xf numFmtId="0" fontId="0" fillId="0" borderId="7" xfId="0" applyBorder="1" applyAlignment="1">
      <alignment horizontal="center"/>
    </xf>
    <xf numFmtId="0" fontId="0" fillId="0" borderId="7" xfId="0" applyBorder="1" applyAlignment="1">
      <alignment horizontal="center" wrapText="1"/>
    </xf>
    <xf numFmtId="0" fontId="14" fillId="2" borderId="21" xfId="0" applyFont="1" applyFill="1" applyBorder="1" applyAlignment="1">
      <alignment horizontal="center" vertical="center" wrapText="1"/>
    </xf>
    <xf numFmtId="0" fontId="14" fillId="2" borderId="22" xfId="0" applyFont="1" applyFill="1" applyBorder="1" applyAlignment="1">
      <alignment horizontal="center" vertical="center" wrapText="1"/>
    </xf>
    <xf numFmtId="0" fontId="14" fillId="2" borderId="24" xfId="0" applyFont="1" applyFill="1" applyBorder="1" applyAlignment="1">
      <alignment horizontal="center" vertical="center" wrapText="1"/>
    </xf>
    <xf numFmtId="0" fontId="13" fillId="0" borderId="19" xfId="0" applyFont="1" applyBorder="1" applyAlignment="1">
      <alignment horizontal="center"/>
    </xf>
    <xf numFmtId="0" fontId="11" fillId="0" borderId="20" xfId="0" applyFont="1" applyBorder="1" applyAlignment="1">
      <alignment horizontal="center"/>
    </xf>
    <xf numFmtId="0" fontId="0" fillId="0" borderId="0" xfId="0" applyAlignment="1">
      <alignment horizontal="center"/>
    </xf>
    <xf numFmtId="0" fontId="3" fillId="2" borderId="2"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5" fillId="3" borderId="2" xfId="0" applyFont="1" applyFill="1" applyBorder="1" applyAlignment="1">
      <alignment horizontal="center" vertical="center"/>
    </xf>
    <xf numFmtId="0" fontId="12" fillId="0" borderId="13" xfId="0" applyFont="1" applyBorder="1" applyAlignment="1">
      <alignment horizontal="center" wrapText="1"/>
    </xf>
    <xf numFmtId="0" fontId="12" fillId="0" borderId="14" xfId="0" applyFont="1" applyBorder="1" applyAlignment="1">
      <alignment horizontal="center" wrapText="1"/>
    </xf>
    <xf numFmtId="0" fontId="7" fillId="0" borderId="15" xfId="0" applyFont="1" applyBorder="1" applyAlignment="1">
      <alignment horizontal="center" wrapText="1"/>
    </xf>
    <xf numFmtId="0" fontId="7" fillId="0" borderId="16" xfId="0" applyFont="1" applyBorder="1" applyAlignment="1">
      <alignment horizontal="center" wrapText="1"/>
    </xf>
    <xf numFmtId="0" fontId="0" fillId="0" borderId="17" xfId="0" applyBorder="1" applyAlignment="1">
      <alignment horizontal="center"/>
    </xf>
    <xf numFmtId="0" fontId="0" fillId="0" borderId="18" xfId="0"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7" fillId="0" borderId="15" xfId="0" applyFont="1" applyBorder="1" applyAlignment="1">
      <alignment horizontal="center"/>
    </xf>
    <xf numFmtId="0" fontId="7" fillId="0" borderId="16" xfId="0" applyFont="1" applyBorder="1" applyAlignment="1">
      <alignment horizontal="center"/>
    </xf>
    <xf numFmtId="166" fontId="11" fillId="4" borderId="7" xfId="0" applyNumberFormat="1" applyFont="1" applyFill="1" applyBorder="1" applyAlignment="1">
      <alignment horizontal="center"/>
    </xf>
    <xf numFmtId="0" fontId="11" fillId="4" borderId="7" xfId="0" applyFont="1" applyFill="1" applyBorder="1" applyAlignment="1">
      <alignment horizontal="center"/>
    </xf>
    <xf numFmtId="42" fontId="8" fillId="4" borderId="43" xfId="3" applyFont="1" applyFill="1" applyBorder="1" applyAlignment="1" applyProtection="1">
      <alignment horizontal="center" vertical="center" wrapText="1"/>
    </xf>
    <xf numFmtId="42" fontId="8" fillId="4" borderId="31" xfId="3" applyFont="1" applyFill="1" applyBorder="1" applyAlignment="1" applyProtection="1">
      <alignment horizontal="center" vertical="center" wrapText="1"/>
    </xf>
    <xf numFmtId="42" fontId="8" fillId="4" borderId="44" xfId="3" applyFont="1" applyFill="1" applyBorder="1" applyAlignment="1" applyProtection="1">
      <alignment horizontal="center" vertical="center" wrapText="1"/>
    </xf>
    <xf numFmtId="42" fontId="8" fillId="0" borderId="20" xfId="3" applyFont="1" applyFill="1" applyBorder="1" applyAlignment="1" applyProtection="1">
      <alignment horizontal="center" vertical="center"/>
    </xf>
    <xf numFmtId="0" fontId="15" fillId="0" borderId="11" xfId="0" applyFont="1" applyBorder="1" applyAlignment="1" applyProtection="1">
      <alignment horizontal="center" vertical="center" wrapText="1"/>
      <protection locked="0"/>
    </xf>
    <xf numFmtId="0" fontId="15" fillId="0" borderId="20" xfId="0" applyFont="1" applyBorder="1" applyAlignment="1" applyProtection="1">
      <alignment horizontal="center" vertical="center"/>
      <protection locked="0"/>
    </xf>
    <xf numFmtId="0" fontId="15" fillId="0" borderId="10" xfId="0" applyFont="1" applyBorder="1" applyAlignment="1" applyProtection="1">
      <alignment horizontal="center" vertical="center"/>
      <protection locked="0"/>
    </xf>
    <xf numFmtId="0" fontId="15" fillId="0" borderId="5" xfId="0" applyFont="1" applyBorder="1" applyAlignment="1" applyProtection="1">
      <alignment horizontal="center" vertical="center"/>
      <protection locked="0"/>
    </xf>
    <xf numFmtId="0" fontId="15" fillId="0" borderId="33" xfId="0" applyFont="1" applyBorder="1" applyAlignment="1" applyProtection="1">
      <alignment horizontal="center" vertical="center"/>
      <protection locked="0"/>
    </xf>
    <xf numFmtId="0" fontId="15" fillId="0" borderId="6" xfId="0" applyFont="1" applyBorder="1" applyAlignment="1" applyProtection="1">
      <alignment horizontal="center" vertical="center"/>
      <protection locked="0"/>
    </xf>
    <xf numFmtId="0" fontId="0" fillId="4" borderId="7" xfId="5" applyFont="1" applyFill="1" applyBorder="1" applyAlignment="1" applyProtection="1">
      <alignment horizontal="left" vertical="center" wrapText="1"/>
      <protection locked="0"/>
    </xf>
    <xf numFmtId="0" fontId="1" fillId="4" borderId="7" xfId="5" applyFill="1" applyBorder="1" applyAlignment="1" applyProtection="1">
      <alignment horizontal="left" vertical="center" wrapText="1"/>
      <protection locked="0"/>
    </xf>
    <xf numFmtId="44" fontId="16" fillId="4" borderId="7" xfId="2" applyFont="1" applyFill="1" applyBorder="1" applyAlignment="1" applyProtection="1">
      <alignment horizontal="center" vertical="center"/>
      <protection locked="0"/>
    </xf>
    <xf numFmtId="0" fontId="0" fillId="4" borderId="7" xfId="5" applyFont="1" applyFill="1" applyBorder="1" applyAlignment="1" applyProtection="1">
      <alignment horizontal="left" vertical="center" wrapText="1"/>
    </xf>
    <xf numFmtId="0" fontId="1" fillId="4" borderId="7" xfId="5" applyFill="1" applyBorder="1" applyAlignment="1" applyProtection="1">
      <alignment horizontal="left" vertical="center" wrapText="1"/>
    </xf>
    <xf numFmtId="166" fontId="17" fillId="4" borderId="7" xfId="2" applyNumberFormat="1" applyFont="1" applyFill="1" applyBorder="1" applyAlignment="1" applyProtection="1">
      <alignment horizontal="center" vertical="center"/>
    </xf>
    <xf numFmtId="0" fontId="15" fillId="7" borderId="37" xfId="0" applyFont="1" applyFill="1" applyBorder="1" applyAlignment="1">
      <alignment horizontal="center" vertical="center" wrapText="1"/>
    </xf>
    <xf numFmtId="0" fontId="15" fillId="7" borderId="38" xfId="0" applyFont="1" applyFill="1" applyBorder="1" applyAlignment="1">
      <alignment horizontal="center" vertical="center" wrapText="1"/>
    </xf>
    <xf numFmtId="0" fontId="15" fillId="7" borderId="39" xfId="0" applyFont="1" applyFill="1" applyBorder="1" applyAlignment="1">
      <alignment horizontal="center" vertical="center" wrapText="1"/>
    </xf>
    <xf numFmtId="44" fontId="21" fillId="8" borderId="29" xfId="2" applyFont="1" applyFill="1" applyBorder="1" applyAlignment="1" applyProtection="1">
      <alignment horizontal="center" vertical="center"/>
    </xf>
    <xf numFmtId="44" fontId="21" fillId="8" borderId="30" xfId="2" applyFont="1" applyFill="1" applyBorder="1" applyAlignment="1" applyProtection="1">
      <alignment horizontal="center" vertical="center"/>
    </xf>
    <xf numFmtId="0" fontId="0" fillId="4" borderId="34" xfId="5" applyFont="1" applyFill="1" applyBorder="1" applyAlignment="1" applyProtection="1">
      <alignment horizontal="center" vertical="center" wrapText="1"/>
    </xf>
    <xf numFmtId="0" fontId="0" fillId="4" borderId="35" xfId="5" applyFont="1" applyFill="1" applyBorder="1" applyAlignment="1" applyProtection="1">
      <alignment horizontal="center" vertical="center" wrapText="1"/>
    </xf>
    <xf numFmtId="0" fontId="0" fillId="4" borderId="9" xfId="5" applyFont="1" applyFill="1" applyBorder="1" applyAlignment="1" applyProtection="1">
      <alignment horizontal="center" vertical="center" wrapText="1"/>
    </xf>
    <xf numFmtId="2" fontId="17" fillId="4" borderId="8" xfId="4" applyNumberFormat="1" applyFont="1" applyFill="1" applyBorder="1" applyAlignment="1" applyProtection="1">
      <alignment horizontal="center" vertical="center"/>
    </xf>
    <xf numFmtId="2" fontId="17" fillId="4" borderId="35" xfId="4" applyNumberFormat="1" applyFont="1" applyFill="1" applyBorder="1" applyAlignment="1" applyProtection="1">
      <alignment horizontal="center" vertical="center"/>
    </xf>
    <xf numFmtId="2" fontId="17" fillId="4" borderId="36" xfId="4" applyNumberFormat="1" applyFont="1" applyFill="1" applyBorder="1" applyAlignment="1" applyProtection="1">
      <alignment horizontal="center" vertical="center"/>
    </xf>
    <xf numFmtId="0" fontId="15" fillId="4" borderId="4" xfId="0" applyFont="1" applyFill="1" applyBorder="1" applyAlignment="1">
      <alignment horizontal="center" vertical="center"/>
    </xf>
    <xf numFmtId="0" fontId="15" fillId="4" borderId="5" xfId="0" applyFont="1" applyFill="1" applyBorder="1" applyAlignment="1">
      <alignment horizontal="center" vertical="center"/>
    </xf>
  </cellXfs>
  <cellStyles count="7">
    <cellStyle name="60% - Énfasis5" xfId="5" builtinId="48"/>
    <cellStyle name="Millares" xfId="1" builtinId="3"/>
    <cellStyle name="Moneda" xfId="2" builtinId="4"/>
    <cellStyle name="Moneda [0]" xfId="3" builtinId="7"/>
    <cellStyle name="Normal" xfId="0" builtinId="0"/>
    <cellStyle name="Normal 3" xfId="6" xr:uid="{B618AE9A-1668-4CE7-80E8-F9AF37602DDC}"/>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6F9479-88AF-433C-BF41-68689F88B965}">
  <dimension ref="A3:J18"/>
  <sheetViews>
    <sheetView workbookViewId="0">
      <selection activeCell="D18" sqref="D18"/>
    </sheetView>
  </sheetViews>
  <sheetFormatPr baseColWidth="10" defaultRowHeight="15" x14ac:dyDescent="0.25"/>
  <cols>
    <col min="1" max="1" width="48.140625" customWidth="1"/>
    <col min="2" max="2" width="14.5703125" bestFit="1" customWidth="1"/>
    <col min="3" max="4" width="15.5703125" bestFit="1" customWidth="1"/>
    <col min="5" max="5" width="9.85546875" bestFit="1" customWidth="1"/>
    <col min="6" max="6" width="12.7109375" bestFit="1" customWidth="1"/>
    <col min="7" max="7" width="10.5703125" bestFit="1" customWidth="1"/>
    <col min="8" max="8" width="9.5703125" bestFit="1" customWidth="1"/>
    <col min="9" max="10" width="10.5703125" bestFit="1" customWidth="1"/>
  </cols>
  <sheetData>
    <row r="3" spans="1:10" x14ac:dyDescent="0.25">
      <c r="A3" s="197" t="s">
        <v>299</v>
      </c>
      <c r="B3" s="197"/>
      <c r="C3" s="197"/>
      <c r="D3" s="197"/>
      <c r="E3" s="197"/>
      <c r="F3" s="197"/>
      <c r="G3" s="197"/>
      <c r="H3" s="197"/>
      <c r="I3" s="197"/>
      <c r="J3" s="197"/>
    </row>
    <row r="4" spans="1:10" x14ac:dyDescent="0.25">
      <c r="A4" s="130"/>
      <c r="B4" s="204">
        <v>1</v>
      </c>
      <c r="C4" s="204"/>
      <c r="D4" s="204"/>
      <c r="E4" s="204">
        <v>2</v>
      </c>
      <c r="F4" s="204"/>
      <c r="G4" s="204"/>
      <c r="H4" s="204">
        <v>3</v>
      </c>
      <c r="I4" s="204"/>
      <c r="J4" s="204"/>
    </row>
    <row r="5" spans="1:10" ht="51.75" customHeight="1" x14ac:dyDescent="0.25">
      <c r="A5" s="131" t="s">
        <v>300</v>
      </c>
      <c r="B5" s="202" t="s">
        <v>301</v>
      </c>
      <c r="C5" s="202"/>
      <c r="D5" s="202"/>
      <c r="E5" s="197" t="s">
        <v>302</v>
      </c>
      <c r="F5" s="197"/>
      <c r="G5" s="197"/>
      <c r="H5" s="205" t="s">
        <v>303</v>
      </c>
      <c r="I5" s="204"/>
      <c r="J5" s="204"/>
    </row>
    <row r="6" spans="1:10" ht="30" x14ac:dyDescent="0.25">
      <c r="A6" s="132" t="s">
        <v>304</v>
      </c>
      <c r="B6" s="202" t="s">
        <v>305</v>
      </c>
      <c r="C6" s="202"/>
      <c r="D6" s="202"/>
      <c r="E6" s="132" t="s">
        <v>306</v>
      </c>
      <c r="F6" s="132" t="s">
        <v>305</v>
      </c>
      <c r="G6" s="132" t="s">
        <v>307</v>
      </c>
      <c r="H6" s="202" t="s">
        <v>308</v>
      </c>
      <c r="I6" s="202"/>
      <c r="J6" s="202"/>
    </row>
    <row r="7" spans="1:10" x14ac:dyDescent="0.25">
      <c r="A7" s="131" t="s">
        <v>309</v>
      </c>
      <c r="B7" s="133">
        <v>5000000</v>
      </c>
      <c r="C7" s="133">
        <v>10000000</v>
      </c>
      <c r="D7" s="133">
        <v>20000000</v>
      </c>
      <c r="E7" s="134">
        <v>5000000</v>
      </c>
      <c r="F7" s="134">
        <v>10000000</v>
      </c>
      <c r="G7" s="134">
        <v>20000000</v>
      </c>
      <c r="H7" s="134">
        <v>5000000</v>
      </c>
      <c r="I7" s="134">
        <v>10000000</v>
      </c>
      <c r="J7" s="134">
        <v>20000000</v>
      </c>
    </row>
    <row r="8" spans="1:10" x14ac:dyDescent="0.25">
      <c r="A8" s="131" t="s">
        <v>310</v>
      </c>
      <c r="B8" s="135">
        <v>2000</v>
      </c>
      <c r="C8" s="135">
        <v>3000</v>
      </c>
      <c r="D8" s="135">
        <v>5000</v>
      </c>
      <c r="E8" s="135">
        <v>1300</v>
      </c>
      <c r="F8" s="135">
        <v>2500</v>
      </c>
      <c r="G8" s="135">
        <v>2375</v>
      </c>
      <c r="H8" s="135">
        <v>2500</v>
      </c>
      <c r="I8" s="135">
        <v>3500</v>
      </c>
      <c r="J8" s="135">
        <v>6000</v>
      </c>
    </row>
    <row r="12" spans="1:10" x14ac:dyDescent="0.25">
      <c r="A12" s="130" t="s">
        <v>311</v>
      </c>
      <c r="B12" s="135">
        <v>5000000</v>
      </c>
      <c r="C12" s="135">
        <v>10000000</v>
      </c>
      <c r="D12" s="135">
        <v>20000000</v>
      </c>
    </row>
    <row r="13" spans="1:10" x14ac:dyDescent="0.25">
      <c r="A13" s="130" t="s">
        <v>312</v>
      </c>
      <c r="B13" s="136">
        <f>+(B8+E8+H8)/3</f>
        <v>1933.3333333333333</v>
      </c>
      <c r="C13" s="136">
        <f>+(C8+F8+I8)/3</f>
        <v>3000</v>
      </c>
      <c r="D13" s="136">
        <f>+(D8+G8+J8)/3</f>
        <v>4458.333333333333</v>
      </c>
    </row>
    <row r="14" spans="1:10" x14ac:dyDescent="0.25">
      <c r="A14" s="130" t="s">
        <v>313</v>
      </c>
      <c r="B14" s="203">
        <f>+AVERAGE(B13:D13)</f>
        <v>3130.5555555555552</v>
      </c>
      <c r="C14" s="203"/>
      <c r="D14" s="203"/>
    </row>
    <row r="17" spans="4:4" x14ac:dyDescent="0.25">
      <c r="D17">
        <f>+B14*3</f>
        <v>9391.6666666666661</v>
      </c>
    </row>
    <row r="18" spans="4:4" x14ac:dyDescent="0.25">
      <c r="D18">
        <v>9391.6666666666697</v>
      </c>
    </row>
  </sheetData>
  <mergeCells count="10">
    <mergeCell ref="B6:D6"/>
    <mergeCell ref="H6:J6"/>
    <mergeCell ref="B14:D14"/>
    <mergeCell ref="A3:J3"/>
    <mergeCell ref="B4:D4"/>
    <mergeCell ref="E4:G4"/>
    <mergeCell ref="H4:J4"/>
    <mergeCell ref="B5:D5"/>
    <mergeCell ref="E5:G5"/>
    <mergeCell ref="H5:J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B47BE-CAFE-45D1-82C5-7C4CEF9B017E}">
  <dimension ref="A1:BE50"/>
  <sheetViews>
    <sheetView zoomScale="55" zoomScaleNormal="55" workbookViewId="0">
      <pane xSplit="4" ySplit="2" topLeftCell="E21" activePane="bottomRight" state="frozen"/>
      <selection pane="topRight" activeCell="E1" sqref="E1"/>
      <selection pane="bottomLeft" activeCell="A3" sqref="A3"/>
      <selection pane="bottomRight" activeCell="E4" sqref="E4"/>
    </sheetView>
  </sheetViews>
  <sheetFormatPr baseColWidth="10" defaultRowHeight="15" x14ac:dyDescent="0.25"/>
  <cols>
    <col min="1" max="1" width="6.5703125" customWidth="1"/>
    <col min="2" max="2" width="38.42578125" customWidth="1"/>
    <col min="3" max="3" width="68.42578125" customWidth="1"/>
    <col min="4" max="4" width="20.28515625" customWidth="1"/>
    <col min="5" max="5" width="5" customWidth="1"/>
    <col min="6" max="8" width="3.85546875" customWidth="1"/>
    <col min="9" max="9" width="4.28515625" customWidth="1"/>
    <col min="10" max="10" width="3.85546875" customWidth="1"/>
    <col min="11" max="13" width="3.5703125" customWidth="1"/>
    <col min="14" max="15" width="4.5703125" customWidth="1"/>
    <col min="16" max="16" width="6.7109375" customWidth="1"/>
    <col min="17" max="46" width="4.5703125" customWidth="1"/>
    <col min="47" max="47" width="17.5703125" customWidth="1"/>
    <col min="48" max="48" width="17.140625" bestFit="1" customWidth="1"/>
    <col min="51" max="51" width="13.85546875" bestFit="1" customWidth="1"/>
    <col min="52" max="52" width="1.28515625" customWidth="1"/>
    <col min="54" max="54" width="14.140625" bestFit="1" customWidth="1"/>
    <col min="55" max="55" width="1.5703125" customWidth="1"/>
    <col min="57" max="57" width="14.42578125" bestFit="1" customWidth="1"/>
  </cols>
  <sheetData>
    <row r="1" spans="1:57" ht="15.75" thickBot="1" x14ac:dyDescent="0.3">
      <c r="E1" s="209" t="s">
        <v>122</v>
      </c>
      <c r="F1" s="209"/>
      <c r="G1" s="209"/>
      <c r="H1" s="209"/>
      <c r="I1" s="209"/>
      <c r="J1" s="209"/>
      <c r="K1" s="209"/>
      <c r="L1" s="209"/>
      <c r="M1" s="209"/>
      <c r="N1" s="209"/>
      <c r="O1" s="209"/>
      <c r="P1" s="209"/>
      <c r="Q1" s="209"/>
      <c r="R1" s="209"/>
      <c r="S1" s="209"/>
      <c r="T1" s="209"/>
      <c r="U1" s="209"/>
      <c r="V1" s="209"/>
      <c r="W1" s="209"/>
      <c r="X1" s="209"/>
      <c r="Y1" s="209"/>
      <c r="Z1" s="209"/>
      <c r="AA1" s="209"/>
      <c r="AB1" s="209"/>
      <c r="AC1" s="209"/>
      <c r="AD1" s="209"/>
      <c r="AE1" s="209"/>
      <c r="AF1" s="209"/>
      <c r="AG1" s="209"/>
      <c r="AH1" s="209"/>
      <c r="AI1" s="209"/>
      <c r="AJ1" s="209"/>
      <c r="AK1" s="209"/>
      <c r="AL1" s="209"/>
      <c r="AM1" s="209"/>
      <c r="AN1" s="209"/>
      <c r="AO1" s="209"/>
      <c r="AP1" s="209"/>
      <c r="AQ1" s="209"/>
      <c r="AR1" s="209"/>
      <c r="AS1" s="209"/>
      <c r="AT1" s="50"/>
    </row>
    <row r="2" spans="1:57" ht="147" thickBot="1" x14ac:dyDescent="0.3">
      <c r="A2" s="212" t="s">
        <v>0</v>
      </c>
      <c r="B2" s="212"/>
      <c r="C2" s="212"/>
      <c r="D2" s="212"/>
      <c r="E2" s="31" t="s">
        <v>1</v>
      </c>
      <c r="F2" s="31" t="s">
        <v>2</v>
      </c>
      <c r="G2" s="31" t="s">
        <v>3</v>
      </c>
      <c r="H2" s="31" t="s">
        <v>4</v>
      </c>
      <c r="I2" s="31" t="s">
        <v>5</v>
      </c>
      <c r="J2" s="31" t="s">
        <v>6</v>
      </c>
      <c r="K2" s="31" t="s">
        <v>7</v>
      </c>
      <c r="L2" s="31" t="s">
        <v>8</v>
      </c>
      <c r="M2" s="31" t="s">
        <v>9</v>
      </c>
      <c r="N2" s="31" t="s">
        <v>10</v>
      </c>
      <c r="O2" s="31" t="s">
        <v>11</v>
      </c>
      <c r="P2" s="31" t="s">
        <v>12</v>
      </c>
      <c r="Q2" s="31" t="s">
        <v>13</v>
      </c>
      <c r="R2" s="31" t="s">
        <v>14</v>
      </c>
      <c r="S2" s="31" t="s">
        <v>15</v>
      </c>
      <c r="T2" s="31" t="s">
        <v>16</v>
      </c>
      <c r="U2" s="31" t="s">
        <v>17</v>
      </c>
      <c r="V2" s="31" t="s">
        <v>18</v>
      </c>
      <c r="W2" s="31" t="s">
        <v>19</v>
      </c>
      <c r="X2" s="31" t="s">
        <v>20</v>
      </c>
      <c r="Y2" s="31" t="s">
        <v>21</v>
      </c>
      <c r="Z2" s="31" t="s">
        <v>22</v>
      </c>
      <c r="AA2" s="31" t="s">
        <v>23</v>
      </c>
      <c r="AB2" s="31" t="s">
        <v>24</v>
      </c>
      <c r="AC2" s="31" t="s">
        <v>25</v>
      </c>
      <c r="AD2" s="31" t="s">
        <v>26</v>
      </c>
      <c r="AE2" s="31" t="s">
        <v>27</v>
      </c>
      <c r="AF2" s="31" t="s">
        <v>28</v>
      </c>
      <c r="AG2" s="31" t="s">
        <v>29</v>
      </c>
      <c r="AH2" s="31" t="s">
        <v>30</v>
      </c>
      <c r="AI2" s="31" t="s">
        <v>31</v>
      </c>
      <c r="AJ2" s="31" t="s">
        <v>32</v>
      </c>
      <c r="AK2" s="31" t="s">
        <v>33</v>
      </c>
      <c r="AL2" s="31" t="s">
        <v>34</v>
      </c>
      <c r="AM2" s="31" t="s">
        <v>35</v>
      </c>
      <c r="AN2" s="31" t="s">
        <v>36</v>
      </c>
      <c r="AO2" s="31" t="s">
        <v>37</v>
      </c>
      <c r="AP2" s="31" t="s">
        <v>38</v>
      </c>
      <c r="AQ2" s="31" t="s">
        <v>39</v>
      </c>
      <c r="AR2" s="31" t="s">
        <v>40</v>
      </c>
      <c r="AS2" s="31" t="s">
        <v>41</v>
      </c>
      <c r="AT2" s="129" t="s">
        <v>131</v>
      </c>
      <c r="AU2" s="213" t="s">
        <v>123</v>
      </c>
      <c r="AV2" s="213"/>
      <c r="AX2" s="206" t="s">
        <v>128</v>
      </c>
      <c r="AY2" s="207"/>
      <c r="AZ2" s="38"/>
      <c r="BA2" s="207" t="s">
        <v>129</v>
      </c>
      <c r="BB2" s="207"/>
      <c r="BC2" s="38"/>
      <c r="BD2" s="207" t="s">
        <v>130</v>
      </c>
      <c r="BE2" s="208"/>
    </row>
    <row r="3" spans="1:57" ht="26.25" thickBot="1" x14ac:dyDescent="0.3">
      <c r="A3" s="1" t="s">
        <v>42</v>
      </c>
      <c r="B3" s="2" t="s">
        <v>43</v>
      </c>
      <c r="C3" s="2" t="s">
        <v>44</v>
      </c>
      <c r="D3" s="1" t="s">
        <v>121</v>
      </c>
      <c r="E3" s="1">
        <v>1</v>
      </c>
      <c r="F3" s="1">
        <v>2</v>
      </c>
      <c r="G3" s="1">
        <v>3</v>
      </c>
      <c r="H3" s="214">
        <v>4</v>
      </c>
      <c r="I3" s="214"/>
      <c r="J3" s="1">
        <v>5</v>
      </c>
      <c r="K3" s="1">
        <v>6</v>
      </c>
      <c r="L3" s="1">
        <v>7</v>
      </c>
      <c r="M3" s="1">
        <v>8</v>
      </c>
      <c r="N3" s="1">
        <v>9</v>
      </c>
      <c r="O3" s="1">
        <v>10</v>
      </c>
      <c r="P3" s="1">
        <v>11</v>
      </c>
      <c r="Q3" s="1">
        <v>12</v>
      </c>
      <c r="R3" s="1">
        <v>13</v>
      </c>
      <c r="S3" s="1">
        <v>14</v>
      </c>
      <c r="T3" s="1">
        <v>15</v>
      </c>
      <c r="U3" s="1">
        <v>16</v>
      </c>
      <c r="V3" s="1">
        <v>17</v>
      </c>
      <c r="W3" s="1">
        <v>18</v>
      </c>
      <c r="X3" s="1">
        <v>19</v>
      </c>
      <c r="Y3" s="1">
        <v>20</v>
      </c>
      <c r="Z3" s="1">
        <v>21</v>
      </c>
      <c r="AA3" s="1">
        <v>22</v>
      </c>
      <c r="AB3" s="1">
        <v>23</v>
      </c>
      <c r="AC3" s="1">
        <v>24</v>
      </c>
      <c r="AD3" s="1">
        <v>25</v>
      </c>
      <c r="AE3" s="1">
        <v>26</v>
      </c>
      <c r="AF3" s="1">
        <v>27</v>
      </c>
      <c r="AG3" s="1">
        <v>28</v>
      </c>
      <c r="AH3" s="1">
        <v>29</v>
      </c>
      <c r="AI3" s="1">
        <v>30</v>
      </c>
      <c r="AJ3" s="1">
        <v>31</v>
      </c>
      <c r="AK3" s="1">
        <v>32</v>
      </c>
      <c r="AL3" s="1">
        <v>33</v>
      </c>
      <c r="AM3" s="1">
        <v>34</v>
      </c>
      <c r="AN3" s="1">
        <v>35</v>
      </c>
      <c r="AO3" s="1">
        <v>36</v>
      </c>
      <c r="AP3" s="1">
        <v>37</v>
      </c>
      <c r="AQ3" s="1">
        <v>38</v>
      </c>
      <c r="AR3" s="1">
        <v>39</v>
      </c>
      <c r="AS3" s="1">
        <v>40</v>
      </c>
      <c r="AT3" s="51">
        <v>41</v>
      </c>
      <c r="AU3" s="3" t="s">
        <v>45</v>
      </c>
      <c r="AV3" s="3" t="s">
        <v>46</v>
      </c>
      <c r="AX3" s="39" t="s">
        <v>45</v>
      </c>
      <c r="AY3" s="3" t="s">
        <v>46</v>
      </c>
      <c r="BA3" s="3" t="s">
        <v>45</v>
      </c>
      <c r="BB3" s="3" t="s">
        <v>46</v>
      </c>
      <c r="BD3" s="3" t="s">
        <v>45</v>
      </c>
      <c r="BE3" s="40" t="s">
        <v>46</v>
      </c>
    </row>
    <row r="4" spans="1:57" s="9" customFormat="1" ht="28.5" x14ac:dyDescent="0.25">
      <c r="A4" s="29">
        <v>1</v>
      </c>
      <c r="B4" s="4" t="s">
        <v>47</v>
      </c>
      <c r="C4" s="4" t="s">
        <v>48</v>
      </c>
      <c r="D4" s="30">
        <f>SUM(E4:AT4)</f>
        <v>395</v>
      </c>
      <c r="E4" s="5">
        <v>83</v>
      </c>
      <c r="F4" s="6">
        <v>29</v>
      </c>
      <c r="G4" s="6">
        <v>5</v>
      </c>
      <c r="H4" s="6">
        <v>30</v>
      </c>
      <c r="I4" s="6">
        <v>12</v>
      </c>
      <c r="J4" s="6">
        <v>12</v>
      </c>
      <c r="K4" s="6">
        <v>4</v>
      </c>
      <c r="L4" s="6">
        <v>4</v>
      </c>
      <c r="M4" s="6">
        <v>4</v>
      </c>
      <c r="N4" s="6">
        <v>9</v>
      </c>
      <c r="O4" s="6">
        <v>8</v>
      </c>
      <c r="P4" s="6">
        <v>21</v>
      </c>
      <c r="Q4" s="6">
        <v>16</v>
      </c>
      <c r="R4" s="6">
        <v>4</v>
      </c>
      <c r="S4" s="6">
        <v>4</v>
      </c>
      <c r="T4" s="6"/>
      <c r="U4" s="6">
        <v>8</v>
      </c>
      <c r="V4" s="6"/>
      <c r="W4" s="6">
        <v>4</v>
      </c>
      <c r="X4" s="6">
        <v>4</v>
      </c>
      <c r="Y4" s="6"/>
      <c r="Z4" s="6">
        <v>4</v>
      </c>
      <c r="AA4" s="6">
        <v>4</v>
      </c>
      <c r="AB4" s="6">
        <v>4</v>
      </c>
      <c r="AC4" s="6">
        <v>4</v>
      </c>
      <c r="AD4" s="6">
        <v>4</v>
      </c>
      <c r="AE4" s="6">
        <v>4</v>
      </c>
      <c r="AF4" s="6"/>
      <c r="AG4" s="6">
        <v>4</v>
      </c>
      <c r="AH4" s="6">
        <v>4</v>
      </c>
      <c r="AI4" s="6">
        <v>8</v>
      </c>
      <c r="AJ4" s="6">
        <v>4</v>
      </c>
      <c r="AK4" s="6">
        <v>4</v>
      </c>
      <c r="AL4" s="6">
        <v>8</v>
      </c>
      <c r="AM4" s="6">
        <v>16</v>
      </c>
      <c r="AN4" s="6">
        <v>8</v>
      </c>
      <c r="AO4" s="6">
        <v>26</v>
      </c>
      <c r="AP4" s="6">
        <v>4</v>
      </c>
      <c r="AQ4" s="6">
        <v>12</v>
      </c>
      <c r="AR4" s="6">
        <v>4</v>
      </c>
      <c r="AS4" s="7">
        <v>4</v>
      </c>
      <c r="AT4" s="7">
        <v>4</v>
      </c>
      <c r="AU4" s="36">
        <f>+AVERAGE(AX4+BA4+BD4)/3</f>
        <v>33443.182850000005</v>
      </c>
      <c r="AV4" s="37">
        <f>+AU4*D4</f>
        <v>13210057.225750001</v>
      </c>
      <c r="AW4" s="35"/>
      <c r="AX4" s="41">
        <v>34195.923300000002</v>
      </c>
      <c r="AY4" s="37">
        <v>13370606.010300001</v>
      </c>
      <c r="AZ4" s="35"/>
      <c r="BA4" s="36">
        <v>33873.320249999997</v>
      </c>
      <c r="BB4" s="37">
        <v>13244468.217749998</v>
      </c>
      <c r="BC4" s="35"/>
      <c r="BD4" s="36">
        <v>32260.305</v>
      </c>
      <c r="BE4" s="42">
        <v>12613779.255000001</v>
      </c>
    </row>
    <row r="5" spans="1:57" s="9" customFormat="1" ht="42.75" x14ac:dyDescent="0.25">
      <c r="A5" s="28">
        <v>2</v>
      </c>
      <c r="B5" s="10" t="s">
        <v>49</v>
      </c>
      <c r="C5" s="10" t="s">
        <v>50</v>
      </c>
      <c r="D5" s="30">
        <f>SUM(E5:AT5)</f>
        <v>29</v>
      </c>
      <c r="E5" s="11">
        <v>10</v>
      </c>
      <c r="F5" s="12">
        <v>7</v>
      </c>
      <c r="G5" s="12">
        <v>3</v>
      </c>
      <c r="H5" s="12">
        <v>2</v>
      </c>
      <c r="I5" s="12"/>
      <c r="J5" s="12"/>
      <c r="K5" s="12"/>
      <c r="L5" s="12"/>
      <c r="M5" s="12"/>
      <c r="N5" s="12"/>
      <c r="O5" s="12">
        <v>2</v>
      </c>
      <c r="P5" s="12">
        <v>5</v>
      </c>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3"/>
      <c r="AT5" s="13"/>
      <c r="AU5" s="36">
        <f t="shared" ref="AU5:AU34" si="0">+AVERAGE(AX5+BA5+BD5)/3</f>
        <v>40459.693761666662</v>
      </c>
      <c r="AV5" s="37">
        <f t="shared" ref="AV5:AV34" si="1">+AU5*D5</f>
        <v>1173331.1190883331</v>
      </c>
      <c r="AW5" s="35"/>
      <c r="AX5" s="41">
        <v>40589.789239999998</v>
      </c>
      <c r="AY5" s="37">
        <v>1177103.88796</v>
      </c>
      <c r="AZ5" s="35"/>
      <c r="BA5" s="36">
        <v>41760.648544999996</v>
      </c>
      <c r="BB5" s="37">
        <v>1211058.8078049999</v>
      </c>
      <c r="BC5" s="35"/>
      <c r="BD5" s="36">
        <v>39028.643499999998</v>
      </c>
      <c r="BE5" s="42">
        <v>1131830.6614999999</v>
      </c>
    </row>
    <row r="6" spans="1:57" ht="213.75" x14ac:dyDescent="0.25">
      <c r="A6" s="28">
        <v>3</v>
      </c>
      <c r="B6" s="14" t="s">
        <v>51</v>
      </c>
      <c r="C6" s="10" t="s">
        <v>52</v>
      </c>
      <c r="D6" s="30">
        <f t="shared" ref="D6:D34" si="2">SUM(E6:AT6)</f>
        <v>9</v>
      </c>
      <c r="E6" s="11">
        <v>4</v>
      </c>
      <c r="F6" s="12"/>
      <c r="G6" s="12"/>
      <c r="H6" s="12">
        <v>2</v>
      </c>
      <c r="I6" s="12"/>
      <c r="J6" s="12"/>
      <c r="K6" s="12"/>
      <c r="L6" s="12"/>
      <c r="M6" s="12"/>
      <c r="N6" s="12"/>
      <c r="O6" s="12"/>
      <c r="P6" s="12">
        <v>1</v>
      </c>
      <c r="Q6" s="12">
        <v>2</v>
      </c>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3"/>
      <c r="AT6" s="13"/>
      <c r="AU6" s="36">
        <f t="shared" si="0"/>
        <v>88218.777031000005</v>
      </c>
      <c r="AV6" s="37">
        <f t="shared" si="1"/>
        <v>793968.99327900005</v>
      </c>
      <c r="AW6" s="35"/>
      <c r="AX6" s="41">
        <v>89883.282258000007</v>
      </c>
      <c r="AY6" s="37">
        <v>808949.54032200004</v>
      </c>
      <c r="AZ6" s="35"/>
      <c r="BA6" s="36">
        <v>91547.787485000008</v>
      </c>
      <c r="BB6" s="37">
        <v>823930.08736500004</v>
      </c>
      <c r="BC6" s="35"/>
      <c r="BD6" s="36">
        <v>83225.261350000001</v>
      </c>
      <c r="BE6" s="42">
        <v>749027.35215000005</v>
      </c>
    </row>
    <row r="7" spans="1:57" ht="28.5" x14ac:dyDescent="0.25">
      <c r="A7" s="28">
        <v>4</v>
      </c>
      <c r="B7" s="10" t="s">
        <v>53</v>
      </c>
      <c r="C7" s="10" t="s">
        <v>54</v>
      </c>
      <c r="D7" s="30">
        <f t="shared" si="2"/>
        <v>13</v>
      </c>
      <c r="E7" s="11">
        <v>7</v>
      </c>
      <c r="F7" s="12">
        <v>2</v>
      </c>
      <c r="G7" s="12"/>
      <c r="H7" s="12">
        <v>1</v>
      </c>
      <c r="I7" s="12"/>
      <c r="J7" s="12"/>
      <c r="K7" s="12"/>
      <c r="L7" s="12"/>
      <c r="M7" s="12"/>
      <c r="N7" s="12"/>
      <c r="O7" s="12"/>
      <c r="P7" s="12">
        <v>1</v>
      </c>
      <c r="Q7" s="12">
        <v>1</v>
      </c>
      <c r="R7" s="12"/>
      <c r="S7" s="12"/>
      <c r="T7" s="12"/>
      <c r="U7" s="12"/>
      <c r="V7" s="12"/>
      <c r="W7" s="12"/>
      <c r="X7" s="12"/>
      <c r="Y7" s="12"/>
      <c r="Z7" s="12"/>
      <c r="AA7" s="12"/>
      <c r="AB7" s="12"/>
      <c r="AC7" s="12"/>
      <c r="AD7" s="12"/>
      <c r="AE7" s="12"/>
      <c r="AF7" s="12"/>
      <c r="AG7" s="12"/>
      <c r="AH7" s="12"/>
      <c r="AI7" s="12"/>
      <c r="AJ7" s="12"/>
      <c r="AK7" s="12"/>
      <c r="AL7" s="12"/>
      <c r="AM7" s="12"/>
      <c r="AN7" s="12"/>
      <c r="AO7" s="12">
        <v>1</v>
      </c>
      <c r="AP7" s="12"/>
      <c r="AQ7" s="12"/>
      <c r="AR7" s="12"/>
      <c r="AS7" s="13"/>
      <c r="AT7" s="13"/>
      <c r="AU7" s="36">
        <f t="shared" si="0"/>
        <v>74182.255069999999</v>
      </c>
      <c r="AV7" s="37">
        <f t="shared" si="1"/>
        <v>964369.31591</v>
      </c>
      <c r="AW7" s="35"/>
      <c r="AX7" s="41">
        <v>76115.343150000001</v>
      </c>
      <c r="AY7" s="37">
        <v>989499.46094999998</v>
      </c>
      <c r="AZ7" s="35"/>
      <c r="BA7" s="36">
        <v>73940.619059999997</v>
      </c>
      <c r="BB7" s="37">
        <v>961228.04777999991</v>
      </c>
      <c r="BC7" s="35"/>
      <c r="BD7" s="36">
        <v>72490.803</v>
      </c>
      <c r="BE7" s="42">
        <v>942380.43900000001</v>
      </c>
    </row>
    <row r="8" spans="1:57" ht="28.5" x14ac:dyDescent="0.25">
      <c r="A8" s="28">
        <v>5</v>
      </c>
      <c r="B8" s="10" t="s">
        <v>55</v>
      </c>
      <c r="C8" s="10" t="s">
        <v>56</v>
      </c>
      <c r="D8" s="30">
        <f t="shared" si="2"/>
        <v>6</v>
      </c>
      <c r="E8" s="11"/>
      <c r="F8" s="12"/>
      <c r="G8" s="12"/>
      <c r="H8" s="12"/>
      <c r="I8" s="12">
        <v>1</v>
      </c>
      <c r="J8" s="12">
        <v>1</v>
      </c>
      <c r="K8" s="12"/>
      <c r="L8" s="12"/>
      <c r="M8" s="12"/>
      <c r="N8" s="12">
        <v>1</v>
      </c>
      <c r="O8" s="12">
        <v>1</v>
      </c>
      <c r="P8" s="12"/>
      <c r="Q8" s="12"/>
      <c r="R8" s="12"/>
      <c r="S8" s="12"/>
      <c r="T8" s="12"/>
      <c r="U8" s="12"/>
      <c r="V8" s="12"/>
      <c r="W8" s="12"/>
      <c r="X8" s="12"/>
      <c r="Y8" s="12"/>
      <c r="Z8" s="12"/>
      <c r="AA8" s="12"/>
      <c r="AB8" s="12"/>
      <c r="AC8" s="12"/>
      <c r="AD8" s="12"/>
      <c r="AE8" s="12"/>
      <c r="AF8" s="12"/>
      <c r="AG8" s="12"/>
      <c r="AH8" s="12"/>
      <c r="AI8" s="12"/>
      <c r="AJ8" s="12"/>
      <c r="AK8" s="12"/>
      <c r="AL8" s="12"/>
      <c r="AM8" s="12">
        <v>1</v>
      </c>
      <c r="AN8" s="12"/>
      <c r="AO8" s="12"/>
      <c r="AP8" s="12"/>
      <c r="AQ8" s="12">
        <v>1</v>
      </c>
      <c r="AR8" s="12"/>
      <c r="AS8" s="13"/>
      <c r="AT8" s="13"/>
      <c r="AU8" s="36">
        <f t="shared" si="0"/>
        <v>109673.97783008333</v>
      </c>
      <c r="AV8" s="37">
        <f t="shared" si="1"/>
        <v>658043.86698049994</v>
      </c>
      <c r="AW8" s="35"/>
      <c r="AX8" s="41">
        <v>113473.70619584998</v>
      </c>
      <c r="AY8" s="37">
        <v>680842.2371750999</v>
      </c>
      <c r="AZ8" s="35"/>
      <c r="BA8" s="36">
        <v>111919.27186439998</v>
      </c>
      <c r="BB8" s="37">
        <v>671515.63118639984</v>
      </c>
      <c r="BC8" s="35"/>
      <c r="BD8" s="36">
        <v>103628.95542999999</v>
      </c>
      <c r="BE8" s="42">
        <v>621773.73257999995</v>
      </c>
    </row>
    <row r="9" spans="1:57" ht="28.5" x14ac:dyDescent="0.25">
      <c r="A9" s="28">
        <v>6</v>
      </c>
      <c r="B9" s="10" t="s">
        <v>57</v>
      </c>
      <c r="C9" s="10" t="s">
        <v>58</v>
      </c>
      <c r="D9" s="30">
        <f t="shared" si="2"/>
        <v>6</v>
      </c>
      <c r="E9" s="11">
        <v>1</v>
      </c>
      <c r="F9" s="12"/>
      <c r="G9" s="12">
        <v>1</v>
      </c>
      <c r="H9" s="12"/>
      <c r="I9" s="12"/>
      <c r="J9" s="12"/>
      <c r="K9" s="12"/>
      <c r="L9" s="12"/>
      <c r="M9" s="12"/>
      <c r="N9" s="12"/>
      <c r="O9" s="12"/>
      <c r="P9" s="12"/>
      <c r="Q9" s="12"/>
      <c r="R9" s="12"/>
      <c r="S9" s="12"/>
      <c r="T9" s="12"/>
      <c r="U9" s="12">
        <v>1</v>
      </c>
      <c r="V9" s="12"/>
      <c r="W9" s="12"/>
      <c r="X9" s="12"/>
      <c r="Y9" s="12"/>
      <c r="Z9" s="12"/>
      <c r="AA9" s="12"/>
      <c r="AB9" s="12"/>
      <c r="AC9" s="12"/>
      <c r="AD9" s="12"/>
      <c r="AE9" s="12"/>
      <c r="AF9" s="12"/>
      <c r="AG9" s="12"/>
      <c r="AH9" s="12"/>
      <c r="AI9" s="12">
        <v>1</v>
      </c>
      <c r="AJ9" s="12"/>
      <c r="AK9" s="12"/>
      <c r="AL9" s="12">
        <v>1</v>
      </c>
      <c r="AM9" s="12"/>
      <c r="AN9" s="12">
        <v>1</v>
      </c>
      <c r="AO9" s="12"/>
      <c r="AP9" s="12"/>
      <c r="AQ9" s="12"/>
      <c r="AR9" s="12"/>
      <c r="AS9" s="13"/>
      <c r="AT9" s="13"/>
      <c r="AU9" s="36">
        <f t="shared" si="0"/>
        <v>94089.416879534998</v>
      </c>
      <c r="AV9" s="37">
        <f t="shared" si="1"/>
        <v>564536.50127720996</v>
      </c>
      <c r="AW9" s="35"/>
      <c r="AX9" s="41">
        <v>96443.200843605009</v>
      </c>
      <c r="AY9" s="37">
        <v>578659.20506163011</v>
      </c>
      <c r="AZ9" s="35"/>
      <c r="BA9" s="36">
        <v>97336.93084500001</v>
      </c>
      <c r="BB9" s="37">
        <v>584021.58507000003</v>
      </c>
      <c r="BC9" s="35"/>
      <c r="BD9" s="36">
        <v>88488.118950000004</v>
      </c>
      <c r="BE9" s="42">
        <v>530928.71369999996</v>
      </c>
    </row>
    <row r="10" spans="1:57" ht="28.5" x14ac:dyDescent="0.25">
      <c r="A10" s="28">
        <v>7</v>
      </c>
      <c r="B10" s="10" t="s">
        <v>59</v>
      </c>
      <c r="C10" s="10" t="s">
        <v>60</v>
      </c>
      <c r="D10" s="30">
        <f t="shared" si="2"/>
        <v>22</v>
      </c>
      <c r="E10" s="11"/>
      <c r="F10" s="12"/>
      <c r="G10" s="12"/>
      <c r="H10" s="12">
        <v>1</v>
      </c>
      <c r="I10" s="12"/>
      <c r="J10" s="12"/>
      <c r="K10" s="12">
        <v>1</v>
      </c>
      <c r="L10" s="12">
        <v>1</v>
      </c>
      <c r="M10" s="12">
        <v>1</v>
      </c>
      <c r="N10" s="12"/>
      <c r="O10" s="12"/>
      <c r="P10" s="12"/>
      <c r="Q10" s="12"/>
      <c r="R10" s="12">
        <v>1</v>
      </c>
      <c r="S10" s="12">
        <v>1</v>
      </c>
      <c r="T10" s="12"/>
      <c r="U10" s="12"/>
      <c r="V10" s="12"/>
      <c r="W10" s="12">
        <v>1</v>
      </c>
      <c r="X10" s="12">
        <v>1</v>
      </c>
      <c r="Y10" s="12"/>
      <c r="Z10" s="12">
        <v>1</v>
      </c>
      <c r="AA10" s="12">
        <v>1</v>
      </c>
      <c r="AB10" s="12">
        <v>1</v>
      </c>
      <c r="AC10" s="12">
        <v>1</v>
      </c>
      <c r="AD10" s="12">
        <v>1</v>
      </c>
      <c r="AE10" s="12">
        <v>1</v>
      </c>
      <c r="AF10" s="12"/>
      <c r="AG10" s="12">
        <v>1</v>
      </c>
      <c r="AH10" s="12">
        <v>1</v>
      </c>
      <c r="AI10" s="12"/>
      <c r="AJ10" s="12">
        <v>1</v>
      </c>
      <c r="AK10" s="12">
        <v>1</v>
      </c>
      <c r="AL10" s="12"/>
      <c r="AM10" s="12"/>
      <c r="AN10" s="12"/>
      <c r="AO10" s="12"/>
      <c r="AP10" s="12">
        <v>1</v>
      </c>
      <c r="AQ10" s="12"/>
      <c r="AR10" s="12">
        <v>1</v>
      </c>
      <c r="AS10" s="13">
        <v>1</v>
      </c>
      <c r="AT10" s="13">
        <v>1</v>
      </c>
      <c r="AU10" s="36">
        <f t="shared" si="0"/>
        <v>94837.126197916674</v>
      </c>
      <c r="AV10" s="37">
        <f t="shared" si="1"/>
        <v>2086416.7763541669</v>
      </c>
      <c r="AW10" s="35"/>
      <c r="AX10" s="41">
        <v>97871.914236249999</v>
      </c>
      <c r="AY10" s="37">
        <v>2055310.19896125</v>
      </c>
      <c r="AZ10" s="35"/>
      <c r="BA10" s="36">
        <v>95595.823207499998</v>
      </c>
      <c r="BB10" s="37">
        <v>2007512.2873575001</v>
      </c>
      <c r="BC10" s="35"/>
      <c r="BD10" s="36">
        <v>91043.641149999996</v>
      </c>
      <c r="BE10" s="42">
        <v>1911916.4641499999</v>
      </c>
    </row>
    <row r="11" spans="1:57" ht="71.25" x14ac:dyDescent="0.25">
      <c r="A11" s="28">
        <v>8</v>
      </c>
      <c r="B11" s="10" t="s">
        <v>61</v>
      </c>
      <c r="C11" s="10" t="s">
        <v>62</v>
      </c>
      <c r="D11" s="30">
        <f t="shared" si="2"/>
        <v>2</v>
      </c>
      <c r="E11" s="11">
        <v>2</v>
      </c>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3"/>
      <c r="AT11" s="13"/>
      <c r="AU11" s="36">
        <f t="shared" si="0"/>
        <v>47731.999372749997</v>
      </c>
      <c r="AV11" s="37">
        <f t="shared" si="1"/>
        <v>95463.998745499994</v>
      </c>
      <c r="AW11" s="35"/>
      <c r="AX11" s="41">
        <v>48596.132758250002</v>
      </c>
      <c r="AY11" s="37">
        <v>97192.265516500003</v>
      </c>
      <c r="AZ11" s="35"/>
      <c r="BA11" s="36">
        <v>49119.160860000004</v>
      </c>
      <c r="BB11" s="37">
        <v>98238.321720000007</v>
      </c>
      <c r="BC11" s="35"/>
      <c r="BD11" s="36">
        <v>45480.7045</v>
      </c>
      <c r="BE11" s="42">
        <v>90961.409</v>
      </c>
    </row>
    <row r="12" spans="1:57" x14ac:dyDescent="0.25">
      <c r="A12" s="28">
        <v>9</v>
      </c>
      <c r="B12" s="10" t="s">
        <v>63</v>
      </c>
      <c r="C12" s="10" t="s">
        <v>64</v>
      </c>
      <c r="D12" s="30">
        <f t="shared" si="2"/>
        <v>10</v>
      </c>
      <c r="E12" s="11">
        <v>5</v>
      </c>
      <c r="F12" s="12"/>
      <c r="G12" s="12"/>
      <c r="H12" s="12">
        <v>1</v>
      </c>
      <c r="I12" s="12"/>
      <c r="J12" s="12"/>
      <c r="K12" s="12"/>
      <c r="L12" s="12"/>
      <c r="M12" s="12"/>
      <c r="N12" s="12"/>
      <c r="O12" s="12"/>
      <c r="P12" s="12">
        <v>1</v>
      </c>
      <c r="Q12" s="12">
        <v>1</v>
      </c>
      <c r="R12" s="12"/>
      <c r="S12" s="12"/>
      <c r="T12" s="12"/>
      <c r="U12" s="12"/>
      <c r="V12" s="12"/>
      <c r="W12" s="12"/>
      <c r="X12" s="12"/>
      <c r="Y12" s="12"/>
      <c r="Z12" s="12"/>
      <c r="AA12" s="12"/>
      <c r="AB12" s="12"/>
      <c r="AC12" s="12"/>
      <c r="AD12" s="12"/>
      <c r="AE12" s="12"/>
      <c r="AF12" s="12"/>
      <c r="AG12" s="12"/>
      <c r="AH12" s="12"/>
      <c r="AI12" s="12"/>
      <c r="AJ12" s="12"/>
      <c r="AK12" s="12"/>
      <c r="AL12" s="12"/>
      <c r="AM12" s="12">
        <v>1</v>
      </c>
      <c r="AN12" s="12"/>
      <c r="AO12" s="12">
        <v>1</v>
      </c>
      <c r="AP12" s="12"/>
      <c r="AQ12" s="12"/>
      <c r="AR12" s="12"/>
      <c r="AS12" s="13"/>
      <c r="AT12" s="13"/>
      <c r="AU12" s="36">
        <f t="shared" si="0"/>
        <v>96373.88710713097</v>
      </c>
      <c r="AV12" s="37">
        <f t="shared" si="1"/>
        <v>963738.87107130967</v>
      </c>
      <c r="AW12" s="35"/>
      <c r="AX12" s="41">
        <v>99802.365055292903</v>
      </c>
      <c r="AY12" s="37">
        <v>998023.65055292903</v>
      </c>
      <c r="AZ12" s="35"/>
      <c r="BA12" s="36">
        <v>97860.699036100006</v>
      </c>
      <c r="BB12" s="37">
        <v>978606.99036100006</v>
      </c>
      <c r="BC12" s="35"/>
      <c r="BD12" s="36">
        <v>91458.597229999999</v>
      </c>
      <c r="BE12" s="42">
        <v>914585.97230000002</v>
      </c>
    </row>
    <row r="13" spans="1:57" x14ac:dyDescent="0.25">
      <c r="A13" s="28">
        <v>10</v>
      </c>
      <c r="B13" s="10" t="s">
        <v>65</v>
      </c>
      <c r="C13" s="10" t="s">
        <v>66</v>
      </c>
      <c r="D13" s="30">
        <f t="shared" si="2"/>
        <v>15</v>
      </c>
      <c r="E13" s="11">
        <v>2</v>
      </c>
      <c r="F13" s="12">
        <v>2</v>
      </c>
      <c r="G13" s="12"/>
      <c r="H13" s="12"/>
      <c r="I13" s="12"/>
      <c r="J13" s="12"/>
      <c r="K13" s="12"/>
      <c r="L13" s="12"/>
      <c r="M13" s="12"/>
      <c r="N13" s="12"/>
      <c r="O13" s="12"/>
      <c r="P13" s="12"/>
      <c r="Q13" s="12"/>
      <c r="R13" s="12"/>
      <c r="S13" s="12"/>
      <c r="T13" s="12"/>
      <c r="U13" s="12">
        <v>1</v>
      </c>
      <c r="V13" s="12"/>
      <c r="W13" s="12">
        <v>1</v>
      </c>
      <c r="X13" s="12">
        <v>1</v>
      </c>
      <c r="Y13" s="12"/>
      <c r="Z13" s="12">
        <v>1</v>
      </c>
      <c r="AA13" s="12">
        <v>1</v>
      </c>
      <c r="AB13" s="12">
        <v>1</v>
      </c>
      <c r="AC13" s="12">
        <v>1</v>
      </c>
      <c r="AD13" s="12">
        <v>1</v>
      </c>
      <c r="AE13" s="12">
        <v>1</v>
      </c>
      <c r="AF13" s="12"/>
      <c r="AG13" s="12">
        <v>1</v>
      </c>
      <c r="AH13" s="12">
        <v>1</v>
      </c>
      <c r="AI13" s="12"/>
      <c r="AJ13" s="12"/>
      <c r="AK13" s="12"/>
      <c r="AL13" s="12"/>
      <c r="AM13" s="12"/>
      <c r="AN13" s="12"/>
      <c r="AO13" s="12"/>
      <c r="AP13" s="12"/>
      <c r="AQ13" s="12"/>
      <c r="AR13" s="12"/>
      <c r="AS13" s="13"/>
      <c r="AT13" s="13"/>
      <c r="AU13" s="36">
        <f t="shared" si="0"/>
        <v>90418.093172586683</v>
      </c>
      <c r="AV13" s="37">
        <f t="shared" si="1"/>
        <v>1356271.3975888002</v>
      </c>
      <c r="AW13" s="35"/>
      <c r="AX13" s="41">
        <v>91575.829913260008</v>
      </c>
      <c r="AY13" s="37">
        <v>1373637.4486989002</v>
      </c>
      <c r="AZ13" s="35"/>
      <c r="BA13" s="36">
        <v>93707.899554500007</v>
      </c>
      <c r="BB13" s="37">
        <v>1405618.4933175002</v>
      </c>
      <c r="BC13" s="35"/>
      <c r="BD13" s="36">
        <v>85970.550050000005</v>
      </c>
      <c r="BE13" s="42">
        <v>1289558.2507500001</v>
      </c>
    </row>
    <row r="14" spans="1:57" x14ac:dyDescent="0.25">
      <c r="A14" s="28">
        <v>11</v>
      </c>
      <c r="B14" s="10" t="s">
        <v>67</v>
      </c>
      <c r="C14" s="10" t="s">
        <v>68</v>
      </c>
      <c r="D14" s="30">
        <f t="shared" si="2"/>
        <v>10</v>
      </c>
      <c r="E14" s="11"/>
      <c r="F14" s="12"/>
      <c r="G14" s="12">
        <v>1</v>
      </c>
      <c r="H14" s="12">
        <v>1</v>
      </c>
      <c r="I14" s="12">
        <v>1</v>
      </c>
      <c r="J14" s="12">
        <v>1</v>
      </c>
      <c r="K14" s="12"/>
      <c r="L14" s="12"/>
      <c r="M14" s="12"/>
      <c r="N14" s="12">
        <v>1</v>
      </c>
      <c r="O14" s="12">
        <v>1</v>
      </c>
      <c r="P14" s="12"/>
      <c r="Q14" s="12"/>
      <c r="R14" s="12"/>
      <c r="S14" s="12"/>
      <c r="T14" s="12"/>
      <c r="U14" s="12"/>
      <c r="V14" s="12"/>
      <c r="W14" s="12"/>
      <c r="X14" s="12"/>
      <c r="Y14" s="12"/>
      <c r="Z14" s="12"/>
      <c r="AA14" s="12"/>
      <c r="AB14" s="12"/>
      <c r="AC14" s="12"/>
      <c r="AD14" s="12"/>
      <c r="AE14" s="12"/>
      <c r="AF14" s="12"/>
      <c r="AG14" s="12"/>
      <c r="AH14" s="12"/>
      <c r="AI14" s="12">
        <v>1</v>
      </c>
      <c r="AJ14" s="12"/>
      <c r="AK14" s="12"/>
      <c r="AL14" s="12">
        <v>1</v>
      </c>
      <c r="AM14" s="12"/>
      <c r="AN14" s="12">
        <v>1</v>
      </c>
      <c r="AO14" s="12"/>
      <c r="AP14" s="12"/>
      <c r="AQ14" s="12">
        <v>1</v>
      </c>
      <c r="AR14" s="12"/>
      <c r="AS14" s="13"/>
      <c r="AT14" s="13"/>
      <c r="AU14" s="36">
        <f t="shared" si="0"/>
        <v>42523.79072941999</v>
      </c>
      <c r="AV14" s="37">
        <f t="shared" si="1"/>
        <v>425237.90729419992</v>
      </c>
      <c r="AW14" s="35"/>
      <c r="AX14" s="41">
        <v>42620.956237859995</v>
      </c>
      <c r="AY14" s="37">
        <v>426209.56237859995</v>
      </c>
      <c r="AZ14" s="35"/>
      <c r="BA14" s="36">
        <v>43308.055190399995</v>
      </c>
      <c r="BB14" s="37">
        <v>433080.55190399993</v>
      </c>
      <c r="BC14" s="35"/>
      <c r="BD14" s="36">
        <v>41642.360759999996</v>
      </c>
      <c r="BE14" s="42">
        <v>416423.60759999999</v>
      </c>
    </row>
    <row r="15" spans="1:57" x14ac:dyDescent="0.25">
      <c r="A15" s="28">
        <v>12</v>
      </c>
      <c r="B15" s="10" t="s">
        <v>69</v>
      </c>
      <c r="C15" s="10" t="s">
        <v>70</v>
      </c>
      <c r="D15" s="30">
        <f t="shared" si="2"/>
        <v>13</v>
      </c>
      <c r="E15" s="11">
        <v>1</v>
      </c>
      <c r="F15" s="12"/>
      <c r="G15" s="12"/>
      <c r="H15" s="12"/>
      <c r="I15" s="12"/>
      <c r="J15" s="12"/>
      <c r="K15" s="12">
        <v>1</v>
      </c>
      <c r="L15" s="12">
        <v>1</v>
      </c>
      <c r="M15" s="12">
        <v>1</v>
      </c>
      <c r="N15" s="12"/>
      <c r="O15" s="12"/>
      <c r="P15" s="12">
        <v>1</v>
      </c>
      <c r="Q15" s="12"/>
      <c r="R15" s="12">
        <v>1</v>
      </c>
      <c r="S15" s="12">
        <v>1</v>
      </c>
      <c r="T15" s="12"/>
      <c r="U15" s="12"/>
      <c r="V15" s="12"/>
      <c r="W15" s="12"/>
      <c r="X15" s="12"/>
      <c r="Y15" s="12"/>
      <c r="Z15" s="12"/>
      <c r="AA15" s="12"/>
      <c r="AB15" s="12"/>
      <c r="AC15" s="12"/>
      <c r="AD15" s="12"/>
      <c r="AE15" s="12"/>
      <c r="AF15" s="12"/>
      <c r="AG15" s="12"/>
      <c r="AH15" s="12"/>
      <c r="AI15" s="12"/>
      <c r="AJ15" s="12">
        <v>1</v>
      </c>
      <c r="AK15" s="12">
        <v>1</v>
      </c>
      <c r="AL15" s="12"/>
      <c r="AM15" s="12"/>
      <c r="AN15" s="12"/>
      <c r="AO15" s="12"/>
      <c r="AP15" s="12">
        <v>1</v>
      </c>
      <c r="AQ15" s="12"/>
      <c r="AR15" s="12">
        <v>1</v>
      </c>
      <c r="AS15" s="13">
        <v>1</v>
      </c>
      <c r="AT15" s="13">
        <v>1</v>
      </c>
      <c r="AU15" s="36">
        <f t="shared" si="0"/>
        <v>33360.026326293329</v>
      </c>
      <c r="AV15" s="37">
        <f t="shared" si="1"/>
        <v>433680.34224181331</v>
      </c>
      <c r="AW15" s="35"/>
      <c r="AX15" s="41">
        <v>33155.443701379998</v>
      </c>
      <c r="AY15" s="37">
        <v>397865.32441656</v>
      </c>
      <c r="AZ15" s="35"/>
      <c r="BA15" s="36">
        <v>34278.4717275</v>
      </c>
      <c r="BB15" s="37">
        <v>411341.66073</v>
      </c>
      <c r="BC15" s="35"/>
      <c r="BD15" s="36">
        <v>32646.163550000001</v>
      </c>
      <c r="BE15" s="42">
        <v>391753.96260000003</v>
      </c>
    </row>
    <row r="16" spans="1:57" ht="28.5" x14ac:dyDescent="0.25">
      <c r="A16" s="28">
        <v>13</v>
      </c>
      <c r="B16" s="10" t="s">
        <v>71</v>
      </c>
      <c r="C16" s="10" t="s">
        <v>72</v>
      </c>
      <c r="D16" s="30">
        <f t="shared" si="2"/>
        <v>4</v>
      </c>
      <c r="E16" s="11">
        <v>1</v>
      </c>
      <c r="F16" s="12">
        <v>1</v>
      </c>
      <c r="G16" s="12"/>
      <c r="H16" s="12"/>
      <c r="I16" s="12"/>
      <c r="J16" s="12"/>
      <c r="K16" s="12"/>
      <c r="L16" s="12"/>
      <c r="M16" s="12"/>
      <c r="N16" s="12"/>
      <c r="O16" s="12"/>
      <c r="P16" s="12">
        <v>1</v>
      </c>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v>1</v>
      </c>
      <c r="AP16" s="12"/>
      <c r="AQ16" s="12"/>
      <c r="AR16" s="12"/>
      <c r="AS16" s="13"/>
      <c r="AT16" s="13"/>
      <c r="AU16" s="36">
        <f t="shared" si="0"/>
        <v>72642.405348333341</v>
      </c>
      <c r="AV16" s="37">
        <f t="shared" si="1"/>
        <v>290569.62139333336</v>
      </c>
      <c r="AW16" s="35"/>
      <c r="AX16" s="41">
        <v>73808.415064999994</v>
      </c>
      <c r="AY16" s="37">
        <v>295233.66025999998</v>
      </c>
      <c r="AZ16" s="35"/>
      <c r="BA16" s="36">
        <v>74158.217980000001</v>
      </c>
      <c r="BB16" s="37">
        <v>296632.87192000001</v>
      </c>
      <c r="BC16" s="35"/>
      <c r="BD16" s="36">
        <v>69960.582999999999</v>
      </c>
      <c r="BE16" s="42">
        <v>279842.33199999999</v>
      </c>
    </row>
    <row r="17" spans="1:57" ht="28.5" x14ac:dyDescent="0.25">
      <c r="A17" s="28">
        <v>14</v>
      </c>
      <c r="B17" s="10" t="s">
        <v>73</v>
      </c>
      <c r="C17" s="10" t="s">
        <v>74</v>
      </c>
      <c r="D17" s="30">
        <f t="shared" si="2"/>
        <v>16</v>
      </c>
      <c r="E17" s="15">
        <v>6</v>
      </c>
      <c r="F17" s="12">
        <v>1</v>
      </c>
      <c r="G17" s="12">
        <v>1</v>
      </c>
      <c r="H17" s="12">
        <v>3</v>
      </c>
      <c r="I17" s="12"/>
      <c r="J17" s="12"/>
      <c r="K17" s="12"/>
      <c r="L17" s="12"/>
      <c r="M17" s="12"/>
      <c r="N17" s="12"/>
      <c r="O17" s="12"/>
      <c r="P17" s="12">
        <v>1</v>
      </c>
      <c r="Q17" s="12">
        <v>1</v>
      </c>
      <c r="R17" s="12"/>
      <c r="S17" s="12"/>
      <c r="T17" s="12"/>
      <c r="U17" s="12"/>
      <c r="V17" s="12"/>
      <c r="W17" s="12"/>
      <c r="X17" s="12"/>
      <c r="Y17" s="12"/>
      <c r="Z17" s="12"/>
      <c r="AA17" s="12"/>
      <c r="AB17" s="12"/>
      <c r="AC17" s="12"/>
      <c r="AD17" s="12"/>
      <c r="AE17" s="12"/>
      <c r="AF17" s="12"/>
      <c r="AG17" s="12"/>
      <c r="AH17" s="12"/>
      <c r="AI17" s="12"/>
      <c r="AJ17" s="12"/>
      <c r="AK17" s="12"/>
      <c r="AL17" s="12"/>
      <c r="AM17" s="12">
        <v>1</v>
      </c>
      <c r="AN17" s="12"/>
      <c r="AO17" s="12">
        <v>2</v>
      </c>
      <c r="AP17" s="12"/>
      <c r="AQ17" s="12"/>
      <c r="AR17" s="12"/>
      <c r="AS17" s="13"/>
      <c r="AT17" s="13"/>
      <c r="AU17" s="36">
        <f t="shared" si="0"/>
        <v>121891.1472086</v>
      </c>
      <c r="AV17" s="37">
        <f t="shared" si="1"/>
        <v>1950258.3553376</v>
      </c>
      <c r="AW17" s="35"/>
      <c r="AX17" s="41">
        <v>123666.26100290001</v>
      </c>
      <c r="AY17" s="37">
        <v>1978660.1760464001</v>
      </c>
      <c r="AZ17" s="35"/>
      <c r="BA17" s="36">
        <v>123666.26100290001</v>
      </c>
      <c r="BB17" s="37">
        <v>1978660.1760464001</v>
      </c>
      <c r="BC17" s="35"/>
      <c r="BD17" s="36">
        <v>118340.91962</v>
      </c>
      <c r="BE17" s="42">
        <v>1893454.71392</v>
      </c>
    </row>
    <row r="18" spans="1:57" ht="28.5" x14ac:dyDescent="0.25">
      <c r="A18" s="28">
        <v>15</v>
      </c>
      <c r="B18" s="10" t="s">
        <v>75</v>
      </c>
      <c r="C18" s="10" t="s">
        <v>76</v>
      </c>
      <c r="D18" s="30">
        <f t="shared" si="2"/>
        <v>13</v>
      </c>
      <c r="E18" s="11">
        <v>4</v>
      </c>
      <c r="F18" s="12">
        <v>1</v>
      </c>
      <c r="G18" s="12">
        <v>1</v>
      </c>
      <c r="H18" s="12">
        <v>2</v>
      </c>
      <c r="I18" s="12"/>
      <c r="J18" s="12"/>
      <c r="K18" s="12"/>
      <c r="L18" s="12"/>
      <c r="M18" s="12"/>
      <c r="N18" s="12"/>
      <c r="O18" s="12"/>
      <c r="P18" s="12">
        <v>1</v>
      </c>
      <c r="Q18" s="12">
        <v>1</v>
      </c>
      <c r="R18" s="12"/>
      <c r="S18" s="12"/>
      <c r="T18" s="12"/>
      <c r="U18" s="12"/>
      <c r="V18" s="12"/>
      <c r="W18" s="12"/>
      <c r="X18" s="12"/>
      <c r="Y18" s="12"/>
      <c r="Z18" s="12"/>
      <c r="AA18" s="12"/>
      <c r="AB18" s="12"/>
      <c r="AC18" s="12"/>
      <c r="AD18" s="12"/>
      <c r="AE18" s="12"/>
      <c r="AF18" s="12"/>
      <c r="AG18" s="12"/>
      <c r="AH18" s="12"/>
      <c r="AI18" s="12"/>
      <c r="AJ18" s="12"/>
      <c r="AK18" s="12"/>
      <c r="AL18" s="12"/>
      <c r="AM18" s="12">
        <v>1</v>
      </c>
      <c r="AN18" s="12"/>
      <c r="AO18" s="12">
        <v>2</v>
      </c>
      <c r="AP18" s="12"/>
      <c r="AQ18" s="12"/>
      <c r="AR18" s="12"/>
      <c r="AS18" s="13"/>
      <c r="AT18" s="13"/>
      <c r="AU18" s="36">
        <f t="shared" si="0"/>
        <v>9032.1263340000005</v>
      </c>
      <c r="AV18" s="37">
        <f t="shared" si="1"/>
        <v>117417.64234200001</v>
      </c>
      <c r="AW18" s="35"/>
      <c r="AX18" s="41">
        <v>9362.0670220000011</v>
      </c>
      <c r="AY18" s="37">
        <v>121706.87128600001</v>
      </c>
      <c r="AZ18" s="35"/>
      <c r="BA18" s="36">
        <v>9485.7947800000002</v>
      </c>
      <c r="BB18" s="37">
        <v>123315.33214</v>
      </c>
      <c r="BC18" s="35"/>
      <c r="BD18" s="36">
        <v>8248.5172000000002</v>
      </c>
      <c r="BE18" s="42">
        <v>107230.7236</v>
      </c>
    </row>
    <row r="19" spans="1:57" ht="99.75" x14ac:dyDescent="0.25">
      <c r="A19" s="28">
        <v>16</v>
      </c>
      <c r="B19" s="10" t="s">
        <v>77</v>
      </c>
      <c r="C19" s="10" t="s">
        <v>78</v>
      </c>
      <c r="D19" s="30">
        <f t="shared" si="2"/>
        <v>3</v>
      </c>
      <c r="E19" s="11">
        <v>2</v>
      </c>
      <c r="F19" s="12"/>
      <c r="G19" s="12"/>
      <c r="H19" s="12">
        <v>1</v>
      </c>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3"/>
      <c r="AT19" s="13"/>
      <c r="AU19" s="36">
        <f t="shared" si="0"/>
        <v>38596.987968000001</v>
      </c>
      <c r="AV19" s="37">
        <f t="shared" si="1"/>
        <v>115790.963904</v>
      </c>
      <c r="AW19" s="35"/>
      <c r="AX19" s="41">
        <v>39641.462783999996</v>
      </c>
      <c r="AY19" s="37">
        <v>118924.38835199998</v>
      </c>
      <c r="AZ19" s="35"/>
      <c r="BA19" s="36">
        <v>39714.333119999996</v>
      </c>
      <c r="BB19" s="37">
        <v>119142.99935999999</v>
      </c>
      <c r="BC19" s="35"/>
      <c r="BD19" s="36">
        <v>36435.167999999998</v>
      </c>
      <c r="BE19" s="42">
        <v>109305.50399999999</v>
      </c>
    </row>
    <row r="20" spans="1:57" ht="42.75" x14ac:dyDescent="0.25">
      <c r="A20" s="28">
        <v>17</v>
      </c>
      <c r="B20" s="10" t="s">
        <v>79</v>
      </c>
      <c r="C20" s="10" t="s">
        <v>80</v>
      </c>
      <c r="D20" s="30">
        <f t="shared" si="2"/>
        <v>11</v>
      </c>
      <c r="E20" s="11">
        <v>2</v>
      </c>
      <c r="F20" s="12">
        <v>1</v>
      </c>
      <c r="G20" s="12">
        <v>1</v>
      </c>
      <c r="H20" s="12">
        <v>2</v>
      </c>
      <c r="I20" s="12"/>
      <c r="J20" s="12"/>
      <c r="K20" s="12"/>
      <c r="L20" s="12"/>
      <c r="M20" s="12"/>
      <c r="N20" s="12"/>
      <c r="O20" s="12"/>
      <c r="P20" s="12">
        <v>1</v>
      </c>
      <c r="Q20" s="12">
        <v>1</v>
      </c>
      <c r="R20" s="12"/>
      <c r="S20" s="12"/>
      <c r="T20" s="12"/>
      <c r="U20" s="12"/>
      <c r="V20" s="12"/>
      <c r="W20" s="12"/>
      <c r="X20" s="12"/>
      <c r="Y20" s="12"/>
      <c r="Z20" s="12"/>
      <c r="AA20" s="12"/>
      <c r="AB20" s="12"/>
      <c r="AC20" s="12"/>
      <c r="AD20" s="12"/>
      <c r="AE20" s="12"/>
      <c r="AF20" s="12"/>
      <c r="AG20" s="12"/>
      <c r="AH20" s="12"/>
      <c r="AI20" s="12"/>
      <c r="AJ20" s="12"/>
      <c r="AK20" s="12"/>
      <c r="AL20" s="12"/>
      <c r="AM20" s="12">
        <v>1</v>
      </c>
      <c r="AN20" s="12"/>
      <c r="AO20" s="12">
        <v>2</v>
      </c>
      <c r="AP20" s="12"/>
      <c r="AQ20" s="12"/>
      <c r="AR20" s="12"/>
      <c r="AS20" s="13"/>
      <c r="AT20" s="13"/>
      <c r="AU20" s="36">
        <f t="shared" si="0"/>
        <v>42527.7985979</v>
      </c>
      <c r="AV20" s="37">
        <f t="shared" si="1"/>
        <v>467805.78457690001</v>
      </c>
      <c r="AW20" s="35"/>
      <c r="AX20" s="41">
        <v>43813.378077700007</v>
      </c>
      <c r="AY20" s="37">
        <v>481947.15885470004</v>
      </c>
      <c r="AZ20" s="35"/>
      <c r="BA20" s="36">
        <v>42299.711916000007</v>
      </c>
      <c r="BB20" s="37">
        <v>465296.83107600006</v>
      </c>
      <c r="BC20" s="35"/>
      <c r="BD20" s="36">
        <v>41470.305800000009</v>
      </c>
      <c r="BE20" s="42">
        <v>456173.36380000011</v>
      </c>
    </row>
    <row r="21" spans="1:57" ht="42.75" x14ac:dyDescent="0.25">
      <c r="A21" s="28">
        <v>18</v>
      </c>
      <c r="B21" s="10" t="s">
        <v>81</v>
      </c>
      <c r="C21" s="10" t="s">
        <v>82</v>
      </c>
      <c r="D21" s="30">
        <f t="shared" si="2"/>
        <v>3</v>
      </c>
      <c r="E21" s="11">
        <v>2</v>
      </c>
      <c r="F21" s="12"/>
      <c r="G21" s="12"/>
      <c r="H21" s="12">
        <v>1</v>
      </c>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3"/>
      <c r="AT21" s="13"/>
      <c r="AU21" s="36">
        <f t="shared" si="0"/>
        <v>39873.642096750009</v>
      </c>
      <c r="AV21" s="37">
        <f t="shared" si="1"/>
        <v>119620.92629025003</v>
      </c>
      <c r="AW21" s="35"/>
      <c r="AX21" s="41">
        <v>41728.23010125001</v>
      </c>
      <c r="AY21" s="37">
        <v>125184.69030375003</v>
      </c>
      <c r="AZ21" s="35"/>
      <c r="BA21" s="36">
        <v>39521.90988900001</v>
      </c>
      <c r="BB21" s="37">
        <v>118565.72966700004</v>
      </c>
      <c r="BC21" s="35"/>
      <c r="BD21" s="36">
        <v>38370.786300000007</v>
      </c>
      <c r="BE21" s="42">
        <v>115112.35890000002</v>
      </c>
    </row>
    <row r="22" spans="1:57" ht="85.5" x14ac:dyDescent="0.25">
      <c r="A22" s="28">
        <v>19</v>
      </c>
      <c r="B22" s="10" t="s">
        <v>83</v>
      </c>
      <c r="C22" s="10" t="s">
        <v>84</v>
      </c>
      <c r="D22" s="30">
        <f t="shared" si="2"/>
        <v>1</v>
      </c>
      <c r="E22" s="11">
        <v>1</v>
      </c>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3"/>
      <c r="AT22" s="13"/>
      <c r="AU22" s="36">
        <f t="shared" si="0"/>
        <v>71145.305802083341</v>
      </c>
      <c r="AV22" s="37">
        <f t="shared" si="1"/>
        <v>71145.305802083341</v>
      </c>
      <c r="AW22" s="35"/>
      <c r="AX22" s="41">
        <v>74104.95052345001</v>
      </c>
      <c r="AY22" s="37">
        <v>74104.95052345001</v>
      </c>
      <c r="AZ22" s="35"/>
      <c r="BA22" s="36">
        <v>71031.473312800008</v>
      </c>
      <c r="BB22" s="37">
        <v>71031.473312800008</v>
      </c>
      <c r="BC22" s="35"/>
      <c r="BD22" s="36">
        <v>68299.493570000006</v>
      </c>
      <c r="BE22" s="42">
        <v>68299.493570000006</v>
      </c>
    </row>
    <row r="23" spans="1:57" ht="28.5" x14ac:dyDescent="0.25">
      <c r="A23" s="28">
        <v>20</v>
      </c>
      <c r="B23" s="10" t="s">
        <v>85</v>
      </c>
      <c r="C23" s="10" t="s">
        <v>86</v>
      </c>
      <c r="D23" s="30">
        <f t="shared" si="2"/>
        <v>1</v>
      </c>
      <c r="E23" s="11">
        <v>1</v>
      </c>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3"/>
      <c r="AT23" s="13"/>
      <c r="AU23" s="36">
        <f t="shared" si="0"/>
        <v>6003630.0807663435</v>
      </c>
      <c r="AV23" s="37">
        <f t="shared" si="1"/>
        <v>6003630.0807663435</v>
      </c>
      <c r="AW23" s="35"/>
      <c r="AX23" s="41">
        <v>6056470.7900737813</v>
      </c>
      <c r="AY23" s="37">
        <v>6056470.7900737813</v>
      </c>
      <c r="AZ23" s="35"/>
      <c r="BA23" s="36">
        <v>6021705.0838752501</v>
      </c>
      <c r="BB23" s="37">
        <v>6021705.0838752501</v>
      </c>
      <c r="BC23" s="35"/>
      <c r="BD23" s="36">
        <v>5932714.3683500001</v>
      </c>
      <c r="BE23" s="42">
        <v>5932714.3683500001</v>
      </c>
    </row>
    <row r="24" spans="1:57" ht="99.75" x14ac:dyDescent="0.25">
      <c r="A24" s="28">
        <v>21</v>
      </c>
      <c r="B24" s="10" t="s">
        <v>87</v>
      </c>
      <c r="C24" s="10" t="s">
        <v>88</v>
      </c>
      <c r="D24" s="30">
        <f t="shared" si="2"/>
        <v>3</v>
      </c>
      <c r="E24" s="11">
        <v>2</v>
      </c>
      <c r="F24" s="12"/>
      <c r="G24" s="12"/>
      <c r="H24" s="12">
        <v>1</v>
      </c>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3"/>
      <c r="AT24" s="13"/>
      <c r="AU24" s="36">
        <f t="shared" si="0"/>
        <v>3695624.0499772443</v>
      </c>
      <c r="AV24" s="37">
        <f t="shared" si="1"/>
        <v>11086872.149931733</v>
      </c>
      <c r="AW24" s="35"/>
      <c r="AX24" s="41">
        <v>3759466.7897491325</v>
      </c>
      <c r="AY24" s="37">
        <v>11278400.369247397</v>
      </c>
      <c r="AZ24" s="35"/>
      <c r="BA24" s="36">
        <v>3699976.9640526003</v>
      </c>
      <c r="BB24" s="37">
        <v>11099930.8921578</v>
      </c>
      <c r="BC24" s="35"/>
      <c r="BD24" s="36">
        <v>3627428.3961300002</v>
      </c>
      <c r="BE24" s="42">
        <v>10882285.188390002</v>
      </c>
    </row>
    <row r="25" spans="1:57" ht="99.75" x14ac:dyDescent="0.25">
      <c r="A25" s="28">
        <v>22</v>
      </c>
      <c r="B25" s="10" t="s">
        <v>89</v>
      </c>
      <c r="C25" s="10" t="s">
        <v>90</v>
      </c>
      <c r="D25" s="30">
        <f t="shared" si="2"/>
        <v>2</v>
      </c>
      <c r="E25" s="11">
        <v>1</v>
      </c>
      <c r="F25" s="12"/>
      <c r="G25" s="12"/>
      <c r="H25" s="12">
        <v>1</v>
      </c>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3"/>
      <c r="AT25" s="13"/>
      <c r="AU25" s="36">
        <f t="shared" si="0"/>
        <v>1085609.0003327543</v>
      </c>
      <c r="AV25" s="37">
        <f t="shared" si="1"/>
        <v>2171218.0006655087</v>
      </c>
      <c r="AW25" s="35"/>
      <c r="AX25" s="41">
        <v>1103130.0006818632</v>
      </c>
      <c r="AY25" s="37">
        <v>2206260.0013637263</v>
      </c>
      <c r="AZ25" s="35"/>
      <c r="BA25" s="36">
        <v>1087510.3664964002</v>
      </c>
      <c r="BB25" s="37">
        <v>2175020.7329928004</v>
      </c>
      <c r="BC25" s="35"/>
      <c r="BD25" s="36">
        <v>1066186.6338200001</v>
      </c>
      <c r="BE25" s="42">
        <v>2132373.2676400002</v>
      </c>
    </row>
    <row r="26" spans="1:57" x14ac:dyDescent="0.25">
      <c r="A26" s="28">
        <v>23</v>
      </c>
      <c r="B26" s="10" t="s">
        <v>91</v>
      </c>
      <c r="C26" s="10" t="s">
        <v>92</v>
      </c>
      <c r="D26" s="30">
        <f t="shared" si="2"/>
        <v>34</v>
      </c>
      <c r="E26" s="11">
        <v>3</v>
      </c>
      <c r="F26" s="12">
        <v>1</v>
      </c>
      <c r="G26" s="12">
        <v>1</v>
      </c>
      <c r="H26" s="12">
        <v>1</v>
      </c>
      <c r="I26" s="12"/>
      <c r="J26" s="12">
        <v>1</v>
      </c>
      <c r="K26" s="12">
        <v>1</v>
      </c>
      <c r="L26" s="12">
        <v>1</v>
      </c>
      <c r="M26" s="12">
        <v>1</v>
      </c>
      <c r="N26" s="12">
        <v>1</v>
      </c>
      <c r="O26" s="12">
        <v>1</v>
      </c>
      <c r="P26" s="12">
        <v>1</v>
      </c>
      <c r="Q26" s="12">
        <v>1</v>
      </c>
      <c r="R26" s="12"/>
      <c r="S26" s="12"/>
      <c r="T26" s="12"/>
      <c r="U26" s="12">
        <v>1</v>
      </c>
      <c r="V26" s="12">
        <v>1</v>
      </c>
      <c r="W26" s="12">
        <v>1</v>
      </c>
      <c r="X26" s="12">
        <v>1</v>
      </c>
      <c r="Y26" s="12">
        <v>1</v>
      </c>
      <c r="Z26" s="12">
        <v>1</v>
      </c>
      <c r="AA26" s="12">
        <v>1</v>
      </c>
      <c r="AB26" s="12">
        <v>1</v>
      </c>
      <c r="AC26" s="12">
        <v>1</v>
      </c>
      <c r="AD26" s="12">
        <v>1</v>
      </c>
      <c r="AE26" s="12">
        <v>1</v>
      </c>
      <c r="AF26" s="12">
        <v>1</v>
      </c>
      <c r="AG26" s="12">
        <v>1</v>
      </c>
      <c r="AH26" s="12">
        <v>1</v>
      </c>
      <c r="AI26" s="12">
        <v>1</v>
      </c>
      <c r="AJ26" s="12">
        <v>1</v>
      </c>
      <c r="AK26" s="12">
        <v>1</v>
      </c>
      <c r="AL26" s="12"/>
      <c r="AM26" s="12">
        <v>1</v>
      </c>
      <c r="AN26" s="12"/>
      <c r="AO26" s="12">
        <v>1</v>
      </c>
      <c r="AP26" s="12"/>
      <c r="AQ26" s="12"/>
      <c r="AR26" s="12">
        <v>1</v>
      </c>
      <c r="AS26" s="13"/>
      <c r="AT26" s="13"/>
      <c r="AU26" s="36">
        <f t="shared" si="0"/>
        <v>94023.020743960005</v>
      </c>
      <c r="AV26" s="37">
        <f t="shared" si="1"/>
        <v>3196782.7052946403</v>
      </c>
      <c r="AW26" s="35"/>
      <c r="AX26" s="41">
        <v>95948.406834280002</v>
      </c>
      <c r="AY26" s="37">
        <v>3262245.8323655203</v>
      </c>
      <c r="AZ26" s="35"/>
      <c r="BA26" s="36">
        <v>94435.603477600001</v>
      </c>
      <c r="BB26" s="37">
        <v>3210810.5182384001</v>
      </c>
      <c r="BC26" s="35"/>
      <c r="BD26" s="36">
        <v>91685.051919999998</v>
      </c>
      <c r="BE26" s="42">
        <v>3117291.7652799999</v>
      </c>
    </row>
    <row r="27" spans="1:57" ht="42.75" x14ac:dyDescent="0.25">
      <c r="A27" s="28">
        <v>24</v>
      </c>
      <c r="B27" s="10" t="s">
        <v>93</v>
      </c>
      <c r="C27" s="10" t="s">
        <v>94</v>
      </c>
      <c r="D27" s="30">
        <f t="shared" si="2"/>
        <v>3</v>
      </c>
      <c r="E27" s="11">
        <v>2</v>
      </c>
      <c r="F27" s="12"/>
      <c r="G27" s="12"/>
      <c r="H27" s="12">
        <v>1</v>
      </c>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3"/>
      <c r="AT27" s="13"/>
      <c r="AU27" s="36">
        <f t="shared" si="0"/>
        <v>69505.044987093119</v>
      </c>
      <c r="AV27" s="37">
        <f t="shared" si="1"/>
        <v>208515.13496127934</v>
      </c>
      <c r="AW27" s="35"/>
      <c r="AX27" s="41">
        <v>71623.477273879311</v>
      </c>
      <c r="AY27" s="37">
        <v>214870.43182163793</v>
      </c>
      <c r="AZ27" s="35"/>
      <c r="BA27" s="36">
        <v>69123.510317400011</v>
      </c>
      <c r="BB27" s="37">
        <v>207370.53095220003</v>
      </c>
      <c r="BC27" s="35"/>
      <c r="BD27" s="36">
        <v>67768.147370000006</v>
      </c>
      <c r="BE27" s="42">
        <v>203304.44211</v>
      </c>
    </row>
    <row r="28" spans="1:57" ht="42.75" x14ac:dyDescent="0.25">
      <c r="A28" s="28">
        <v>25</v>
      </c>
      <c r="B28" s="10" t="s">
        <v>95</v>
      </c>
      <c r="C28" s="10" t="s">
        <v>96</v>
      </c>
      <c r="D28" s="30">
        <f t="shared" si="2"/>
        <v>11</v>
      </c>
      <c r="E28" s="11">
        <v>1</v>
      </c>
      <c r="F28" s="12">
        <v>1</v>
      </c>
      <c r="G28" s="12">
        <v>1</v>
      </c>
      <c r="H28" s="12">
        <v>1</v>
      </c>
      <c r="I28" s="12"/>
      <c r="J28" s="12"/>
      <c r="K28" s="12"/>
      <c r="L28" s="12"/>
      <c r="M28" s="12"/>
      <c r="N28" s="12">
        <v>1</v>
      </c>
      <c r="O28" s="12"/>
      <c r="P28" s="12">
        <v>1</v>
      </c>
      <c r="Q28" s="12">
        <v>1</v>
      </c>
      <c r="R28" s="12"/>
      <c r="S28" s="12"/>
      <c r="T28" s="12"/>
      <c r="U28" s="12"/>
      <c r="V28" s="12"/>
      <c r="W28" s="12"/>
      <c r="X28" s="12"/>
      <c r="Y28" s="12"/>
      <c r="Z28" s="12"/>
      <c r="AA28" s="12"/>
      <c r="AB28" s="12"/>
      <c r="AC28" s="12"/>
      <c r="AD28" s="12"/>
      <c r="AE28" s="12"/>
      <c r="AF28" s="12"/>
      <c r="AG28" s="12"/>
      <c r="AH28" s="12"/>
      <c r="AI28" s="12">
        <v>1</v>
      </c>
      <c r="AJ28" s="12"/>
      <c r="AK28" s="12"/>
      <c r="AL28" s="12">
        <v>1</v>
      </c>
      <c r="AM28" s="12">
        <v>1</v>
      </c>
      <c r="AN28" s="12"/>
      <c r="AO28" s="12">
        <v>1</v>
      </c>
      <c r="AP28" s="12"/>
      <c r="AQ28" s="12"/>
      <c r="AR28" s="12"/>
      <c r="AS28" s="13"/>
      <c r="AT28" s="13"/>
      <c r="AU28" s="36">
        <f t="shared" si="0"/>
        <v>55606.350195937302</v>
      </c>
      <c r="AV28" s="37">
        <f t="shared" si="1"/>
        <v>611669.85215531033</v>
      </c>
      <c r="AW28" s="35"/>
      <c r="AX28" s="41">
        <v>56853.095912311925</v>
      </c>
      <c r="AY28" s="37">
        <v>625384.05503543117</v>
      </c>
      <c r="AZ28" s="35"/>
      <c r="BA28" s="36">
        <v>56324.0255655</v>
      </c>
      <c r="BB28" s="37">
        <v>619564.28122050001</v>
      </c>
      <c r="BC28" s="35"/>
      <c r="BD28" s="36">
        <v>53641.929109999997</v>
      </c>
      <c r="BE28" s="42">
        <v>590061.22020999994</v>
      </c>
    </row>
    <row r="29" spans="1:57" x14ac:dyDescent="0.25">
      <c r="A29" s="28">
        <v>26</v>
      </c>
      <c r="B29" s="10" t="s">
        <v>97</v>
      </c>
      <c r="C29" s="10" t="s">
        <v>98</v>
      </c>
      <c r="D29" s="30">
        <f t="shared" si="2"/>
        <v>16</v>
      </c>
      <c r="E29" s="11">
        <v>5</v>
      </c>
      <c r="F29" s="12">
        <v>1</v>
      </c>
      <c r="G29" s="12">
        <v>1</v>
      </c>
      <c r="H29" s="12">
        <v>2</v>
      </c>
      <c r="I29" s="12"/>
      <c r="J29" s="12"/>
      <c r="K29" s="12"/>
      <c r="L29" s="12"/>
      <c r="M29" s="12"/>
      <c r="N29" s="12"/>
      <c r="O29" s="12">
        <v>1</v>
      </c>
      <c r="P29" s="12">
        <v>1</v>
      </c>
      <c r="Q29" s="12">
        <v>1</v>
      </c>
      <c r="R29" s="12"/>
      <c r="S29" s="12"/>
      <c r="T29" s="12"/>
      <c r="U29" s="12"/>
      <c r="V29" s="12"/>
      <c r="W29" s="12"/>
      <c r="X29" s="12"/>
      <c r="Y29" s="12"/>
      <c r="Z29" s="12"/>
      <c r="AA29" s="12"/>
      <c r="AB29" s="12"/>
      <c r="AC29" s="12"/>
      <c r="AD29" s="12"/>
      <c r="AE29" s="12"/>
      <c r="AF29" s="12"/>
      <c r="AG29" s="12"/>
      <c r="AH29" s="12"/>
      <c r="AI29" s="12">
        <v>1</v>
      </c>
      <c r="AJ29" s="12"/>
      <c r="AK29" s="12"/>
      <c r="AL29" s="12">
        <v>1</v>
      </c>
      <c r="AM29" s="12">
        <v>1</v>
      </c>
      <c r="AN29" s="12"/>
      <c r="AO29" s="12">
        <v>1</v>
      </c>
      <c r="AP29" s="12"/>
      <c r="AQ29" s="12"/>
      <c r="AR29" s="12"/>
      <c r="AS29" s="13"/>
      <c r="AT29" s="13"/>
      <c r="AU29" s="36">
        <f t="shared" si="0"/>
        <v>103655.06160740498</v>
      </c>
      <c r="AV29" s="37">
        <f t="shared" si="1"/>
        <v>1658480.9857184796</v>
      </c>
      <c r="AW29" s="35"/>
      <c r="AX29" s="41">
        <v>106230.96599461498</v>
      </c>
      <c r="AY29" s="37">
        <v>1699695.4559138396</v>
      </c>
      <c r="AZ29" s="35"/>
      <c r="BA29" s="36">
        <v>104374.30763759998</v>
      </c>
      <c r="BB29" s="37">
        <v>1669988.9222015997</v>
      </c>
      <c r="BC29" s="35"/>
      <c r="BD29" s="36">
        <v>100359.91118999998</v>
      </c>
      <c r="BE29" s="42">
        <v>1605758.5790399997</v>
      </c>
    </row>
    <row r="30" spans="1:57" ht="71.25" x14ac:dyDescent="0.25">
      <c r="A30" s="28">
        <v>27</v>
      </c>
      <c r="B30" s="16" t="s">
        <v>99</v>
      </c>
      <c r="C30" s="10" t="s">
        <v>100</v>
      </c>
      <c r="D30" s="30">
        <f t="shared" si="2"/>
        <v>13</v>
      </c>
      <c r="E30" s="11"/>
      <c r="F30" s="12"/>
      <c r="G30" s="12"/>
      <c r="H30" s="12"/>
      <c r="I30" s="12">
        <v>1</v>
      </c>
      <c r="J30" s="12">
        <v>1</v>
      </c>
      <c r="K30" s="12">
        <v>1</v>
      </c>
      <c r="L30" s="12">
        <v>1</v>
      </c>
      <c r="M30" s="12">
        <v>1</v>
      </c>
      <c r="N30" s="12"/>
      <c r="O30" s="12"/>
      <c r="P30" s="12"/>
      <c r="Q30" s="12"/>
      <c r="R30" s="12">
        <v>1</v>
      </c>
      <c r="S30" s="12">
        <v>1</v>
      </c>
      <c r="T30" s="12"/>
      <c r="U30" s="12">
        <v>1</v>
      </c>
      <c r="V30" s="12"/>
      <c r="W30" s="12"/>
      <c r="X30" s="12"/>
      <c r="Y30" s="12"/>
      <c r="Z30" s="12"/>
      <c r="AA30" s="12">
        <v>1</v>
      </c>
      <c r="AB30" s="12"/>
      <c r="AC30" s="12"/>
      <c r="AD30" s="12"/>
      <c r="AE30" s="12"/>
      <c r="AF30" s="12"/>
      <c r="AG30" s="12"/>
      <c r="AH30" s="12"/>
      <c r="AI30" s="12"/>
      <c r="AJ30" s="12">
        <v>1</v>
      </c>
      <c r="AK30" s="12">
        <v>1</v>
      </c>
      <c r="AL30" s="12"/>
      <c r="AM30" s="12"/>
      <c r="AN30" s="12">
        <v>1</v>
      </c>
      <c r="AO30" s="12"/>
      <c r="AP30" s="12"/>
      <c r="AQ30" s="12">
        <v>1</v>
      </c>
      <c r="AR30" s="12"/>
      <c r="AS30" s="13"/>
      <c r="AT30" s="13"/>
      <c r="AU30" s="36">
        <f t="shared" si="0"/>
        <v>174603.01223149398</v>
      </c>
      <c r="AV30" s="37">
        <f t="shared" si="1"/>
        <v>2269839.1590094217</v>
      </c>
      <c r="AW30" s="35"/>
      <c r="AX30" s="41">
        <v>180141.72807908198</v>
      </c>
      <c r="AY30" s="37">
        <v>2341842.4650280657</v>
      </c>
      <c r="AZ30" s="35"/>
      <c r="BA30" s="36">
        <v>176838.5180254</v>
      </c>
      <c r="BB30" s="37">
        <v>2298900.7343302001</v>
      </c>
      <c r="BC30" s="35"/>
      <c r="BD30" s="36">
        <v>166828.79058999999</v>
      </c>
      <c r="BE30" s="42">
        <v>2168774.2776699997</v>
      </c>
    </row>
    <row r="31" spans="1:57" ht="28.5" x14ac:dyDescent="0.25">
      <c r="A31" s="28">
        <v>28</v>
      </c>
      <c r="B31" s="16" t="s">
        <v>101</v>
      </c>
      <c r="C31" s="10" t="s">
        <v>102</v>
      </c>
      <c r="D31" s="30">
        <f t="shared" si="2"/>
        <v>2</v>
      </c>
      <c r="E31" s="11">
        <v>1</v>
      </c>
      <c r="F31" s="12"/>
      <c r="G31" s="12"/>
      <c r="H31" s="12"/>
      <c r="I31" s="12">
        <v>1</v>
      </c>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3"/>
      <c r="AT31" s="13"/>
      <c r="AU31" s="36">
        <f t="shared" si="0"/>
        <v>182350.12534892999</v>
      </c>
      <c r="AV31" s="37">
        <f t="shared" si="1"/>
        <v>364700.25069785997</v>
      </c>
      <c r="AW31" s="35"/>
      <c r="AX31" s="41">
        <v>191674.34787038999</v>
      </c>
      <c r="AY31" s="37">
        <v>383348.69574077998</v>
      </c>
      <c r="AZ31" s="35"/>
      <c r="BA31" s="36">
        <v>179447.30135639998</v>
      </c>
      <c r="BB31" s="37">
        <v>358894.60271279997</v>
      </c>
      <c r="BC31" s="35"/>
      <c r="BD31" s="36">
        <v>175928.72681999998</v>
      </c>
      <c r="BE31" s="42">
        <v>351857.45363999996</v>
      </c>
    </row>
    <row r="32" spans="1:57" x14ac:dyDescent="0.25">
      <c r="A32" s="28">
        <v>29</v>
      </c>
      <c r="B32" s="10" t="s">
        <v>103</v>
      </c>
      <c r="C32" s="10" t="s">
        <v>104</v>
      </c>
      <c r="D32" s="30">
        <f t="shared" si="2"/>
        <v>1</v>
      </c>
      <c r="E32" s="11">
        <v>1</v>
      </c>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3"/>
      <c r="AT32" s="13"/>
      <c r="AU32" s="36">
        <f t="shared" si="0"/>
        <v>419189.64410400001</v>
      </c>
      <c r="AV32" s="37">
        <f t="shared" si="1"/>
        <v>419189.64410400001</v>
      </c>
      <c r="AW32" s="35"/>
      <c r="AX32" s="41">
        <v>439151.05572800001</v>
      </c>
      <c r="AY32" s="37">
        <v>439151.05572800001</v>
      </c>
      <c r="AZ32" s="35"/>
      <c r="BA32" s="36">
        <v>419189.64410400001</v>
      </c>
      <c r="BB32" s="37">
        <v>419189.64410400001</v>
      </c>
      <c r="BC32" s="35"/>
      <c r="BD32" s="36">
        <v>399228.23248000001</v>
      </c>
      <c r="BE32" s="42">
        <v>399228.23248000001</v>
      </c>
    </row>
    <row r="33" spans="1:57" ht="57" x14ac:dyDescent="0.25">
      <c r="A33" s="28">
        <v>30</v>
      </c>
      <c r="B33" s="17" t="s">
        <v>105</v>
      </c>
      <c r="C33" s="10" t="s">
        <v>106</v>
      </c>
      <c r="D33" s="30">
        <f t="shared" si="2"/>
        <v>2</v>
      </c>
      <c r="E33" s="18">
        <v>2</v>
      </c>
      <c r="F33" s="19"/>
      <c r="G33" s="19"/>
      <c r="H33" s="19"/>
      <c r="I33" s="19"/>
      <c r="J33" s="19"/>
      <c r="K33" s="19"/>
      <c r="L33" s="19"/>
      <c r="M33" s="19"/>
      <c r="N33" s="19"/>
      <c r="O33" s="19"/>
      <c r="P33" s="19"/>
      <c r="Q33" s="19"/>
      <c r="R33" s="19"/>
      <c r="S33" s="19"/>
      <c r="T33" s="19"/>
      <c r="U33" s="19"/>
      <c r="V33" s="19"/>
      <c r="W33" s="19"/>
      <c r="X33" s="19"/>
      <c r="Y33" s="19"/>
      <c r="Z33" s="19"/>
      <c r="AA33" s="19"/>
      <c r="AB33" s="19"/>
      <c r="AC33" s="19"/>
      <c r="AD33" s="19"/>
      <c r="AE33" s="19"/>
      <c r="AF33" s="19"/>
      <c r="AG33" s="19"/>
      <c r="AH33" s="19"/>
      <c r="AI33" s="19"/>
      <c r="AJ33" s="19"/>
      <c r="AK33" s="19"/>
      <c r="AL33" s="19"/>
      <c r="AM33" s="19"/>
      <c r="AN33" s="19"/>
      <c r="AO33" s="19"/>
      <c r="AP33" s="19"/>
      <c r="AQ33" s="19"/>
      <c r="AR33" s="19"/>
      <c r="AS33" s="20"/>
      <c r="AT33" s="20"/>
      <c r="AU33" s="36">
        <f t="shared" si="0"/>
        <v>145435.21119050001</v>
      </c>
      <c r="AV33" s="37">
        <f t="shared" si="1"/>
        <v>290870.42238100001</v>
      </c>
      <c r="AW33" s="35"/>
      <c r="AX33" s="41">
        <v>148413.40664150001</v>
      </c>
      <c r="AY33" s="37">
        <v>296826.81328300002</v>
      </c>
      <c r="AZ33" s="35"/>
      <c r="BA33" s="36">
        <v>146073.39593</v>
      </c>
      <c r="BB33" s="37">
        <v>292146.79186</v>
      </c>
      <c r="BC33" s="35"/>
      <c r="BD33" s="36">
        <v>141818.83100000001</v>
      </c>
      <c r="BE33" s="42">
        <v>283637.66200000001</v>
      </c>
    </row>
    <row r="34" spans="1:57" x14ac:dyDescent="0.25">
      <c r="A34" s="28">
        <v>31</v>
      </c>
      <c r="B34" s="17" t="s">
        <v>107</v>
      </c>
      <c r="C34" s="10" t="s">
        <v>125</v>
      </c>
      <c r="D34" s="30">
        <f t="shared" si="2"/>
        <v>1</v>
      </c>
      <c r="E34" s="34">
        <v>1</v>
      </c>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3"/>
      <c r="AT34" s="13"/>
      <c r="AU34" s="36">
        <f t="shared" si="0"/>
        <v>148835.83952159999</v>
      </c>
      <c r="AV34" s="37">
        <f t="shared" si="1"/>
        <v>148835.83952159999</v>
      </c>
      <c r="AW34" s="35"/>
      <c r="AX34" s="41">
        <v>162616.93577360001</v>
      </c>
      <c r="AY34" s="37">
        <v>162616.93577360001</v>
      </c>
      <c r="AZ34" s="35"/>
      <c r="BA34" s="36">
        <v>146079.62027119999</v>
      </c>
      <c r="BB34" s="37">
        <v>146079.62027119999</v>
      </c>
      <c r="BC34" s="35"/>
      <c r="BD34" s="36">
        <v>137810.96252</v>
      </c>
      <c r="BE34" s="42">
        <v>137810.96252</v>
      </c>
    </row>
    <row r="35" spans="1:57" ht="15.75" thickBot="1" x14ac:dyDescent="0.3">
      <c r="A35" s="21"/>
      <c r="B35" s="21"/>
      <c r="C35" s="21"/>
      <c r="D35" s="22"/>
      <c r="E35" s="21"/>
      <c r="F35" s="21"/>
      <c r="G35" s="21"/>
      <c r="H35" s="21"/>
      <c r="I35" s="21"/>
      <c r="J35" s="21"/>
      <c r="K35" s="21"/>
      <c r="L35" s="21"/>
      <c r="M35" s="21"/>
      <c r="N35" s="21"/>
      <c r="O35" s="21"/>
      <c r="P35" s="21"/>
      <c r="Q35" s="21"/>
      <c r="R35" s="21"/>
      <c r="S35" s="21"/>
      <c r="T35" s="21"/>
      <c r="U35" s="21"/>
      <c r="V35" s="21"/>
      <c r="W35" s="21"/>
      <c r="X35" s="21"/>
      <c r="Y35" s="21"/>
      <c r="Z35" s="21"/>
      <c r="AA35" s="21"/>
      <c r="AB35" s="21"/>
      <c r="AC35" s="21"/>
      <c r="AD35" s="21"/>
      <c r="AE35" s="21"/>
      <c r="AF35" s="21"/>
      <c r="AG35" s="21"/>
      <c r="AH35" s="21"/>
      <c r="AI35" s="21"/>
      <c r="AJ35" s="21"/>
      <c r="AK35" s="21"/>
      <c r="AL35" s="21"/>
      <c r="AM35" s="21"/>
      <c r="AN35" s="21"/>
      <c r="AO35" s="21"/>
      <c r="AP35" s="21"/>
      <c r="AQ35" s="21"/>
      <c r="AR35" s="21"/>
      <c r="AS35" s="21"/>
      <c r="AT35" s="21"/>
      <c r="AU35" s="32" t="s">
        <v>108</v>
      </c>
      <c r="AV35" s="8">
        <f>SUM(AV4:AV34)</f>
        <v>54288329.140434176</v>
      </c>
      <c r="AX35" s="43" t="s">
        <v>108</v>
      </c>
      <c r="AY35" s="8">
        <f>SUM(AY4:AY34)</f>
        <v>55116773.58929456</v>
      </c>
      <c r="BA35" s="32" t="s">
        <v>108</v>
      </c>
      <c r="BB35" s="8">
        <f>SUM(BB4:BB34)</f>
        <v>54522868.450785346</v>
      </c>
      <c r="BD35" s="32" t="s">
        <v>108</v>
      </c>
      <c r="BE35" s="44">
        <f>SUM(BE4:BE34)</f>
        <v>52439435.72945001</v>
      </c>
    </row>
    <row r="36" spans="1:57" ht="29.25" customHeight="1" x14ac:dyDescent="0.25">
      <c r="A36" s="21"/>
      <c r="B36" s="215" t="s">
        <v>124</v>
      </c>
      <c r="C36" s="216"/>
      <c r="D36" s="21"/>
      <c r="E36" s="21"/>
      <c r="F36" s="21"/>
      <c r="G36" s="21"/>
      <c r="H36" s="21"/>
      <c r="I36" s="21"/>
      <c r="J36" s="21"/>
      <c r="K36" s="21"/>
      <c r="L36" s="21"/>
      <c r="M36" s="21"/>
      <c r="N36" s="21"/>
      <c r="O36" s="21"/>
      <c r="P36" s="21"/>
      <c r="Q36" s="21"/>
      <c r="R36" s="21"/>
      <c r="S36" s="21"/>
      <c r="T36" s="21"/>
      <c r="U36" s="21"/>
      <c r="V36" s="21"/>
      <c r="W36" s="21"/>
      <c r="X36" s="21"/>
      <c r="Y36" s="21"/>
      <c r="Z36" s="21"/>
      <c r="AA36" s="21"/>
      <c r="AB36" s="21"/>
      <c r="AC36" s="21"/>
      <c r="AD36" s="21"/>
      <c r="AE36" s="21"/>
      <c r="AF36" s="21"/>
      <c r="AG36" s="21"/>
      <c r="AH36" s="21"/>
      <c r="AI36" s="21"/>
      <c r="AJ36" s="21"/>
      <c r="AK36" s="21"/>
      <c r="AL36" s="21"/>
      <c r="AM36" s="21"/>
      <c r="AN36" s="21"/>
      <c r="AO36" s="21"/>
      <c r="AP36" s="21"/>
      <c r="AQ36" s="21"/>
      <c r="AR36" s="21"/>
      <c r="AS36" s="21"/>
      <c r="AT36" s="21"/>
      <c r="AU36" s="32" t="s">
        <v>109</v>
      </c>
      <c r="AV36" s="8">
        <f>AV35*10%</f>
        <v>5428832.9140434181</v>
      </c>
      <c r="AX36" s="43" t="s">
        <v>109</v>
      </c>
      <c r="AY36" s="8">
        <f>AY35*10%</f>
        <v>5511677.3589294562</v>
      </c>
      <c r="BA36" s="32" t="s">
        <v>109</v>
      </c>
      <c r="BB36" s="8">
        <f>BB35*10%</f>
        <v>5452286.8450785354</v>
      </c>
      <c r="BD36" s="32" t="s">
        <v>109</v>
      </c>
      <c r="BE36" s="44">
        <f>BE35*10%</f>
        <v>5243943.5729450015</v>
      </c>
    </row>
    <row r="37" spans="1:57" ht="28.5" customHeight="1" x14ac:dyDescent="0.25">
      <c r="A37" s="21"/>
      <c r="B37" s="217" t="s">
        <v>110</v>
      </c>
      <c r="C37" s="218"/>
      <c r="D37" s="21"/>
      <c r="E37" s="21"/>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c r="AF37" s="21"/>
      <c r="AG37" s="21"/>
      <c r="AH37" s="21"/>
      <c r="AI37" s="21"/>
      <c r="AJ37" s="21"/>
      <c r="AK37" s="21"/>
      <c r="AL37" s="21"/>
      <c r="AM37" s="21"/>
      <c r="AN37" s="21"/>
      <c r="AO37" s="21"/>
      <c r="AP37" s="21"/>
      <c r="AQ37" s="21"/>
      <c r="AR37" s="21"/>
      <c r="AS37" s="21"/>
      <c r="AT37" s="21"/>
      <c r="AU37" s="32" t="s">
        <v>111</v>
      </c>
      <c r="AV37" s="8">
        <f>+AV36*19%</f>
        <v>1031478.2536682495</v>
      </c>
      <c r="AX37" s="43" t="s">
        <v>111</v>
      </c>
      <c r="AY37" s="8">
        <f>+AY36*19%</f>
        <v>1047218.6981965967</v>
      </c>
      <c r="BA37" s="32" t="s">
        <v>111</v>
      </c>
      <c r="BB37" s="8">
        <f>+BB36*19%</f>
        <v>1035934.5005649218</v>
      </c>
      <c r="BD37" s="32" t="s">
        <v>111</v>
      </c>
      <c r="BE37" s="44">
        <f>+BE36*19%</f>
        <v>996349.27885955025</v>
      </c>
    </row>
    <row r="38" spans="1:57" ht="15.75" thickBot="1" x14ac:dyDescent="0.3">
      <c r="A38" s="21"/>
      <c r="B38" s="223" t="s">
        <v>112</v>
      </c>
      <c r="C38" s="224"/>
      <c r="D38" s="21"/>
      <c r="E38" s="21"/>
      <c r="F38" s="21"/>
      <c r="G38" s="21"/>
      <c r="H38" s="21"/>
      <c r="I38" s="21"/>
      <c r="J38" s="21"/>
      <c r="K38" s="21"/>
      <c r="L38" s="21"/>
      <c r="M38" s="21"/>
      <c r="N38" s="21"/>
      <c r="O38" s="21"/>
      <c r="P38" s="21"/>
      <c r="Q38" s="21"/>
      <c r="R38" s="21"/>
      <c r="S38" s="21"/>
      <c r="T38" s="21"/>
      <c r="U38" s="21"/>
      <c r="V38" s="21"/>
      <c r="W38" s="21"/>
      <c r="X38" s="21"/>
      <c r="Y38" s="21"/>
      <c r="Z38" s="21"/>
      <c r="AA38" s="21"/>
      <c r="AB38" s="21"/>
      <c r="AC38" s="21"/>
      <c r="AD38" s="21"/>
      <c r="AE38" s="21"/>
      <c r="AF38" s="21"/>
      <c r="AG38" s="21"/>
      <c r="AH38" s="21"/>
      <c r="AI38" s="21"/>
      <c r="AJ38" s="21"/>
      <c r="AK38" s="21"/>
      <c r="AL38" s="21"/>
      <c r="AM38" s="21"/>
      <c r="AN38" s="21"/>
      <c r="AO38" s="21"/>
      <c r="AP38" s="21"/>
      <c r="AQ38" s="21"/>
      <c r="AR38" s="21"/>
      <c r="AS38" s="21"/>
      <c r="AT38" s="21"/>
      <c r="AU38" s="33" t="s">
        <v>113</v>
      </c>
      <c r="AV38" s="23">
        <f>+AV35+AV37</f>
        <v>55319807.394102424</v>
      </c>
      <c r="AX38" s="45" t="s">
        <v>113</v>
      </c>
      <c r="AY38" s="46">
        <f>+AY35+AY37</f>
        <v>56163992.287491158</v>
      </c>
      <c r="AZ38" s="47"/>
      <c r="BA38" s="48" t="s">
        <v>113</v>
      </c>
      <c r="BB38" s="46">
        <f>+BB35+BB37</f>
        <v>55558802.951350272</v>
      </c>
      <c r="BC38" s="47"/>
      <c r="BD38" s="48" t="s">
        <v>113</v>
      </c>
      <c r="BE38" s="49">
        <f>+BE35+BE37</f>
        <v>53435785.008309558</v>
      </c>
    </row>
    <row r="39" spans="1:57" x14ac:dyDescent="0.25">
      <c r="B39" s="221" t="s">
        <v>114</v>
      </c>
      <c r="C39" s="222"/>
    </row>
    <row r="40" spans="1:57" x14ac:dyDescent="0.25">
      <c r="B40" s="221" t="s">
        <v>115</v>
      </c>
      <c r="C40" s="222"/>
      <c r="AU40" s="24"/>
      <c r="AV40" s="24"/>
    </row>
    <row r="41" spans="1:57" x14ac:dyDescent="0.25">
      <c r="B41" s="221" t="s">
        <v>116</v>
      </c>
      <c r="C41" s="222"/>
      <c r="AU41" s="25"/>
    </row>
    <row r="42" spans="1:57" x14ac:dyDescent="0.25">
      <c r="B42" s="221" t="s">
        <v>117</v>
      </c>
      <c r="C42" s="222"/>
      <c r="AV42" s="26"/>
    </row>
    <row r="43" spans="1:57" x14ac:dyDescent="0.25">
      <c r="B43" s="221" t="s">
        <v>118</v>
      </c>
      <c r="C43" s="222"/>
      <c r="AV43" s="27"/>
    </row>
    <row r="44" spans="1:57" x14ac:dyDescent="0.25">
      <c r="B44" s="221" t="s">
        <v>119</v>
      </c>
      <c r="C44" s="222"/>
    </row>
    <row r="45" spans="1:57" ht="15.75" thickBot="1" x14ac:dyDescent="0.3">
      <c r="B45" s="219" t="s">
        <v>120</v>
      </c>
      <c r="C45" s="220"/>
    </row>
    <row r="49" spans="2:13" x14ac:dyDescent="0.25">
      <c r="B49" s="210" t="s">
        <v>126</v>
      </c>
      <c r="C49" s="210"/>
      <c r="D49" s="210"/>
      <c r="E49" s="210"/>
      <c r="F49" s="210"/>
      <c r="G49" s="210"/>
      <c r="H49" s="210"/>
      <c r="I49" s="210"/>
      <c r="J49" s="210"/>
      <c r="K49" s="210"/>
      <c r="L49" s="210"/>
      <c r="M49" s="210"/>
    </row>
    <row r="50" spans="2:13" x14ac:dyDescent="0.25">
      <c r="B50" s="211" t="s">
        <v>127</v>
      </c>
      <c r="C50" s="211"/>
      <c r="D50" s="211"/>
      <c r="E50" s="211"/>
      <c r="F50" s="211"/>
      <c r="G50" s="211"/>
      <c r="H50" s="211"/>
      <c r="I50" s="211"/>
      <c r="J50" s="211"/>
      <c r="K50" s="211"/>
      <c r="L50" s="211"/>
      <c r="M50" s="211"/>
    </row>
  </sheetData>
  <mergeCells count="19">
    <mergeCell ref="B50:M50"/>
    <mergeCell ref="A2:D2"/>
    <mergeCell ref="AU2:AV2"/>
    <mergeCell ref="H3:I3"/>
    <mergeCell ref="B36:C36"/>
    <mergeCell ref="B37:C37"/>
    <mergeCell ref="B45:C45"/>
    <mergeCell ref="B39:C39"/>
    <mergeCell ref="B40:C40"/>
    <mergeCell ref="B41:C41"/>
    <mergeCell ref="B42:C42"/>
    <mergeCell ref="B43:C43"/>
    <mergeCell ref="B44:C44"/>
    <mergeCell ref="B38:C38"/>
    <mergeCell ref="AX2:AY2"/>
    <mergeCell ref="BA2:BB2"/>
    <mergeCell ref="BD2:BE2"/>
    <mergeCell ref="E1:AS1"/>
    <mergeCell ref="B49:M49"/>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F11C5B-5098-4398-A1D0-F6F3D021CD1B}">
  <dimension ref="A1:AI93"/>
  <sheetViews>
    <sheetView zoomScale="70" zoomScaleNormal="70" workbookViewId="0">
      <pane xSplit="8" ySplit="12" topLeftCell="Y78" activePane="bottomRight" state="frozen"/>
      <selection pane="topRight" activeCell="I1" sqref="I1"/>
      <selection pane="bottomLeft" activeCell="A13" sqref="A13"/>
      <selection pane="bottomRight" activeCell="AE2" sqref="AD2:AE2"/>
    </sheetView>
  </sheetViews>
  <sheetFormatPr baseColWidth="10" defaultColWidth="11.42578125" defaultRowHeight="15" x14ac:dyDescent="0.25"/>
  <cols>
    <col min="1" max="1" width="41.140625" style="52" customWidth="1"/>
    <col min="2" max="2" width="23.7109375" style="52" customWidth="1"/>
    <col min="3" max="3" width="20.42578125" style="52" customWidth="1"/>
    <col min="4" max="4" width="12.85546875" style="52" customWidth="1"/>
    <col min="5" max="5" width="11.42578125" style="52"/>
    <col min="6" max="6" width="7.7109375" style="123" customWidth="1"/>
    <col min="7" max="7" width="13.140625" style="123" customWidth="1"/>
    <col min="8" max="8" width="7.7109375" style="123" customWidth="1"/>
    <col min="9" max="9" width="16" style="52" bestFit="1" customWidth="1"/>
    <col min="10" max="10" width="14.42578125" style="52" bestFit="1" customWidth="1"/>
    <col min="11" max="11" width="11.42578125" style="52"/>
    <col min="12" max="12" width="15.42578125" style="52" customWidth="1"/>
    <col min="13" max="13" width="14.42578125" style="52" bestFit="1" customWidth="1"/>
    <col min="14" max="14" width="12.85546875" style="52" bestFit="1" customWidth="1"/>
    <col min="15" max="15" width="29.140625" style="52" bestFit="1" customWidth="1"/>
    <col min="16" max="16" width="16.85546875" style="52" bestFit="1" customWidth="1"/>
    <col min="17" max="17" width="11.42578125" style="52"/>
    <col min="18" max="18" width="17.28515625" style="52" bestFit="1" customWidth="1"/>
    <col min="19" max="19" width="11.42578125" style="52"/>
    <col min="20" max="20" width="13.7109375" style="52" customWidth="1"/>
    <col min="21" max="21" width="14.140625" style="52" bestFit="1" customWidth="1"/>
    <col min="22" max="22" width="13.140625" style="52" bestFit="1" customWidth="1"/>
    <col min="23" max="23" width="31" style="52" bestFit="1" customWidth="1"/>
    <col min="24" max="29" width="19" style="52" customWidth="1"/>
    <col min="30" max="30" width="33" style="52" bestFit="1" customWidth="1"/>
    <col min="31" max="31" width="31" style="52" customWidth="1"/>
    <col min="32" max="32" width="11.42578125" style="52"/>
    <col min="33" max="33" width="18.5703125" style="52" bestFit="1" customWidth="1"/>
    <col min="34" max="34" width="20.140625" style="52" bestFit="1" customWidth="1"/>
    <col min="35" max="35" width="17.140625" style="52" bestFit="1" customWidth="1"/>
    <col min="36" max="16384" width="11.42578125" style="52"/>
  </cols>
  <sheetData>
    <row r="1" spans="1:35" x14ac:dyDescent="0.25">
      <c r="A1" s="231" t="s">
        <v>132</v>
      </c>
      <c r="B1" s="232"/>
      <c r="C1" s="232"/>
      <c r="D1" s="232"/>
      <c r="E1" s="232"/>
      <c r="F1" s="232"/>
      <c r="G1" s="232"/>
      <c r="H1" s="233"/>
    </row>
    <row r="2" spans="1:35" ht="72.75" customHeight="1" x14ac:dyDescent="0.25">
      <c r="A2" s="234"/>
      <c r="B2" s="235"/>
      <c r="C2" s="235"/>
      <c r="D2" s="235"/>
      <c r="E2" s="235"/>
      <c r="F2" s="235"/>
      <c r="G2" s="235"/>
      <c r="H2" s="236"/>
      <c r="AD2" s="187"/>
    </row>
    <row r="3" spans="1:35" ht="14.25" customHeight="1" x14ac:dyDescent="0.25">
      <c r="A3" s="53"/>
      <c r="B3" s="53"/>
      <c r="C3" s="53"/>
      <c r="D3" s="53"/>
      <c r="E3" s="53"/>
      <c r="F3" s="53"/>
      <c r="G3" s="53"/>
      <c r="H3" s="53"/>
    </row>
    <row r="4" spans="1:35" ht="30.75" customHeight="1" x14ac:dyDescent="0.25">
      <c r="A4" s="237" t="s">
        <v>133</v>
      </c>
      <c r="B4" s="238"/>
      <c r="C4" s="238"/>
      <c r="D4" s="239">
        <f>+'ESTUDIOS POLIZAS'!B14</f>
        <v>3130.5555555555552</v>
      </c>
      <c r="E4" s="239"/>
      <c r="F4" s="239"/>
      <c r="G4" s="239"/>
      <c r="H4" s="239"/>
    </row>
    <row r="5" spans="1:35" ht="30.75" customHeight="1" x14ac:dyDescent="0.25">
      <c r="A5" s="240" t="s">
        <v>134</v>
      </c>
      <c r="B5" s="241"/>
      <c r="C5" s="241"/>
      <c r="D5" s="242">
        <f>+'ESTUDIOS MEDIOS TECN'!AV35</f>
        <v>54288329.140434176</v>
      </c>
      <c r="E5" s="242"/>
      <c r="F5" s="242"/>
      <c r="G5" s="242"/>
      <c r="H5" s="242"/>
    </row>
    <row r="6" spans="1:35" ht="11.25" customHeight="1" x14ac:dyDescent="0.25">
      <c r="A6" s="56"/>
      <c r="B6" s="57"/>
      <c r="C6" s="57"/>
      <c r="D6" s="57"/>
      <c r="E6" s="57"/>
      <c r="F6" s="57"/>
      <c r="G6" s="57"/>
      <c r="H6" s="57"/>
    </row>
    <row r="7" spans="1:35" ht="20.25" hidden="1" customHeight="1" x14ac:dyDescent="0.25">
      <c r="A7" s="248" t="s">
        <v>135</v>
      </c>
      <c r="B7" s="249"/>
      <c r="C7" s="250"/>
      <c r="D7" s="251">
        <v>9.77</v>
      </c>
      <c r="E7" s="252"/>
      <c r="F7" s="252"/>
      <c r="G7" s="252"/>
      <c r="H7" s="253"/>
    </row>
    <row r="8" spans="1:35" ht="20.25" hidden="1" customHeight="1" x14ac:dyDescent="0.25">
      <c r="A8" s="248" t="s">
        <v>136</v>
      </c>
      <c r="B8" s="249"/>
      <c r="C8" s="250"/>
      <c r="D8" s="251">
        <v>9.85</v>
      </c>
      <c r="E8" s="252"/>
      <c r="F8" s="252"/>
      <c r="G8" s="252"/>
      <c r="H8" s="253"/>
    </row>
    <row r="9" spans="1:35" ht="20.25" customHeight="1" thickBot="1" x14ac:dyDescent="0.3">
      <c r="A9" s="248" t="s">
        <v>137</v>
      </c>
      <c r="B9" s="249"/>
      <c r="C9" s="250"/>
      <c r="D9" s="251">
        <v>10.210000000000001</v>
      </c>
      <c r="E9" s="252"/>
      <c r="F9" s="252"/>
      <c r="G9" s="252"/>
      <c r="H9" s="253"/>
    </row>
    <row r="10" spans="1:35" customFormat="1" ht="68.25" customHeight="1" thickBot="1" x14ac:dyDescent="0.3">
      <c r="A10" s="254"/>
      <c r="B10" s="254"/>
      <c r="C10" s="254"/>
      <c r="D10" s="254"/>
      <c r="E10" s="254"/>
      <c r="F10" s="254"/>
      <c r="G10" s="254"/>
      <c r="H10" s="255"/>
      <c r="I10" s="243" t="s">
        <v>317</v>
      </c>
      <c r="J10" s="244"/>
      <c r="K10" s="244"/>
      <c r="L10" s="244"/>
      <c r="M10" s="244"/>
      <c r="N10" s="244"/>
      <c r="O10" s="245"/>
      <c r="Q10" s="243" t="s">
        <v>314</v>
      </c>
      <c r="R10" s="244"/>
      <c r="S10" s="244"/>
      <c r="T10" s="244"/>
      <c r="U10" s="244"/>
      <c r="V10" s="244"/>
      <c r="W10" s="245"/>
      <c r="X10" s="243" t="s">
        <v>336</v>
      </c>
      <c r="Y10" s="244"/>
      <c r="Z10" s="244"/>
      <c r="AA10" s="244"/>
      <c r="AB10" s="244"/>
      <c r="AC10" s="244"/>
      <c r="AD10" s="245"/>
      <c r="AE10" s="186" t="s">
        <v>46</v>
      </c>
    </row>
    <row r="11" spans="1:35" customFormat="1" ht="25.5" customHeight="1" x14ac:dyDescent="0.25">
      <c r="A11" s="58"/>
      <c r="B11" s="58"/>
      <c r="C11" s="58"/>
      <c r="D11" s="58"/>
      <c r="E11" s="58"/>
      <c r="F11" s="58"/>
      <c r="G11" s="58"/>
      <c r="H11" s="58"/>
      <c r="I11" s="59"/>
      <c r="M11" s="60">
        <v>0.1</v>
      </c>
      <c r="O11" s="61"/>
      <c r="Q11" s="59"/>
      <c r="U11" s="60">
        <v>0.1</v>
      </c>
      <c r="W11" s="61"/>
      <c r="X11" s="58"/>
      <c r="Y11" s="58"/>
      <c r="Z11" s="58"/>
      <c r="AA11" s="58"/>
      <c r="AB11" s="58"/>
      <c r="AC11" s="58"/>
      <c r="AD11" s="58"/>
      <c r="AE11" s="58"/>
      <c r="AG11" s="204" t="s">
        <v>332</v>
      </c>
      <c r="AH11" s="204"/>
      <c r="AI11" s="204"/>
    </row>
    <row r="12" spans="1:35" customFormat="1" ht="69.75" customHeight="1" x14ac:dyDescent="0.25">
      <c r="A12" s="62" t="s">
        <v>138</v>
      </c>
      <c r="B12" s="62" t="s">
        <v>139</v>
      </c>
      <c r="C12" s="62" t="s">
        <v>140</v>
      </c>
      <c r="D12" s="62" t="s">
        <v>141</v>
      </c>
      <c r="E12" s="63" t="s">
        <v>142</v>
      </c>
      <c r="F12" s="64" t="s">
        <v>143</v>
      </c>
      <c r="G12" s="65" t="s">
        <v>144</v>
      </c>
      <c r="H12" s="66" t="s">
        <v>145</v>
      </c>
      <c r="I12" s="67" t="s">
        <v>146</v>
      </c>
      <c r="J12" s="62" t="s">
        <v>147</v>
      </c>
      <c r="K12" s="62" t="s">
        <v>148</v>
      </c>
      <c r="L12" s="68" t="s">
        <v>149</v>
      </c>
      <c r="M12" s="68" t="s">
        <v>150</v>
      </c>
      <c r="N12" s="68" t="s">
        <v>151</v>
      </c>
      <c r="O12" s="69" t="s">
        <v>152</v>
      </c>
      <c r="Q12" s="67" t="s">
        <v>146</v>
      </c>
      <c r="R12" s="62" t="s">
        <v>147</v>
      </c>
      <c r="S12" s="62" t="s">
        <v>148</v>
      </c>
      <c r="T12" s="68" t="s">
        <v>149</v>
      </c>
      <c r="U12" s="68" t="s">
        <v>150</v>
      </c>
      <c r="V12" s="68" t="s">
        <v>151</v>
      </c>
      <c r="W12" s="165" t="s">
        <v>152</v>
      </c>
      <c r="X12" s="67" t="s">
        <v>146</v>
      </c>
      <c r="Y12" s="62" t="s">
        <v>147</v>
      </c>
      <c r="Z12" s="62" t="s">
        <v>148</v>
      </c>
      <c r="AA12" s="68" t="s">
        <v>149</v>
      </c>
      <c r="AB12" s="68" t="s">
        <v>150</v>
      </c>
      <c r="AC12" s="68" t="s">
        <v>151</v>
      </c>
      <c r="AD12" s="165" t="s">
        <v>152</v>
      </c>
      <c r="AE12" s="68" t="s">
        <v>337</v>
      </c>
      <c r="AG12" s="68" t="s">
        <v>319</v>
      </c>
      <c r="AH12" s="68" t="s">
        <v>320</v>
      </c>
      <c r="AI12" s="68" t="s">
        <v>321</v>
      </c>
    </row>
    <row r="13" spans="1:35" customFormat="1" ht="60" x14ac:dyDescent="0.25">
      <c r="A13" s="70" t="s">
        <v>153</v>
      </c>
      <c r="B13" s="71" t="s">
        <v>154</v>
      </c>
      <c r="C13" s="72" t="s">
        <v>155</v>
      </c>
      <c r="D13" s="73" t="s">
        <v>156</v>
      </c>
      <c r="E13" s="124">
        <v>1</v>
      </c>
      <c r="F13" s="74"/>
      <c r="G13" s="74">
        <v>1</v>
      </c>
      <c r="H13" s="75"/>
      <c r="I13" s="76">
        <f>(((((1750905*$D$9+J13)*47.59%)/13*13)/30*7)+((((1750905*$D$9+J13)*52.41%)/11*11)/30*7))</f>
        <v>4173430.7338888897</v>
      </c>
      <c r="J13" s="77">
        <f>+$D$4*3</f>
        <v>9391.6666666666661</v>
      </c>
      <c r="K13" s="78">
        <f>SUM(I13)*10%</f>
        <v>417343.07338888897</v>
      </c>
      <c r="L13" s="79">
        <f t="shared" ref="L13:L76" si="0">+I13+K13</f>
        <v>4590773.8072777782</v>
      </c>
      <c r="M13" s="79">
        <f>ROUND(L13*$M$11,0)</f>
        <v>459077</v>
      </c>
      <c r="N13" s="79">
        <f t="shared" ref="N13:N76" si="1">ROUND(M13*19%,0)</f>
        <v>87225</v>
      </c>
      <c r="O13" s="80">
        <f t="shared" ref="O13:O44" si="2">+(L13+N13)*E13</f>
        <v>4677998.8072777782</v>
      </c>
      <c r="P13" s="81"/>
      <c r="Q13" s="76">
        <f>(((((1750905*$D$9+R13)*47.59%)/13*13)/30*30)+((((1750905*$D$9+R13)*52.41%)/11*11)/30*30))</f>
        <v>17886131.716666669</v>
      </c>
      <c r="R13" s="77">
        <f>+$D$4*3</f>
        <v>9391.6666666666661</v>
      </c>
      <c r="S13" s="78">
        <f>SUM(Q13)*10%</f>
        <v>1788613.1716666669</v>
      </c>
      <c r="T13" s="79">
        <f t="shared" ref="T13:T76" si="3">+Q13+S13</f>
        <v>19674744.888333336</v>
      </c>
      <c r="U13" s="79">
        <f>ROUND(T13*$U$11,0)</f>
        <v>1967474</v>
      </c>
      <c r="V13" s="79">
        <f t="shared" ref="V13:V76" si="4">ROUND(U13*19%,0)</f>
        <v>373820</v>
      </c>
      <c r="W13" s="166">
        <f t="shared" ref="W13:W44" si="5">+(T13+V13)*E13</f>
        <v>20048564.888333336</v>
      </c>
      <c r="X13" s="76">
        <f>(((((1750905*$D$9+Y13)*47.59%)/13*13)/30*10)+((((1750905*$D$9+Y13)*52.41%)/11*11)/30*10))</f>
        <v>5962043.9055555565</v>
      </c>
      <c r="Y13" s="77">
        <f>+$D$4*3</f>
        <v>9391.6666666666661</v>
      </c>
      <c r="Z13" s="78">
        <f>SUM(X13)*10%</f>
        <v>596204.3905555557</v>
      </c>
      <c r="AA13" s="79">
        <f t="shared" ref="AA13:AA76" si="6">+X13+Z13</f>
        <v>6558248.2961111125</v>
      </c>
      <c r="AB13" s="79">
        <f>ROUND(AA13*$U$11,0)</f>
        <v>655825</v>
      </c>
      <c r="AC13" s="79">
        <f t="shared" ref="AC13:AC76" si="7">ROUND(AB13*19%,0)</f>
        <v>124607</v>
      </c>
      <c r="AD13" s="166">
        <f>+(AA13+AC13)*E13</f>
        <v>6682855.2961111125</v>
      </c>
      <c r="AE13" s="168">
        <f>+O13+W13+AD13</f>
        <v>31409418.991722226</v>
      </c>
      <c r="AG13" s="171">
        <f>+AE13*F13</f>
        <v>0</v>
      </c>
      <c r="AH13" s="171">
        <f>+AE13*G13</f>
        <v>31409418.991722226</v>
      </c>
      <c r="AI13" s="171">
        <f>+AE13*H13</f>
        <v>0</v>
      </c>
    </row>
    <row r="14" spans="1:35" customFormat="1" ht="60" x14ac:dyDescent="0.25">
      <c r="A14" s="70" t="s">
        <v>157</v>
      </c>
      <c r="B14" s="82" t="s">
        <v>158</v>
      </c>
      <c r="C14" s="72" t="s">
        <v>155</v>
      </c>
      <c r="D14" s="73" t="s">
        <v>156</v>
      </c>
      <c r="E14" s="124">
        <v>1</v>
      </c>
      <c r="F14" s="74"/>
      <c r="G14" s="74">
        <v>1</v>
      </c>
      <c r="H14" s="75"/>
      <c r="I14" s="76">
        <f>(((((1750905*$D$9+J14)*47.59%)/13*12)/30*5)+((((1750905*$D$9+J14)*52.41%)/11*0)/30*0))</f>
        <v>1309540.0129171796</v>
      </c>
      <c r="J14" s="77">
        <f t="shared" ref="J14:J77" si="8">+$D$4*3</f>
        <v>9391.6666666666661</v>
      </c>
      <c r="K14" s="78">
        <f>SUM(I14)*10%</f>
        <v>130954.00129171797</v>
      </c>
      <c r="L14" s="79">
        <f t="shared" si="0"/>
        <v>1440494.0142088975</v>
      </c>
      <c r="M14" s="79">
        <f>ROUND(L14*$M$11,0)</f>
        <v>144049</v>
      </c>
      <c r="N14" s="79">
        <f t="shared" si="1"/>
        <v>27369</v>
      </c>
      <c r="O14" s="80">
        <f t="shared" si="2"/>
        <v>1467863.0142088975</v>
      </c>
      <c r="P14" s="81"/>
      <c r="Q14" s="76">
        <f>(((((1750905*$D$9+R14)*47.59%)/13*12)/30*24)+((((1750905*$D$9+R14)*52.41%)/11*0)/30*0))</f>
        <v>6285792.0620024614</v>
      </c>
      <c r="R14" s="77">
        <f t="shared" ref="R14:R77" si="9">+$D$4*3</f>
        <v>9391.6666666666661</v>
      </c>
      <c r="S14" s="78">
        <f>SUM(Q14)*10%</f>
        <v>628579.20620024612</v>
      </c>
      <c r="T14" s="79">
        <f t="shared" si="3"/>
        <v>6914371.2682027072</v>
      </c>
      <c r="U14" s="79">
        <f t="shared" ref="U14:U77" si="10">ROUND(T14*$U$11,0)</f>
        <v>691437</v>
      </c>
      <c r="V14" s="79">
        <f t="shared" si="4"/>
        <v>131373</v>
      </c>
      <c r="W14" s="166">
        <f t="shared" si="5"/>
        <v>7045744.2682027072</v>
      </c>
      <c r="X14" s="76">
        <f>(((((1750905*$D$9+Y14)*47.59%)/13*12)/30*8)+((((1750905*$D$9+Y14)*52.41%)/11*0)/30*0))</f>
        <v>2095264.0206674873</v>
      </c>
      <c r="Y14" s="77">
        <f t="shared" ref="Y14:Y77" si="11">+$D$4*3</f>
        <v>9391.6666666666661</v>
      </c>
      <c r="Z14" s="78">
        <f>SUM(X14)*10%</f>
        <v>209526.40206674873</v>
      </c>
      <c r="AA14" s="79">
        <f t="shared" si="6"/>
        <v>2304790.4227342359</v>
      </c>
      <c r="AB14" s="79">
        <f t="shared" ref="AB14:AB77" si="12">ROUND(AA14*$U$11,0)</f>
        <v>230479</v>
      </c>
      <c r="AC14" s="79">
        <f t="shared" si="7"/>
        <v>43791</v>
      </c>
      <c r="AD14" s="166">
        <f t="shared" ref="AD14:AD77" si="13">+(AA14+AC14)*E14</f>
        <v>2348581.4227342359</v>
      </c>
      <c r="AE14" s="168">
        <f t="shared" ref="AE14:AE77" si="14">+O14+W14+AD14</f>
        <v>10862188.705145841</v>
      </c>
      <c r="AG14" s="171">
        <f t="shared" ref="AG14:AG77" si="15">+AE14*F14</f>
        <v>0</v>
      </c>
      <c r="AH14" s="171">
        <f t="shared" ref="AH14:AH77" si="16">+AE14*G14</f>
        <v>10862188.705145841</v>
      </c>
      <c r="AI14" s="171">
        <f t="shared" ref="AI14:AI77" si="17">+AE14*H14</f>
        <v>0</v>
      </c>
    </row>
    <row r="15" spans="1:35" customFormat="1" ht="60" x14ac:dyDescent="0.25">
      <c r="A15" s="70" t="s">
        <v>153</v>
      </c>
      <c r="B15" s="83" t="s">
        <v>159</v>
      </c>
      <c r="C15" s="72" t="s">
        <v>155</v>
      </c>
      <c r="D15" s="73" t="s">
        <v>156</v>
      </c>
      <c r="E15" s="124">
        <v>1</v>
      </c>
      <c r="F15" s="74"/>
      <c r="G15" s="74">
        <v>1</v>
      </c>
      <c r="H15" s="75"/>
      <c r="I15" s="76">
        <f>(((((1750905*$D$9+J15)*47.59%)/13*13)/30*7)+((((1750905*$D$9+J15)*52.41%)/11*11)/30*7))</f>
        <v>4173430.7338888897</v>
      </c>
      <c r="J15" s="77">
        <f t="shared" si="8"/>
        <v>9391.6666666666661</v>
      </c>
      <c r="K15" s="78">
        <f>SUM(I15)*10%</f>
        <v>417343.07338888897</v>
      </c>
      <c r="L15" s="79">
        <f t="shared" si="0"/>
        <v>4590773.8072777782</v>
      </c>
      <c r="M15" s="79">
        <f t="shared" ref="M15:M78" si="18">ROUND(L15*$M$11,0)</f>
        <v>459077</v>
      </c>
      <c r="N15" s="79">
        <f t="shared" si="1"/>
        <v>87225</v>
      </c>
      <c r="O15" s="80">
        <f t="shared" si="2"/>
        <v>4677998.8072777782</v>
      </c>
      <c r="P15" s="81"/>
      <c r="Q15" s="76">
        <f>(((((1750905*$D$9+R15)*47.59%)/13*13)/30*30)+((((1750905*$D$9+R15)*52.41%)/11*11)/30*30))</f>
        <v>17886131.716666669</v>
      </c>
      <c r="R15" s="77">
        <f t="shared" si="9"/>
        <v>9391.6666666666661</v>
      </c>
      <c r="S15" s="78">
        <f>SUM(Q15)*10%</f>
        <v>1788613.1716666669</v>
      </c>
      <c r="T15" s="79">
        <f t="shared" si="3"/>
        <v>19674744.888333336</v>
      </c>
      <c r="U15" s="79">
        <f t="shared" si="10"/>
        <v>1967474</v>
      </c>
      <c r="V15" s="79">
        <f t="shared" si="4"/>
        <v>373820</v>
      </c>
      <c r="W15" s="166">
        <f t="shared" si="5"/>
        <v>20048564.888333336</v>
      </c>
      <c r="X15" s="76">
        <f>(((((1750905*$D$9+Y15)*47.59%)/13*13)/30*10)+((((1750905*$D$9+Y15)*52.41%)/11*11)/30*10))</f>
        <v>5962043.9055555565</v>
      </c>
      <c r="Y15" s="77">
        <f t="shared" si="11"/>
        <v>9391.6666666666661</v>
      </c>
      <c r="Z15" s="78">
        <f>SUM(X15)*10%</f>
        <v>596204.3905555557</v>
      </c>
      <c r="AA15" s="79">
        <f t="shared" si="6"/>
        <v>6558248.2961111125</v>
      </c>
      <c r="AB15" s="79">
        <f t="shared" si="12"/>
        <v>655825</v>
      </c>
      <c r="AC15" s="79">
        <f t="shared" si="7"/>
        <v>124607</v>
      </c>
      <c r="AD15" s="166">
        <f t="shared" si="13"/>
        <v>6682855.2961111125</v>
      </c>
      <c r="AE15" s="168">
        <f t="shared" si="14"/>
        <v>31409418.991722226</v>
      </c>
      <c r="AG15" s="171">
        <f t="shared" si="15"/>
        <v>0</v>
      </c>
      <c r="AH15" s="171">
        <f t="shared" si="16"/>
        <v>31409418.991722226</v>
      </c>
      <c r="AI15" s="171">
        <f t="shared" si="17"/>
        <v>0</v>
      </c>
    </row>
    <row r="16" spans="1:35" customFormat="1" ht="60" x14ac:dyDescent="0.25">
      <c r="A16" s="70" t="s">
        <v>153</v>
      </c>
      <c r="B16" s="83" t="s">
        <v>160</v>
      </c>
      <c r="C16" s="72" t="s">
        <v>155</v>
      </c>
      <c r="D16" s="73" t="s">
        <v>156</v>
      </c>
      <c r="E16" s="124">
        <v>1</v>
      </c>
      <c r="F16" s="74"/>
      <c r="G16" s="74">
        <v>1</v>
      </c>
      <c r="H16" s="75"/>
      <c r="I16" s="76">
        <f>(((((1750905*$D$9+J16)*47.59%)/13*13)/30*7)+((((1750905*$D$9+J16)*52.41%)/11*11)/30*7))</f>
        <v>4173430.7338888897</v>
      </c>
      <c r="J16" s="77">
        <f t="shared" si="8"/>
        <v>9391.6666666666661</v>
      </c>
      <c r="K16" s="78">
        <f>SUM(I16)*10%</f>
        <v>417343.07338888897</v>
      </c>
      <c r="L16" s="79">
        <f t="shared" si="0"/>
        <v>4590773.8072777782</v>
      </c>
      <c r="M16" s="79">
        <f t="shared" si="18"/>
        <v>459077</v>
      </c>
      <c r="N16" s="79">
        <f t="shared" si="1"/>
        <v>87225</v>
      </c>
      <c r="O16" s="80">
        <f t="shared" si="2"/>
        <v>4677998.8072777782</v>
      </c>
      <c r="P16" s="81"/>
      <c r="Q16" s="76">
        <f>(((((1750905*$D$9+R16)*47.59%)/13*13)/30*30)+((((1750905*$D$9+R16)*52.41%)/11*11)/30*30))</f>
        <v>17886131.716666669</v>
      </c>
      <c r="R16" s="77">
        <f t="shared" si="9"/>
        <v>9391.6666666666661</v>
      </c>
      <c r="S16" s="78">
        <f>SUM(Q16)*10%</f>
        <v>1788613.1716666669</v>
      </c>
      <c r="T16" s="79">
        <f t="shared" si="3"/>
        <v>19674744.888333336</v>
      </c>
      <c r="U16" s="79">
        <f t="shared" si="10"/>
        <v>1967474</v>
      </c>
      <c r="V16" s="79">
        <f t="shared" si="4"/>
        <v>373820</v>
      </c>
      <c r="W16" s="166">
        <f t="shared" si="5"/>
        <v>20048564.888333336</v>
      </c>
      <c r="X16" s="76">
        <f>(((((1750905*$D$9+Y16)*47.59%)/13*13)/30*10)+((((1750905*$D$9+Y16)*52.41%)/11*11)/30*10))</f>
        <v>5962043.9055555565</v>
      </c>
      <c r="Y16" s="77">
        <f t="shared" si="11"/>
        <v>9391.6666666666661</v>
      </c>
      <c r="Z16" s="78">
        <f>SUM(X16)*10%</f>
        <v>596204.3905555557</v>
      </c>
      <c r="AA16" s="79">
        <f t="shared" si="6"/>
        <v>6558248.2961111125</v>
      </c>
      <c r="AB16" s="79">
        <f t="shared" si="12"/>
        <v>655825</v>
      </c>
      <c r="AC16" s="79">
        <f t="shared" si="7"/>
        <v>124607</v>
      </c>
      <c r="AD16" s="166">
        <f t="shared" si="13"/>
        <v>6682855.2961111125</v>
      </c>
      <c r="AE16" s="168">
        <f t="shared" si="14"/>
        <v>31409418.991722226</v>
      </c>
      <c r="AG16" s="171">
        <f t="shared" si="15"/>
        <v>0</v>
      </c>
      <c r="AH16" s="171">
        <f t="shared" si="16"/>
        <v>31409418.991722226</v>
      </c>
      <c r="AI16" s="171">
        <f t="shared" si="17"/>
        <v>0</v>
      </c>
    </row>
    <row r="17" spans="1:35" customFormat="1" ht="60" x14ac:dyDescent="0.25">
      <c r="A17" s="70" t="s">
        <v>153</v>
      </c>
      <c r="B17" s="71" t="s">
        <v>161</v>
      </c>
      <c r="C17" s="72" t="s">
        <v>155</v>
      </c>
      <c r="D17" s="73" t="s">
        <v>156</v>
      </c>
      <c r="E17" s="124">
        <v>1</v>
      </c>
      <c r="F17" s="74"/>
      <c r="G17" s="74">
        <v>1</v>
      </c>
      <c r="H17" s="75"/>
      <c r="I17" s="76">
        <f>(((((1750905*$D$9+J17)*47.59%)/13*13)/30*7)+((((1750905*$D$9+J17)*52.41%)/11*11)/30*7))</f>
        <v>4173430.7338888897</v>
      </c>
      <c r="J17" s="77">
        <f t="shared" si="8"/>
        <v>9391.6666666666661</v>
      </c>
      <c r="K17" s="78">
        <f>SUM(I17)*10%</f>
        <v>417343.07338888897</v>
      </c>
      <c r="L17" s="79">
        <f t="shared" si="0"/>
        <v>4590773.8072777782</v>
      </c>
      <c r="M17" s="79">
        <f t="shared" si="18"/>
        <v>459077</v>
      </c>
      <c r="N17" s="79">
        <f t="shared" si="1"/>
        <v>87225</v>
      </c>
      <c r="O17" s="80">
        <f t="shared" si="2"/>
        <v>4677998.8072777782</v>
      </c>
      <c r="P17" s="81"/>
      <c r="Q17" s="76">
        <f>(((((1750905*$D$9+R17)*47.59%)/13*13)/30*30)+((((1750905*$D$9+R17)*52.41%)/11*11)/30*30))</f>
        <v>17886131.716666669</v>
      </c>
      <c r="R17" s="77">
        <f t="shared" si="9"/>
        <v>9391.6666666666661</v>
      </c>
      <c r="S17" s="78">
        <f>SUM(Q17)*10%</f>
        <v>1788613.1716666669</v>
      </c>
      <c r="T17" s="79">
        <f t="shared" si="3"/>
        <v>19674744.888333336</v>
      </c>
      <c r="U17" s="79">
        <f t="shared" si="10"/>
        <v>1967474</v>
      </c>
      <c r="V17" s="79">
        <f t="shared" si="4"/>
        <v>373820</v>
      </c>
      <c r="W17" s="166">
        <f t="shared" si="5"/>
        <v>20048564.888333336</v>
      </c>
      <c r="X17" s="76">
        <f>(((((1750905*$D$9+Y17)*47.59%)/13*13)/30*10)+((((1750905*$D$9+Y17)*52.41%)/11*11)/30*10))</f>
        <v>5962043.9055555565</v>
      </c>
      <c r="Y17" s="77">
        <f t="shared" si="11"/>
        <v>9391.6666666666661</v>
      </c>
      <c r="Z17" s="78">
        <f>SUM(X17)*10%</f>
        <v>596204.3905555557</v>
      </c>
      <c r="AA17" s="79">
        <f t="shared" si="6"/>
        <v>6558248.2961111125</v>
      </c>
      <c r="AB17" s="79">
        <f t="shared" si="12"/>
        <v>655825</v>
      </c>
      <c r="AC17" s="79">
        <f t="shared" si="7"/>
        <v>124607</v>
      </c>
      <c r="AD17" s="166">
        <f t="shared" si="13"/>
        <v>6682855.2961111125</v>
      </c>
      <c r="AE17" s="168">
        <f t="shared" si="14"/>
        <v>31409418.991722226</v>
      </c>
      <c r="AG17" s="171">
        <f t="shared" si="15"/>
        <v>0</v>
      </c>
      <c r="AH17" s="171">
        <f t="shared" si="16"/>
        <v>31409418.991722226</v>
      </c>
      <c r="AI17" s="171">
        <f t="shared" si="17"/>
        <v>0</v>
      </c>
    </row>
    <row r="18" spans="1:35" customFormat="1" ht="84" x14ac:dyDescent="0.25">
      <c r="A18" s="70" t="s">
        <v>162</v>
      </c>
      <c r="B18" s="71" t="s">
        <v>163</v>
      </c>
      <c r="C18" s="72" t="s">
        <v>155</v>
      </c>
      <c r="D18" s="73" t="s">
        <v>156</v>
      </c>
      <c r="E18" s="124">
        <v>1</v>
      </c>
      <c r="F18" s="74">
        <v>0.32</v>
      </c>
      <c r="G18" s="74">
        <v>0.64</v>
      </c>
      <c r="H18" s="75">
        <v>0.04</v>
      </c>
      <c r="I18" s="76">
        <f>(((((1750905*$D$9+J18)*47.59%)/13*13)/30*7)+((((1750905*$D$9+J18)*52.41%)/11*11)/30*7))</f>
        <v>4173430.7338888897</v>
      </c>
      <c r="J18" s="77">
        <f t="shared" si="8"/>
        <v>9391.6666666666661</v>
      </c>
      <c r="K18" s="78">
        <f>SUM(I18)*8%</f>
        <v>333874.45871111116</v>
      </c>
      <c r="L18" s="79">
        <f t="shared" si="0"/>
        <v>4507305.1926000006</v>
      </c>
      <c r="M18" s="79">
        <f t="shared" si="18"/>
        <v>450731</v>
      </c>
      <c r="N18" s="79">
        <f t="shared" si="1"/>
        <v>85639</v>
      </c>
      <c r="O18" s="80">
        <f t="shared" si="2"/>
        <v>4592944.1926000006</v>
      </c>
      <c r="P18" s="81"/>
      <c r="Q18" s="76">
        <f>(((((1750905*$D$9+R18)*47.59%)/13*13)/30*30)+((((1750905*$D$9+R18)*52.41%)/11*11)/30*30))</f>
        <v>17886131.716666669</v>
      </c>
      <c r="R18" s="77">
        <f t="shared" si="9"/>
        <v>9391.6666666666661</v>
      </c>
      <c r="S18" s="78">
        <f>SUM(Q18)*8%</f>
        <v>1430890.5373333336</v>
      </c>
      <c r="T18" s="79">
        <f t="shared" si="3"/>
        <v>19317022.254000001</v>
      </c>
      <c r="U18" s="79">
        <f t="shared" si="10"/>
        <v>1931702</v>
      </c>
      <c r="V18" s="79">
        <f t="shared" si="4"/>
        <v>367023</v>
      </c>
      <c r="W18" s="166">
        <f t="shared" si="5"/>
        <v>19684045.254000001</v>
      </c>
      <c r="X18" s="76">
        <f>(((((1750905*$D$9+Y18)*47.59%)/13*13)/30*10)+((((1750905*$D$9+Y18)*52.41%)/11*11)/30*10))</f>
        <v>5962043.9055555565</v>
      </c>
      <c r="Y18" s="77">
        <f t="shared" si="11"/>
        <v>9391.6666666666661</v>
      </c>
      <c r="Z18" s="78">
        <f>SUM(X18)*8%</f>
        <v>476963.51244444452</v>
      </c>
      <c r="AA18" s="79">
        <f t="shared" si="6"/>
        <v>6439007.4180000015</v>
      </c>
      <c r="AB18" s="79">
        <f t="shared" si="12"/>
        <v>643901</v>
      </c>
      <c r="AC18" s="79">
        <f t="shared" si="7"/>
        <v>122341</v>
      </c>
      <c r="AD18" s="166">
        <f t="shared" si="13"/>
        <v>6561348.4180000015</v>
      </c>
      <c r="AE18" s="168">
        <f t="shared" si="14"/>
        <v>30838337.864600003</v>
      </c>
      <c r="AG18" s="171">
        <f t="shared" si="15"/>
        <v>9868268.1166720018</v>
      </c>
      <c r="AH18" s="171">
        <f t="shared" si="16"/>
        <v>19736536.233344004</v>
      </c>
      <c r="AI18" s="171">
        <f t="shared" si="17"/>
        <v>1233533.5145840002</v>
      </c>
    </row>
    <row r="19" spans="1:35" customFormat="1" ht="64.5" customHeight="1" x14ac:dyDescent="0.25">
      <c r="A19" s="70" t="s">
        <v>164</v>
      </c>
      <c r="B19" s="71" t="s">
        <v>165</v>
      </c>
      <c r="C19" s="72" t="s">
        <v>155</v>
      </c>
      <c r="D19" s="73" t="s">
        <v>156</v>
      </c>
      <c r="E19" s="124">
        <v>1</v>
      </c>
      <c r="F19" s="74"/>
      <c r="G19" s="74">
        <v>1</v>
      </c>
      <c r="H19" s="75"/>
      <c r="I19" s="76">
        <f>(((((1750905*$D$9+J19)*47.59%)/13*10)/30*4)+((((1750905*$D$9+J19)*52.41%)/11*0)/30*0))</f>
        <v>873026.67527811974</v>
      </c>
      <c r="J19" s="77">
        <f t="shared" si="8"/>
        <v>9391.6666666666661</v>
      </c>
      <c r="K19" s="78">
        <f>SUM(I19)*8%</f>
        <v>69842.134022249578</v>
      </c>
      <c r="L19" s="79">
        <f t="shared" si="0"/>
        <v>942868.80930036935</v>
      </c>
      <c r="M19" s="79">
        <f t="shared" si="18"/>
        <v>94287</v>
      </c>
      <c r="N19" s="79">
        <f t="shared" si="1"/>
        <v>17915</v>
      </c>
      <c r="O19" s="80">
        <f t="shared" si="2"/>
        <v>960783.80930036935</v>
      </c>
      <c r="P19" s="81"/>
      <c r="Q19" s="76">
        <f>(((((1750905*$D$9+R19)*47.59%)/13*10)/30*20)+((((1750905*$D$9+R19)*52.41%)/11*0)/30*0))</f>
        <v>4365133.3763905987</v>
      </c>
      <c r="R19" s="77">
        <f t="shared" si="9"/>
        <v>9391.6666666666661</v>
      </c>
      <c r="S19" s="78">
        <f>SUM(Q19)*8%</f>
        <v>349210.67011124792</v>
      </c>
      <c r="T19" s="79">
        <f t="shared" si="3"/>
        <v>4714344.046501847</v>
      </c>
      <c r="U19" s="79">
        <f t="shared" si="10"/>
        <v>471434</v>
      </c>
      <c r="V19" s="79">
        <f t="shared" si="4"/>
        <v>89572</v>
      </c>
      <c r="W19" s="166">
        <f t="shared" si="5"/>
        <v>4803916.046501847</v>
      </c>
      <c r="X19" s="76">
        <f>(((((1750905*$D$9+Y19)*47.59%)/13*10)/30*7)+((((1750905*$D$9+Y19)*52.41%)/11*0)/30*0))</f>
        <v>1527796.6817367096</v>
      </c>
      <c r="Y19" s="77">
        <f t="shared" si="11"/>
        <v>9391.6666666666661</v>
      </c>
      <c r="Z19" s="78">
        <f>SUM(X19)*8%</f>
        <v>122223.73453893677</v>
      </c>
      <c r="AA19" s="79">
        <f t="shared" si="6"/>
        <v>1650020.4162756463</v>
      </c>
      <c r="AB19" s="79">
        <f t="shared" si="12"/>
        <v>165002</v>
      </c>
      <c r="AC19" s="79">
        <f t="shared" si="7"/>
        <v>31350</v>
      </c>
      <c r="AD19" s="166">
        <f t="shared" si="13"/>
        <v>1681370.4162756463</v>
      </c>
      <c r="AE19" s="168">
        <f t="shared" si="14"/>
        <v>7446070.2720778631</v>
      </c>
      <c r="AG19" s="171">
        <f t="shared" si="15"/>
        <v>0</v>
      </c>
      <c r="AH19" s="171">
        <f t="shared" si="16"/>
        <v>7446070.2720778631</v>
      </c>
      <c r="AI19" s="171">
        <f t="shared" si="17"/>
        <v>0</v>
      </c>
    </row>
    <row r="20" spans="1:35" customFormat="1" ht="96" x14ac:dyDescent="0.25">
      <c r="A20" s="70" t="s">
        <v>164</v>
      </c>
      <c r="B20" s="71" t="s">
        <v>166</v>
      </c>
      <c r="C20" s="72" t="s">
        <v>155</v>
      </c>
      <c r="D20" s="73" t="s">
        <v>156</v>
      </c>
      <c r="E20" s="124">
        <v>1</v>
      </c>
      <c r="F20" s="74"/>
      <c r="G20" s="74">
        <v>1</v>
      </c>
      <c r="H20" s="75"/>
      <c r="I20" s="76">
        <f>(((((1750905*$D$9+J20)*47.59%)/13*10)/30*4)+((((1750905*$D$9+J20)*52.41%)/11*0)/30*0))</f>
        <v>873026.67527811974</v>
      </c>
      <c r="J20" s="77">
        <f t="shared" si="8"/>
        <v>9391.6666666666661</v>
      </c>
      <c r="K20" s="78">
        <f>SUM(I20)*8%</f>
        <v>69842.134022249578</v>
      </c>
      <c r="L20" s="79">
        <f t="shared" si="0"/>
        <v>942868.80930036935</v>
      </c>
      <c r="M20" s="79">
        <f t="shared" si="18"/>
        <v>94287</v>
      </c>
      <c r="N20" s="79">
        <f t="shared" si="1"/>
        <v>17915</v>
      </c>
      <c r="O20" s="80">
        <f t="shared" si="2"/>
        <v>960783.80930036935</v>
      </c>
      <c r="P20" s="81"/>
      <c r="Q20" s="76">
        <f>(((((1750905*$D$9+R20)*47.59%)/13*10)/30*20)+((((1750905*$D$9+R20)*52.41%)/11*0)/30*0))</f>
        <v>4365133.3763905987</v>
      </c>
      <c r="R20" s="77">
        <f t="shared" si="9"/>
        <v>9391.6666666666661</v>
      </c>
      <c r="S20" s="78">
        <f>SUM(Q20)*8%</f>
        <v>349210.67011124792</v>
      </c>
      <c r="T20" s="79">
        <f t="shared" si="3"/>
        <v>4714344.046501847</v>
      </c>
      <c r="U20" s="79">
        <f t="shared" si="10"/>
        <v>471434</v>
      </c>
      <c r="V20" s="79">
        <f t="shared" si="4"/>
        <v>89572</v>
      </c>
      <c r="W20" s="166">
        <f t="shared" si="5"/>
        <v>4803916.046501847</v>
      </c>
      <c r="X20" s="76">
        <f>(((((1750905*$D$9+Y20)*47.59%)/13*10)/30*7)+((((1750905*$D$9+Y20)*52.41%)/11*0)/30*0))</f>
        <v>1527796.6817367096</v>
      </c>
      <c r="Y20" s="77">
        <f t="shared" si="11"/>
        <v>9391.6666666666661</v>
      </c>
      <c r="Z20" s="78">
        <f>SUM(X20)*8%</f>
        <v>122223.73453893677</v>
      </c>
      <c r="AA20" s="79">
        <f t="shared" si="6"/>
        <v>1650020.4162756463</v>
      </c>
      <c r="AB20" s="79">
        <f t="shared" si="12"/>
        <v>165002</v>
      </c>
      <c r="AC20" s="79">
        <f t="shared" si="7"/>
        <v>31350</v>
      </c>
      <c r="AD20" s="166">
        <f t="shared" si="13"/>
        <v>1681370.4162756463</v>
      </c>
      <c r="AE20" s="168">
        <f t="shared" si="14"/>
        <v>7446070.2720778631</v>
      </c>
      <c r="AG20" s="171">
        <f t="shared" si="15"/>
        <v>0</v>
      </c>
      <c r="AH20" s="171">
        <f t="shared" si="16"/>
        <v>7446070.2720778631</v>
      </c>
      <c r="AI20" s="171">
        <f t="shared" si="17"/>
        <v>0</v>
      </c>
    </row>
    <row r="21" spans="1:35" customFormat="1" ht="108" x14ac:dyDescent="0.25">
      <c r="A21" s="70" t="s">
        <v>164</v>
      </c>
      <c r="B21" s="71" t="s">
        <v>167</v>
      </c>
      <c r="C21" s="72" t="s">
        <v>155</v>
      </c>
      <c r="D21" s="73" t="s">
        <v>156</v>
      </c>
      <c r="E21" s="124">
        <v>1</v>
      </c>
      <c r="F21" s="74"/>
      <c r="G21" s="74">
        <v>1</v>
      </c>
      <c r="H21" s="75"/>
      <c r="I21" s="76">
        <f>(((((1750905*$D$9+J21)*47.59%)/13*10)/30*4)+((((1750905*$D$9+J21)*52.41%)/11*0)/30*0))</f>
        <v>873026.67527811974</v>
      </c>
      <c r="J21" s="77">
        <f t="shared" si="8"/>
        <v>9391.6666666666661</v>
      </c>
      <c r="K21" s="78">
        <f>SUM(I21)*8%</f>
        <v>69842.134022249578</v>
      </c>
      <c r="L21" s="79">
        <f t="shared" si="0"/>
        <v>942868.80930036935</v>
      </c>
      <c r="M21" s="79">
        <f t="shared" si="18"/>
        <v>94287</v>
      </c>
      <c r="N21" s="79">
        <f t="shared" si="1"/>
        <v>17915</v>
      </c>
      <c r="O21" s="80">
        <f t="shared" si="2"/>
        <v>960783.80930036935</v>
      </c>
      <c r="P21" s="81"/>
      <c r="Q21" s="76">
        <f>(((((1750905*$D$9+R21)*47.59%)/13*10)/30*20)+((((1750905*$D$9+R21)*52.41%)/11*0)/30*0))</f>
        <v>4365133.3763905987</v>
      </c>
      <c r="R21" s="77">
        <f t="shared" si="9"/>
        <v>9391.6666666666661</v>
      </c>
      <c r="S21" s="78">
        <f>SUM(Q21)*8%</f>
        <v>349210.67011124792</v>
      </c>
      <c r="T21" s="79">
        <f t="shared" si="3"/>
        <v>4714344.046501847</v>
      </c>
      <c r="U21" s="79">
        <f t="shared" si="10"/>
        <v>471434</v>
      </c>
      <c r="V21" s="79">
        <f t="shared" si="4"/>
        <v>89572</v>
      </c>
      <c r="W21" s="166">
        <f t="shared" si="5"/>
        <v>4803916.046501847</v>
      </c>
      <c r="X21" s="76">
        <f>(((((1750905*$D$9+Y21)*47.59%)/13*10)/30*7)+((((1750905*$D$9+Y21)*52.41%)/11*0)/30*0))</f>
        <v>1527796.6817367096</v>
      </c>
      <c r="Y21" s="77">
        <f t="shared" si="11"/>
        <v>9391.6666666666661</v>
      </c>
      <c r="Z21" s="78">
        <f>SUM(X21)*8%</f>
        <v>122223.73453893677</v>
      </c>
      <c r="AA21" s="79">
        <f t="shared" si="6"/>
        <v>1650020.4162756463</v>
      </c>
      <c r="AB21" s="79">
        <f t="shared" si="12"/>
        <v>165002</v>
      </c>
      <c r="AC21" s="79">
        <f t="shared" si="7"/>
        <v>31350</v>
      </c>
      <c r="AD21" s="166">
        <f t="shared" si="13"/>
        <v>1681370.4162756463</v>
      </c>
      <c r="AE21" s="168">
        <f t="shared" si="14"/>
        <v>7446070.2720778631</v>
      </c>
      <c r="AG21" s="171">
        <f t="shared" si="15"/>
        <v>0</v>
      </c>
      <c r="AH21" s="171">
        <f t="shared" si="16"/>
        <v>7446070.2720778631</v>
      </c>
      <c r="AI21" s="171">
        <f t="shared" si="17"/>
        <v>0</v>
      </c>
    </row>
    <row r="22" spans="1:35" customFormat="1" ht="60" x14ac:dyDescent="0.25">
      <c r="A22" s="70" t="s">
        <v>168</v>
      </c>
      <c r="B22" s="71" t="s">
        <v>169</v>
      </c>
      <c r="C22" s="72" t="s">
        <v>155</v>
      </c>
      <c r="D22" s="73" t="s">
        <v>156</v>
      </c>
      <c r="E22" s="124">
        <v>1</v>
      </c>
      <c r="F22" s="74"/>
      <c r="G22" s="74">
        <v>1</v>
      </c>
      <c r="H22" s="75"/>
      <c r="I22" s="76">
        <f>(((((1750905*$D$9+J22)*47.59%)/13*12)/30*7)+((((1750905*$D$9+J22)*52.41%)/11*0)/30*0))</f>
        <v>1833356.0180840513</v>
      </c>
      <c r="J22" s="77">
        <f t="shared" si="8"/>
        <v>9391.6666666666661</v>
      </c>
      <c r="K22" s="78">
        <f>SUM(I22)*8%</f>
        <v>146668.48144672412</v>
      </c>
      <c r="L22" s="79">
        <f t="shared" si="0"/>
        <v>1980024.4995307755</v>
      </c>
      <c r="M22" s="79">
        <f t="shared" si="18"/>
        <v>198002</v>
      </c>
      <c r="N22" s="79">
        <f t="shared" si="1"/>
        <v>37620</v>
      </c>
      <c r="O22" s="80">
        <f t="shared" si="2"/>
        <v>2017644.4995307755</v>
      </c>
      <c r="P22" s="81"/>
      <c r="Q22" s="76">
        <f>(((((1750905*$D$9+R22)*47.59%)/13*12)/30*30)+((((1750905*$D$9+R22)*52.41%)/11*0)/30*0))</f>
        <v>7857240.0775030777</v>
      </c>
      <c r="R22" s="77">
        <f t="shared" si="9"/>
        <v>9391.6666666666661</v>
      </c>
      <c r="S22" s="78">
        <f>SUM(Q22)*8%</f>
        <v>628579.20620024623</v>
      </c>
      <c r="T22" s="79">
        <f t="shared" si="3"/>
        <v>8485819.2837033235</v>
      </c>
      <c r="U22" s="79">
        <f t="shared" si="10"/>
        <v>848582</v>
      </c>
      <c r="V22" s="79">
        <f t="shared" si="4"/>
        <v>161231</v>
      </c>
      <c r="W22" s="166">
        <f t="shared" si="5"/>
        <v>8647050.2837033235</v>
      </c>
      <c r="X22" s="76">
        <f>(((((1750905*$D$9+Y22)*47.59%)/13*12)/30*10)+((((1750905*$D$9+Y22)*52.41%)/11*0)/30*0))</f>
        <v>2619080.0258343592</v>
      </c>
      <c r="Y22" s="77">
        <f t="shared" si="11"/>
        <v>9391.6666666666661</v>
      </c>
      <c r="Z22" s="78">
        <f>SUM(X22)*8%</f>
        <v>209526.40206674873</v>
      </c>
      <c r="AA22" s="79">
        <f t="shared" si="6"/>
        <v>2828606.4279011078</v>
      </c>
      <c r="AB22" s="79">
        <f t="shared" si="12"/>
        <v>282861</v>
      </c>
      <c r="AC22" s="79">
        <f t="shared" si="7"/>
        <v>53744</v>
      </c>
      <c r="AD22" s="166">
        <f t="shared" si="13"/>
        <v>2882350.4279011078</v>
      </c>
      <c r="AE22" s="168">
        <f t="shared" si="14"/>
        <v>13547045.211135207</v>
      </c>
      <c r="AG22" s="171">
        <f t="shared" si="15"/>
        <v>0</v>
      </c>
      <c r="AH22" s="171">
        <f t="shared" si="16"/>
        <v>13547045.211135207</v>
      </c>
      <c r="AI22" s="171">
        <f t="shared" si="17"/>
        <v>0</v>
      </c>
    </row>
    <row r="23" spans="1:35" customFormat="1" ht="84" x14ac:dyDescent="0.25">
      <c r="A23" s="70" t="s">
        <v>153</v>
      </c>
      <c r="B23" s="71" t="s">
        <v>170</v>
      </c>
      <c r="C23" s="72" t="s">
        <v>155</v>
      </c>
      <c r="D23" s="73" t="s">
        <v>156</v>
      </c>
      <c r="E23" s="124">
        <v>1</v>
      </c>
      <c r="F23" s="74"/>
      <c r="G23" s="74">
        <v>1</v>
      </c>
      <c r="H23" s="75"/>
      <c r="I23" s="76">
        <f>(((((1750905*$D$9+J23)*47.59%)/13*13)/30*7)+((((1750905*$D$9+J23)*52.41%)/11*11)/30*7))</f>
        <v>4173430.7338888897</v>
      </c>
      <c r="J23" s="77">
        <f t="shared" si="8"/>
        <v>9391.6666666666661</v>
      </c>
      <c r="K23" s="78">
        <f>SUM(I23)*10%</f>
        <v>417343.07338888897</v>
      </c>
      <c r="L23" s="79">
        <f t="shared" si="0"/>
        <v>4590773.8072777782</v>
      </c>
      <c r="M23" s="79">
        <f t="shared" si="18"/>
        <v>459077</v>
      </c>
      <c r="N23" s="79">
        <f t="shared" si="1"/>
        <v>87225</v>
      </c>
      <c r="O23" s="80">
        <f t="shared" si="2"/>
        <v>4677998.8072777782</v>
      </c>
      <c r="P23" s="81"/>
      <c r="Q23" s="76">
        <f>(((((1750905*$D$9+R23)*47.59%)/13*13)/30*30)+((((1750905*$D$9+R23)*52.41%)/11*11)/30*30))</f>
        <v>17886131.716666669</v>
      </c>
      <c r="R23" s="77">
        <f t="shared" si="9"/>
        <v>9391.6666666666661</v>
      </c>
      <c r="S23" s="78">
        <f>SUM(Q23)*10%</f>
        <v>1788613.1716666669</v>
      </c>
      <c r="T23" s="79">
        <f t="shared" si="3"/>
        <v>19674744.888333336</v>
      </c>
      <c r="U23" s="79">
        <f t="shared" si="10"/>
        <v>1967474</v>
      </c>
      <c r="V23" s="79">
        <f t="shared" si="4"/>
        <v>373820</v>
      </c>
      <c r="W23" s="166">
        <f t="shared" si="5"/>
        <v>20048564.888333336</v>
      </c>
      <c r="X23" s="76">
        <f>(((((1750905*$D$9+Y23)*47.59%)/13*13)/30*10)+((((1750905*$D$9+Y23)*52.41%)/11*11)/30*10))</f>
        <v>5962043.9055555565</v>
      </c>
      <c r="Y23" s="77">
        <f t="shared" si="11"/>
        <v>9391.6666666666661</v>
      </c>
      <c r="Z23" s="78">
        <f>SUM(X23)*10%</f>
        <v>596204.3905555557</v>
      </c>
      <c r="AA23" s="79">
        <f t="shared" si="6"/>
        <v>6558248.2961111125</v>
      </c>
      <c r="AB23" s="79">
        <f t="shared" si="12"/>
        <v>655825</v>
      </c>
      <c r="AC23" s="79">
        <f t="shared" si="7"/>
        <v>124607</v>
      </c>
      <c r="AD23" s="166">
        <f t="shared" si="13"/>
        <v>6682855.2961111125</v>
      </c>
      <c r="AE23" s="168">
        <f t="shared" si="14"/>
        <v>31409418.991722226</v>
      </c>
      <c r="AG23" s="171">
        <f t="shared" si="15"/>
        <v>0</v>
      </c>
      <c r="AH23" s="171">
        <f t="shared" si="16"/>
        <v>31409418.991722226</v>
      </c>
      <c r="AI23" s="171">
        <f t="shared" si="17"/>
        <v>0</v>
      </c>
    </row>
    <row r="24" spans="1:35" customFormat="1" ht="60" x14ac:dyDescent="0.25">
      <c r="A24" s="70" t="s">
        <v>171</v>
      </c>
      <c r="B24" s="71" t="s">
        <v>172</v>
      </c>
      <c r="C24" s="72" t="s">
        <v>155</v>
      </c>
      <c r="D24" s="73" t="s">
        <v>156</v>
      </c>
      <c r="E24" s="124">
        <v>1</v>
      </c>
      <c r="F24" s="74"/>
      <c r="G24" s="74">
        <v>1</v>
      </c>
      <c r="H24" s="75"/>
      <c r="I24" s="76">
        <f>(((((1750905*$D$9+J24)*47.59%)/13*8)/30*4)+((((1750905*$D$9+J24)*52.41%)/11*0)/30*0))</f>
        <v>698421.34022249584</v>
      </c>
      <c r="J24" s="77">
        <f t="shared" si="8"/>
        <v>9391.6666666666661</v>
      </c>
      <c r="K24" s="78">
        <f>SUM(I24)*8%</f>
        <v>55873.707217799667</v>
      </c>
      <c r="L24" s="79">
        <f t="shared" si="0"/>
        <v>754295.04744029546</v>
      </c>
      <c r="M24" s="79">
        <f t="shared" si="18"/>
        <v>75430</v>
      </c>
      <c r="N24" s="79">
        <f t="shared" si="1"/>
        <v>14332</v>
      </c>
      <c r="O24" s="80">
        <f t="shared" si="2"/>
        <v>768627.04744029546</v>
      </c>
      <c r="P24" s="81"/>
      <c r="Q24" s="76">
        <f>(((((1750905*$D$9+R24)*47.59%)/13*8)/30*20)+((((1750905*$D$9+R24)*52.41%)/11*0)/30*0))</f>
        <v>3492106.701112479</v>
      </c>
      <c r="R24" s="77">
        <f t="shared" si="9"/>
        <v>9391.6666666666661</v>
      </c>
      <c r="S24" s="78">
        <f>SUM(Q24)*8%</f>
        <v>279368.53608899831</v>
      </c>
      <c r="T24" s="79">
        <f t="shared" si="3"/>
        <v>3771475.2372014774</v>
      </c>
      <c r="U24" s="79">
        <f t="shared" si="10"/>
        <v>377148</v>
      </c>
      <c r="V24" s="79">
        <f t="shared" si="4"/>
        <v>71658</v>
      </c>
      <c r="W24" s="166">
        <f t="shared" si="5"/>
        <v>3843133.2372014774</v>
      </c>
      <c r="X24" s="76">
        <f>(((((1750905*$D$9+Y24)*47.59%)/13*8)/30*7)+((((1750905*$D$9+Y24)*52.41%)/11*0)/30*0))</f>
        <v>1222237.3453893678</v>
      </c>
      <c r="Y24" s="77">
        <f t="shared" si="11"/>
        <v>9391.6666666666661</v>
      </c>
      <c r="Z24" s="78">
        <f>SUM(X24)*8%</f>
        <v>97778.98763114943</v>
      </c>
      <c r="AA24" s="79">
        <f t="shared" si="6"/>
        <v>1320016.3330205171</v>
      </c>
      <c r="AB24" s="79">
        <f t="shared" si="12"/>
        <v>132002</v>
      </c>
      <c r="AC24" s="79">
        <f t="shared" si="7"/>
        <v>25080</v>
      </c>
      <c r="AD24" s="166">
        <f t="shared" si="13"/>
        <v>1345096.3330205171</v>
      </c>
      <c r="AE24" s="168">
        <f t="shared" si="14"/>
        <v>5956856.6176622901</v>
      </c>
      <c r="AG24" s="171">
        <f t="shared" si="15"/>
        <v>0</v>
      </c>
      <c r="AH24" s="171">
        <f t="shared" si="16"/>
        <v>5956856.6176622901</v>
      </c>
      <c r="AI24" s="171">
        <f t="shared" si="17"/>
        <v>0</v>
      </c>
    </row>
    <row r="25" spans="1:35" customFormat="1" ht="60" x14ac:dyDescent="0.25">
      <c r="A25" s="70" t="s">
        <v>164</v>
      </c>
      <c r="B25" s="71" t="s">
        <v>173</v>
      </c>
      <c r="C25" s="72" t="s">
        <v>155</v>
      </c>
      <c r="D25" s="73" t="s">
        <v>156</v>
      </c>
      <c r="E25" s="124">
        <v>1</v>
      </c>
      <c r="F25" s="74"/>
      <c r="G25" s="74">
        <v>1</v>
      </c>
      <c r="H25" s="75"/>
      <c r="I25" s="76">
        <f>(((((1750905*$D$9+J25)*47.59%)/13*10)/30*4)+((((1750905*$D$9+J25)*52.41%)/11*0)/30*0))</f>
        <v>873026.67527811974</v>
      </c>
      <c r="J25" s="77">
        <f t="shared" si="8"/>
        <v>9391.6666666666661</v>
      </c>
      <c r="K25" s="78">
        <f>SUM(I25)*8%</f>
        <v>69842.134022249578</v>
      </c>
      <c r="L25" s="79">
        <f t="shared" si="0"/>
        <v>942868.80930036935</v>
      </c>
      <c r="M25" s="79">
        <f t="shared" si="18"/>
        <v>94287</v>
      </c>
      <c r="N25" s="79">
        <f t="shared" si="1"/>
        <v>17915</v>
      </c>
      <c r="O25" s="80">
        <f t="shared" si="2"/>
        <v>960783.80930036935</v>
      </c>
      <c r="P25" s="81"/>
      <c r="Q25" s="76">
        <f>(((((1750905*$D$9+R25)*47.59%)/13*10)/30*20)+((((1750905*$D$9+R25)*52.41%)/11*0)/30*0))</f>
        <v>4365133.3763905987</v>
      </c>
      <c r="R25" s="77">
        <f t="shared" si="9"/>
        <v>9391.6666666666661</v>
      </c>
      <c r="S25" s="78">
        <f>SUM(Q25)*8%</f>
        <v>349210.67011124792</v>
      </c>
      <c r="T25" s="79">
        <f t="shared" si="3"/>
        <v>4714344.046501847</v>
      </c>
      <c r="U25" s="79">
        <f t="shared" si="10"/>
        <v>471434</v>
      </c>
      <c r="V25" s="79">
        <f t="shared" si="4"/>
        <v>89572</v>
      </c>
      <c r="W25" s="166">
        <f t="shared" si="5"/>
        <v>4803916.046501847</v>
      </c>
      <c r="X25" s="76">
        <f>(((((1750905*$D$9+Y25)*47.59%)/13*10)/30*7)+((((1750905*$D$9+Y25)*52.41%)/11*0)/30*0))</f>
        <v>1527796.6817367096</v>
      </c>
      <c r="Y25" s="77">
        <f t="shared" si="11"/>
        <v>9391.6666666666661</v>
      </c>
      <c r="Z25" s="78">
        <f>SUM(X25)*8%</f>
        <v>122223.73453893677</v>
      </c>
      <c r="AA25" s="79">
        <f t="shared" si="6"/>
        <v>1650020.4162756463</v>
      </c>
      <c r="AB25" s="79">
        <f t="shared" si="12"/>
        <v>165002</v>
      </c>
      <c r="AC25" s="79">
        <f t="shared" si="7"/>
        <v>31350</v>
      </c>
      <c r="AD25" s="166">
        <f t="shared" si="13"/>
        <v>1681370.4162756463</v>
      </c>
      <c r="AE25" s="168">
        <f t="shared" si="14"/>
        <v>7446070.2720778631</v>
      </c>
      <c r="AG25" s="171">
        <f t="shared" si="15"/>
        <v>0</v>
      </c>
      <c r="AH25" s="171">
        <f t="shared" si="16"/>
        <v>7446070.2720778631</v>
      </c>
      <c r="AI25" s="171">
        <f t="shared" si="17"/>
        <v>0</v>
      </c>
    </row>
    <row r="26" spans="1:35" customFormat="1" ht="60" customHeight="1" x14ac:dyDescent="0.25">
      <c r="A26" s="84" t="s">
        <v>174</v>
      </c>
      <c r="B26" s="83" t="s">
        <v>175</v>
      </c>
      <c r="C26" s="72" t="s">
        <v>155</v>
      </c>
      <c r="D26" s="73" t="s">
        <v>156</v>
      </c>
      <c r="E26" s="124">
        <v>1</v>
      </c>
      <c r="F26" s="74"/>
      <c r="G26" s="74">
        <v>1</v>
      </c>
      <c r="H26" s="75"/>
      <c r="I26" s="76">
        <f>(((((1750905*$D$9+J26)*47.59%)/13*11)/30*4)+(((1750905*$D$9+J26)*47.59%)/13*6)/30*1)+((((1750905*$D$9+J26)*52.41%)/11*0)/30*0)</f>
        <v>1091283.3440976497</v>
      </c>
      <c r="J26" s="77">
        <f t="shared" si="8"/>
        <v>9391.6666666666661</v>
      </c>
      <c r="K26" s="78">
        <f>SUM(I26)*11%</f>
        <v>120041.16785074146</v>
      </c>
      <c r="L26" s="79">
        <f t="shared" si="0"/>
        <v>1211324.5119483911</v>
      </c>
      <c r="M26" s="79">
        <f t="shared" si="18"/>
        <v>121132</v>
      </c>
      <c r="N26" s="79">
        <f t="shared" si="1"/>
        <v>23015</v>
      </c>
      <c r="O26" s="137">
        <f t="shared" si="2"/>
        <v>1234339.5119483911</v>
      </c>
      <c r="P26" s="81"/>
      <c r="Q26" s="76">
        <f>(((((1750905*$D$9+R26)*47.59%)/13*11)/30*20)+(((1750905*$D$9+R26)*47.59%)/13*6)/30*4)+((((1750905*$D$9+R26)*52.41%)/11*0)/30*0)</f>
        <v>5325462.7191965301</v>
      </c>
      <c r="R26" s="77">
        <f t="shared" si="9"/>
        <v>9391.6666666666661</v>
      </c>
      <c r="S26" s="78">
        <f>SUM(Q26)*11%</f>
        <v>585800.89911161829</v>
      </c>
      <c r="T26" s="79">
        <f t="shared" si="3"/>
        <v>5911263.6183081483</v>
      </c>
      <c r="U26" s="79">
        <f t="shared" si="10"/>
        <v>591126</v>
      </c>
      <c r="V26" s="79">
        <f t="shared" si="4"/>
        <v>112314</v>
      </c>
      <c r="W26" s="166">
        <f t="shared" si="5"/>
        <v>6023577.6183081483</v>
      </c>
      <c r="X26" s="76">
        <f>(((((1750905*$D$9+Y26)*47.59%)/13*11)/30*7)+(((1750905*$D$9+Y26)*47.59%)/13*6)/30*1)+((((1750905*$D$9+Y26)*52.41%)/11*0)/30*0)</f>
        <v>1811530.3512020984</v>
      </c>
      <c r="Y26" s="77">
        <f t="shared" si="11"/>
        <v>9391.6666666666661</v>
      </c>
      <c r="Z26" s="78">
        <f>SUM(X26)*11%</f>
        <v>199268.33863223082</v>
      </c>
      <c r="AA26" s="79">
        <f t="shared" si="6"/>
        <v>2010798.6898343293</v>
      </c>
      <c r="AB26" s="79">
        <f t="shared" si="12"/>
        <v>201080</v>
      </c>
      <c r="AC26" s="79">
        <f t="shared" si="7"/>
        <v>38205</v>
      </c>
      <c r="AD26" s="166">
        <f t="shared" si="13"/>
        <v>2049003.6898343293</v>
      </c>
      <c r="AE26" s="168">
        <f t="shared" si="14"/>
        <v>9306920.8200908676</v>
      </c>
      <c r="AG26" s="171">
        <f t="shared" si="15"/>
        <v>0</v>
      </c>
      <c r="AH26" s="171">
        <f t="shared" si="16"/>
        <v>9306920.8200908676</v>
      </c>
      <c r="AI26" s="171">
        <f t="shared" si="17"/>
        <v>0</v>
      </c>
    </row>
    <row r="27" spans="1:35" customFormat="1" ht="60" x14ac:dyDescent="0.25">
      <c r="A27" s="70" t="s">
        <v>176</v>
      </c>
      <c r="B27" s="83" t="s">
        <v>177</v>
      </c>
      <c r="C27" s="72" t="s">
        <v>155</v>
      </c>
      <c r="D27" s="72" t="s">
        <v>156</v>
      </c>
      <c r="E27" s="90">
        <v>1</v>
      </c>
      <c r="F27" s="74"/>
      <c r="G27" s="74">
        <v>1</v>
      </c>
      <c r="H27" s="75"/>
      <c r="I27" s="76">
        <f>(((((1750905*$D$9+J27)*47.59%)/13*12)/30*4)+((((1750905*$D$9+J27)*52.41%)/11*0)/30*0))</f>
        <v>1047632.0103337436</v>
      </c>
      <c r="J27" s="77">
        <f t="shared" si="8"/>
        <v>9391.6666666666661</v>
      </c>
      <c r="K27" s="78">
        <f>SUM(I27)*8%</f>
        <v>83810.560826699497</v>
      </c>
      <c r="L27" s="79">
        <f t="shared" si="0"/>
        <v>1131442.5711604431</v>
      </c>
      <c r="M27" s="79">
        <f t="shared" si="18"/>
        <v>113144</v>
      </c>
      <c r="N27" s="79">
        <f t="shared" si="1"/>
        <v>21497</v>
      </c>
      <c r="O27" s="80">
        <f t="shared" si="2"/>
        <v>1152939.5711604431</v>
      </c>
      <c r="P27" s="81"/>
      <c r="Q27" s="76">
        <f>(((((1750905*$D$9+R27)*47.59%)/13*12)/30*20)+((((1750905*$D$9+R27)*52.41%)/11*0)/30*0))</f>
        <v>5238160.0516687185</v>
      </c>
      <c r="R27" s="77">
        <f t="shared" si="9"/>
        <v>9391.6666666666661</v>
      </c>
      <c r="S27" s="78">
        <f>SUM(Q27)*8%</f>
        <v>419052.80413349747</v>
      </c>
      <c r="T27" s="79">
        <f t="shared" si="3"/>
        <v>5657212.8558022156</v>
      </c>
      <c r="U27" s="79">
        <f t="shared" si="10"/>
        <v>565721</v>
      </c>
      <c r="V27" s="79">
        <f t="shared" si="4"/>
        <v>107487</v>
      </c>
      <c r="W27" s="166">
        <f t="shared" si="5"/>
        <v>5764699.8558022156</v>
      </c>
      <c r="X27" s="76">
        <f>(((((1750905*$D$9+Y27)*47.59%)/13*12)/30*7)+((((1750905*$D$9+Y27)*52.41%)/11*0)/30*0))</f>
        <v>1833356.0180840513</v>
      </c>
      <c r="Y27" s="77">
        <f t="shared" si="11"/>
        <v>9391.6666666666661</v>
      </c>
      <c r="Z27" s="78">
        <f>SUM(X27)*8%</f>
        <v>146668.48144672412</v>
      </c>
      <c r="AA27" s="79">
        <f t="shared" si="6"/>
        <v>1980024.4995307755</v>
      </c>
      <c r="AB27" s="79">
        <f t="shared" si="12"/>
        <v>198002</v>
      </c>
      <c r="AC27" s="79">
        <f t="shared" si="7"/>
        <v>37620</v>
      </c>
      <c r="AD27" s="166">
        <f t="shared" si="13"/>
        <v>2017644.4995307755</v>
      </c>
      <c r="AE27" s="168">
        <f t="shared" si="14"/>
        <v>8935283.9264934342</v>
      </c>
      <c r="AG27" s="171">
        <f t="shared" si="15"/>
        <v>0</v>
      </c>
      <c r="AH27" s="171">
        <f t="shared" si="16"/>
        <v>8935283.9264934342</v>
      </c>
      <c r="AI27" s="171">
        <f t="shared" si="17"/>
        <v>0</v>
      </c>
    </row>
    <row r="28" spans="1:35" customFormat="1" ht="36" x14ac:dyDescent="0.25">
      <c r="A28" s="70" t="s">
        <v>178</v>
      </c>
      <c r="B28" s="71" t="s">
        <v>316</v>
      </c>
      <c r="C28" s="72" t="s">
        <v>315</v>
      </c>
      <c r="D28" s="73" t="s">
        <v>156</v>
      </c>
      <c r="E28" s="124">
        <v>1</v>
      </c>
      <c r="F28" s="74"/>
      <c r="G28" s="74">
        <v>1</v>
      </c>
      <c r="H28" s="75"/>
      <c r="I28" s="76">
        <f>(((((1750905*$D$9+J28)*47.59%)/13*8)/30*4)+((((1750905*$D$9+J28)*52.41%)/11*0)/30*0))</f>
        <v>698421.34022249584</v>
      </c>
      <c r="J28" s="77">
        <f t="shared" si="8"/>
        <v>9391.6666666666661</v>
      </c>
      <c r="K28" s="78">
        <f>SUM(I28)*8%</f>
        <v>55873.707217799667</v>
      </c>
      <c r="L28" s="79">
        <f t="shared" si="0"/>
        <v>754295.04744029546</v>
      </c>
      <c r="M28" s="79">
        <f t="shared" si="18"/>
        <v>75430</v>
      </c>
      <c r="N28" s="79">
        <f t="shared" si="1"/>
        <v>14332</v>
      </c>
      <c r="O28" s="80">
        <f t="shared" si="2"/>
        <v>768627.04744029546</v>
      </c>
      <c r="P28" s="81"/>
      <c r="Q28" s="76">
        <f>(((((1750905*$D$9+R28)*47.59%)/13*8)/30*20)+((((1750905*$D$9+R28)*52.41%)/11*0)/30*0))</f>
        <v>3492106.701112479</v>
      </c>
      <c r="R28" s="77">
        <f t="shared" si="9"/>
        <v>9391.6666666666661</v>
      </c>
      <c r="S28" s="78">
        <f>SUM(Q28)*8%</f>
        <v>279368.53608899831</v>
      </c>
      <c r="T28" s="79">
        <f t="shared" si="3"/>
        <v>3771475.2372014774</v>
      </c>
      <c r="U28" s="79">
        <f t="shared" si="10"/>
        <v>377148</v>
      </c>
      <c r="V28" s="79">
        <f t="shared" si="4"/>
        <v>71658</v>
      </c>
      <c r="W28" s="166">
        <f t="shared" si="5"/>
        <v>3843133.2372014774</v>
      </c>
      <c r="X28" s="76">
        <f>(((((1750905*$D$9+Y28)*47.59%)/13*8)/30*7)+((((1750905*$D$9+Y28)*52.41%)/11*0)/30*0))</f>
        <v>1222237.3453893678</v>
      </c>
      <c r="Y28" s="77">
        <f t="shared" si="11"/>
        <v>9391.6666666666661</v>
      </c>
      <c r="Z28" s="78">
        <f>SUM(X28)*8%</f>
        <v>97778.98763114943</v>
      </c>
      <c r="AA28" s="79">
        <f t="shared" si="6"/>
        <v>1320016.3330205171</v>
      </c>
      <c r="AB28" s="79">
        <f t="shared" si="12"/>
        <v>132002</v>
      </c>
      <c r="AC28" s="79">
        <f t="shared" si="7"/>
        <v>25080</v>
      </c>
      <c r="AD28" s="166">
        <f t="shared" si="13"/>
        <v>1345096.3330205171</v>
      </c>
      <c r="AE28" s="168">
        <f t="shared" si="14"/>
        <v>5956856.6176622901</v>
      </c>
      <c r="AG28" s="171">
        <f t="shared" si="15"/>
        <v>0</v>
      </c>
      <c r="AH28" s="171">
        <f t="shared" si="16"/>
        <v>5956856.6176622901</v>
      </c>
      <c r="AI28" s="171">
        <f t="shared" si="17"/>
        <v>0</v>
      </c>
    </row>
    <row r="29" spans="1:35" customFormat="1" ht="36" x14ac:dyDescent="0.25">
      <c r="A29" s="70" t="s">
        <v>179</v>
      </c>
      <c r="B29" s="71" t="s">
        <v>180</v>
      </c>
      <c r="C29" s="72" t="s">
        <v>181</v>
      </c>
      <c r="D29" s="73" t="s">
        <v>156</v>
      </c>
      <c r="E29" s="124">
        <v>1</v>
      </c>
      <c r="F29" s="74">
        <v>7.0000000000000007E-2</v>
      </c>
      <c r="G29" s="74">
        <v>0.93</v>
      </c>
      <c r="H29" s="75"/>
      <c r="I29" s="76">
        <f>(((((1750905*$D$9+J29)*47.59%)/13*9)/30*4)+((((1750905*$D$9+J29)*52.41%)/11*0)/30*0))</f>
        <v>785724.00775030779</v>
      </c>
      <c r="J29" s="77">
        <f t="shared" si="8"/>
        <v>9391.6666666666661</v>
      </c>
      <c r="K29" s="78">
        <f>SUM(I29)*8%</f>
        <v>62857.920620024626</v>
      </c>
      <c r="L29" s="79">
        <f t="shared" si="0"/>
        <v>848581.92837033246</v>
      </c>
      <c r="M29" s="79">
        <f t="shared" si="18"/>
        <v>84858</v>
      </c>
      <c r="N29" s="79">
        <f t="shared" si="1"/>
        <v>16123</v>
      </c>
      <c r="O29" s="80">
        <f t="shared" si="2"/>
        <v>864704.92837033246</v>
      </c>
      <c r="P29" s="81"/>
      <c r="Q29" s="76">
        <f>(((((1750905*$D$9+R29)*47.59%)/13*9)/30*20)+((((1750905*$D$9+R29)*52.41%)/11*0)/30*0))</f>
        <v>3928620.0387515388</v>
      </c>
      <c r="R29" s="77">
        <f t="shared" si="9"/>
        <v>9391.6666666666661</v>
      </c>
      <c r="S29" s="78">
        <f>SUM(Q29)*8%</f>
        <v>314289.60310012312</v>
      </c>
      <c r="T29" s="79">
        <f t="shared" si="3"/>
        <v>4242909.6418516617</v>
      </c>
      <c r="U29" s="79">
        <f t="shared" si="10"/>
        <v>424291</v>
      </c>
      <c r="V29" s="79">
        <f t="shared" si="4"/>
        <v>80615</v>
      </c>
      <c r="W29" s="166">
        <f t="shared" si="5"/>
        <v>4323524.6418516617</v>
      </c>
      <c r="X29" s="76">
        <f>(((((1750905*$D$9+Y29)*47.59%)/13*9)/30*7)+((((1750905*$D$9+Y29)*52.41%)/11*0)/30*0))</f>
        <v>1375017.0135630385</v>
      </c>
      <c r="Y29" s="77">
        <f t="shared" si="11"/>
        <v>9391.6666666666661</v>
      </c>
      <c r="Z29" s="78">
        <f>SUM(X29)*8%</f>
        <v>110001.36108504309</v>
      </c>
      <c r="AA29" s="79">
        <f t="shared" si="6"/>
        <v>1485018.3746480816</v>
      </c>
      <c r="AB29" s="79">
        <f t="shared" si="12"/>
        <v>148502</v>
      </c>
      <c r="AC29" s="79">
        <f t="shared" si="7"/>
        <v>28215</v>
      </c>
      <c r="AD29" s="166">
        <f t="shared" si="13"/>
        <v>1513233.3746480816</v>
      </c>
      <c r="AE29" s="168">
        <f t="shared" si="14"/>
        <v>6701462.9448700752</v>
      </c>
      <c r="AG29" s="171">
        <f t="shared" si="15"/>
        <v>469102.40614090528</v>
      </c>
      <c r="AH29" s="171">
        <f t="shared" si="16"/>
        <v>6232360.5387291703</v>
      </c>
      <c r="AI29" s="171">
        <f t="shared" si="17"/>
        <v>0</v>
      </c>
    </row>
    <row r="30" spans="1:35" customFormat="1" ht="48" x14ac:dyDescent="0.25">
      <c r="A30" s="85" t="s">
        <v>153</v>
      </c>
      <c r="B30" s="71" t="s">
        <v>182</v>
      </c>
      <c r="C30" s="72" t="s">
        <v>181</v>
      </c>
      <c r="D30" s="73" t="s">
        <v>156</v>
      </c>
      <c r="E30" s="124">
        <v>1</v>
      </c>
      <c r="F30" s="74">
        <v>7.0000000000000007E-2</v>
      </c>
      <c r="G30" s="74">
        <v>0.93</v>
      </c>
      <c r="H30" s="75"/>
      <c r="I30" s="76">
        <f>(((((1750905*$D$9+J30)*47.59%)/13*13)/30*7)+((((1750905*$D$9+J30)*52.41%)/11*11)/30*7))</f>
        <v>4173430.7338888897</v>
      </c>
      <c r="J30" s="77">
        <f t="shared" si="8"/>
        <v>9391.6666666666661</v>
      </c>
      <c r="K30" s="78">
        <f>SUM(I30)*10%</f>
        <v>417343.07338888897</v>
      </c>
      <c r="L30" s="79">
        <f t="shared" si="0"/>
        <v>4590773.8072777782</v>
      </c>
      <c r="M30" s="79">
        <f t="shared" si="18"/>
        <v>459077</v>
      </c>
      <c r="N30" s="79">
        <f t="shared" si="1"/>
        <v>87225</v>
      </c>
      <c r="O30" s="80">
        <f t="shared" si="2"/>
        <v>4677998.8072777782</v>
      </c>
      <c r="P30" s="81"/>
      <c r="Q30" s="76">
        <f>(((((1750905*$D$9+R30)*47.59%)/13*13)/30*30)+((((1750905*$D$9+R30)*52.41%)/11*11)/30*30))</f>
        <v>17886131.716666669</v>
      </c>
      <c r="R30" s="77">
        <f t="shared" si="9"/>
        <v>9391.6666666666661</v>
      </c>
      <c r="S30" s="78">
        <f>SUM(Q30)*10%</f>
        <v>1788613.1716666669</v>
      </c>
      <c r="T30" s="79">
        <f t="shared" si="3"/>
        <v>19674744.888333336</v>
      </c>
      <c r="U30" s="79">
        <f t="shared" si="10"/>
        <v>1967474</v>
      </c>
      <c r="V30" s="79">
        <f t="shared" si="4"/>
        <v>373820</v>
      </c>
      <c r="W30" s="166">
        <f t="shared" si="5"/>
        <v>20048564.888333336</v>
      </c>
      <c r="X30" s="76">
        <f>(((((1750905*$D$9+Y30)*47.59%)/13*13)/30*10)+((((1750905*$D$9+Y30)*52.41%)/11*11)/30*10))</f>
        <v>5962043.9055555565</v>
      </c>
      <c r="Y30" s="77">
        <f t="shared" si="11"/>
        <v>9391.6666666666661</v>
      </c>
      <c r="Z30" s="78">
        <f>SUM(X30)*10%</f>
        <v>596204.3905555557</v>
      </c>
      <c r="AA30" s="79">
        <f t="shared" si="6"/>
        <v>6558248.2961111125</v>
      </c>
      <c r="AB30" s="79">
        <f t="shared" si="12"/>
        <v>655825</v>
      </c>
      <c r="AC30" s="79">
        <f t="shared" si="7"/>
        <v>124607</v>
      </c>
      <c r="AD30" s="166">
        <f t="shared" si="13"/>
        <v>6682855.2961111125</v>
      </c>
      <c r="AE30" s="168">
        <f t="shared" si="14"/>
        <v>31409418.991722226</v>
      </c>
      <c r="AG30" s="171">
        <f t="shared" si="15"/>
        <v>2198659.3294205558</v>
      </c>
      <c r="AH30" s="171">
        <f t="shared" si="16"/>
        <v>29210759.662301671</v>
      </c>
      <c r="AI30" s="171">
        <f t="shared" si="17"/>
        <v>0</v>
      </c>
    </row>
    <row r="31" spans="1:35" customFormat="1" ht="48" x14ac:dyDescent="0.25">
      <c r="A31" s="85" t="s">
        <v>183</v>
      </c>
      <c r="B31" s="71" t="s">
        <v>184</v>
      </c>
      <c r="C31" s="72" t="s">
        <v>181</v>
      </c>
      <c r="D31" s="73" t="s">
        <v>156</v>
      </c>
      <c r="E31" s="124">
        <v>1</v>
      </c>
      <c r="F31" s="74">
        <v>7.0000000000000007E-2</v>
      </c>
      <c r="G31" s="74">
        <v>0.93</v>
      </c>
      <c r="H31" s="75"/>
      <c r="I31" s="76">
        <f>(((((1750905*$D$9+J31)*47.59%)/13*10)/30*7)+((((1750905*$D$9+J31)*52.41%)/11*0)/30*0))</f>
        <v>1527796.6817367096</v>
      </c>
      <c r="J31" s="77">
        <f t="shared" si="8"/>
        <v>9391.6666666666661</v>
      </c>
      <c r="K31" s="78">
        <f>SUM(I31)*10%</f>
        <v>152779.66817367097</v>
      </c>
      <c r="L31" s="79">
        <f t="shared" si="0"/>
        <v>1680576.3499103806</v>
      </c>
      <c r="M31" s="79">
        <f t="shared" si="18"/>
        <v>168058</v>
      </c>
      <c r="N31" s="79">
        <f t="shared" si="1"/>
        <v>31931</v>
      </c>
      <c r="O31" s="80">
        <f t="shared" si="2"/>
        <v>1712507.3499103806</v>
      </c>
      <c r="P31" s="81"/>
      <c r="Q31" s="76">
        <f>(((((1750905*$D$9+R31)*47.59%)/13*10)/30*30)+((((1750905*$D$9+R31)*52.41%)/11*0)/30*0))</f>
        <v>6547700.0645858981</v>
      </c>
      <c r="R31" s="77">
        <f t="shared" si="9"/>
        <v>9391.6666666666661</v>
      </c>
      <c r="S31" s="78">
        <f>SUM(Q31)*10%</f>
        <v>654770.00645858981</v>
      </c>
      <c r="T31" s="79">
        <f t="shared" si="3"/>
        <v>7202470.0710444879</v>
      </c>
      <c r="U31" s="79">
        <f t="shared" si="10"/>
        <v>720247</v>
      </c>
      <c r="V31" s="79">
        <f t="shared" si="4"/>
        <v>136847</v>
      </c>
      <c r="W31" s="166">
        <f t="shared" si="5"/>
        <v>7339317.0710444879</v>
      </c>
      <c r="X31" s="76">
        <f>(((((1750905*$D$9+Y31)*47.59%)/13*10)/30*10)+((((1750905*$D$9+Y31)*52.41%)/11*0)/30*0))</f>
        <v>2182566.6881952994</v>
      </c>
      <c r="Y31" s="77">
        <f t="shared" si="11"/>
        <v>9391.6666666666661</v>
      </c>
      <c r="Z31" s="78">
        <f>SUM(X31)*10%</f>
        <v>218256.66881952994</v>
      </c>
      <c r="AA31" s="79">
        <f t="shared" si="6"/>
        <v>2400823.3570148293</v>
      </c>
      <c r="AB31" s="79">
        <f t="shared" si="12"/>
        <v>240082</v>
      </c>
      <c r="AC31" s="79">
        <f t="shared" si="7"/>
        <v>45616</v>
      </c>
      <c r="AD31" s="166">
        <f t="shared" si="13"/>
        <v>2446439.3570148293</v>
      </c>
      <c r="AE31" s="168">
        <f t="shared" si="14"/>
        <v>11498263.777969697</v>
      </c>
      <c r="AG31" s="171">
        <f t="shared" si="15"/>
        <v>804878.46445787884</v>
      </c>
      <c r="AH31" s="171">
        <f t="shared" si="16"/>
        <v>10693385.313511819</v>
      </c>
      <c r="AI31" s="171">
        <f t="shared" si="17"/>
        <v>0</v>
      </c>
    </row>
    <row r="32" spans="1:35" customFormat="1" ht="96" x14ac:dyDescent="0.25">
      <c r="A32" s="70" t="s">
        <v>153</v>
      </c>
      <c r="B32" s="71" t="s">
        <v>185</v>
      </c>
      <c r="C32" s="72" t="s">
        <v>186</v>
      </c>
      <c r="D32" s="72" t="s">
        <v>187</v>
      </c>
      <c r="E32" s="90">
        <v>1</v>
      </c>
      <c r="F32" s="74"/>
      <c r="G32" s="74">
        <v>1</v>
      </c>
      <c r="H32" s="75"/>
      <c r="I32" s="76">
        <f>(((((1750905*$D$9+J32)*47.59%)/13*13)/30*7)+((((1750905*$D$9+J32)*52.41%)/11*11)/30*7))</f>
        <v>4173430.7338888897</v>
      </c>
      <c r="J32" s="77">
        <f t="shared" si="8"/>
        <v>9391.6666666666661</v>
      </c>
      <c r="K32" s="78">
        <f>SUM(I32)*10%</f>
        <v>417343.07338888897</v>
      </c>
      <c r="L32" s="79">
        <f t="shared" si="0"/>
        <v>4590773.8072777782</v>
      </c>
      <c r="M32" s="79">
        <f t="shared" si="18"/>
        <v>459077</v>
      </c>
      <c r="N32" s="79">
        <f t="shared" si="1"/>
        <v>87225</v>
      </c>
      <c r="O32" s="80">
        <f t="shared" si="2"/>
        <v>4677998.8072777782</v>
      </c>
      <c r="P32" s="81"/>
      <c r="Q32" s="76">
        <f>(((((1750905*$D$9+R32)*47.59%)/13*13)/30*30)+((((1750905*$D$9+R32)*52.41%)/11*11)/30*30))</f>
        <v>17886131.716666669</v>
      </c>
      <c r="R32" s="77">
        <f t="shared" si="9"/>
        <v>9391.6666666666661</v>
      </c>
      <c r="S32" s="78">
        <f>SUM(Q32)*10%</f>
        <v>1788613.1716666669</v>
      </c>
      <c r="T32" s="79">
        <f t="shared" si="3"/>
        <v>19674744.888333336</v>
      </c>
      <c r="U32" s="79">
        <f t="shared" si="10"/>
        <v>1967474</v>
      </c>
      <c r="V32" s="79">
        <f t="shared" si="4"/>
        <v>373820</v>
      </c>
      <c r="W32" s="166">
        <f t="shared" si="5"/>
        <v>20048564.888333336</v>
      </c>
      <c r="X32" s="76">
        <f>(((((1750905*$D$9+Y32)*47.59%)/13*13)/30*10)+((((1750905*$D$9+Y32)*52.41%)/11*11)/30*10))</f>
        <v>5962043.9055555565</v>
      </c>
      <c r="Y32" s="77">
        <f t="shared" si="11"/>
        <v>9391.6666666666661</v>
      </c>
      <c r="Z32" s="78">
        <f>SUM(X32)*10%</f>
        <v>596204.3905555557</v>
      </c>
      <c r="AA32" s="79">
        <f t="shared" si="6"/>
        <v>6558248.2961111125</v>
      </c>
      <c r="AB32" s="79">
        <f t="shared" si="12"/>
        <v>655825</v>
      </c>
      <c r="AC32" s="79">
        <f t="shared" si="7"/>
        <v>124607</v>
      </c>
      <c r="AD32" s="166">
        <f t="shared" si="13"/>
        <v>6682855.2961111125</v>
      </c>
      <c r="AE32" s="168">
        <f t="shared" si="14"/>
        <v>31409418.991722226</v>
      </c>
      <c r="AG32" s="171">
        <f t="shared" si="15"/>
        <v>0</v>
      </c>
      <c r="AH32" s="171">
        <f t="shared" si="16"/>
        <v>31409418.991722226</v>
      </c>
      <c r="AI32" s="171">
        <f t="shared" si="17"/>
        <v>0</v>
      </c>
    </row>
    <row r="33" spans="1:35" customFormat="1" ht="48" x14ac:dyDescent="0.25">
      <c r="A33" s="70" t="s">
        <v>188</v>
      </c>
      <c r="B33" s="71" t="s">
        <v>189</v>
      </c>
      <c r="C33" s="72" t="s">
        <v>190</v>
      </c>
      <c r="D33" s="73" t="s">
        <v>191</v>
      </c>
      <c r="E33" s="90">
        <v>1</v>
      </c>
      <c r="F33" s="74"/>
      <c r="G33" s="74">
        <v>1</v>
      </c>
      <c r="H33" s="75"/>
      <c r="I33" s="76">
        <f>(((((1750905*$D$9+J33)*47.59%)/13*12)/30*7)+((((1750905*$D$9+J33)*52.41%)/11*0)/30*0))</f>
        <v>1833356.0180840513</v>
      </c>
      <c r="J33" s="77">
        <f t="shared" si="8"/>
        <v>9391.6666666666661</v>
      </c>
      <c r="K33" s="78">
        <f>SUM(I33)*8%</f>
        <v>146668.48144672412</v>
      </c>
      <c r="L33" s="79">
        <f t="shared" si="0"/>
        <v>1980024.4995307755</v>
      </c>
      <c r="M33" s="79">
        <f t="shared" si="18"/>
        <v>198002</v>
      </c>
      <c r="N33" s="79">
        <f t="shared" si="1"/>
        <v>37620</v>
      </c>
      <c r="O33" s="80">
        <f t="shared" si="2"/>
        <v>2017644.4995307755</v>
      </c>
      <c r="P33" s="81"/>
      <c r="Q33" s="76">
        <f>(((((1750905*$D$9+R33)*47.59%)/13*12)/30*30)+((((1750905*$D$9+R33)*52.41%)/11*0)/30*0))</f>
        <v>7857240.0775030777</v>
      </c>
      <c r="R33" s="77">
        <f t="shared" si="9"/>
        <v>9391.6666666666661</v>
      </c>
      <c r="S33" s="78">
        <f>SUM(Q33)*8%</f>
        <v>628579.20620024623</v>
      </c>
      <c r="T33" s="79">
        <f t="shared" si="3"/>
        <v>8485819.2837033235</v>
      </c>
      <c r="U33" s="79">
        <f t="shared" si="10"/>
        <v>848582</v>
      </c>
      <c r="V33" s="79">
        <f t="shared" si="4"/>
        <v>161231</v>
      </c>
      <c r="W33" s="166">
        <f t="shared" si="5"/>
        <v>8647050.2837033235</v>
      </c>
      <c r="X33" s="76">
        <f>(((((1750905*$D$9+Y33)*47.59%)/13*12)/30*10)+((((1750905*$D$9+Y33)*52.41%)/11*0)/30*0))</f>
        <v>2619080.0258343592</v>
      </c>
      <c r="Y33" s="77">
        <f t="shared" si="11"/>
        <v>9391.6666666666661</v>
      </c>
      <c r="Z33" s="78">
        <f>SUM(X33)*8%</f>
        <v>209526.40206674873</v>
      </c>
      <c r="AA33" s="79">
        <f t="shared" si="6"/>
        <v>2828606.4279011078</v>
      </c>
      <c r="AB33" s="79">
        <f t="shared" si="12"/>
        <v>282861</v>
      </c>
      <c r="AC33" s="79">
        <f t="shared" si="7"/>
        <v>53744</v>
      </c>
      <c r="AD33" s="166">
        <f t="shared" si="13"/>
        <v>2882350.4279011078</v>
      </c>
      <c r="AE33" s="168">
        <f t="shared" si="14"/>
        <v>13547045.211135207</v>
      </c>
      <c r="AG33" s="171">
        <f t="shared" si="15"/>
        <v>0</v>
      </c>
      <c r="AH33" s="171">
        <f t="shared" si="16"/>
        <v>13547045.211135207</v>
      </c>
      <c r="AI33" s="171">
        <f t="shared" si="17"/>
        <v>0</v>
      </c>
    </row>
    <row r="34" spans="1:35" customFormat="1" ht="36" x14ac:dyDescent="0.25">
      <c r="A34" s="70" t="s">
        <v>164</v>
      </c>
      <c r="B34" s="83" t="s">
        <v>192</v>
      </c>
      <c r="C34" s="72" t="s">
        <v>190</v>
      </c>
      <c r="D34" s="73" t="s">
        <v>191</v>
      </c>
      <c r="E34" s="90">
        <v>1</v>
      </c>
      <c r="F34" s="74"/>
      <c r="G34" s="74">
        <v>1</v>
      </c>
      <c r="H34" s="75"/>
      <c r="I34" s="76">
        <f>(((((1750905*$D$9+J34)*47.59%)/13*10)/30*4)+((((1750905*$D$9+J34)*52.41%)/11*0)/30*0))</f>
        <v>873026.67527811974</v>
      </c>
      <c r="J34" s="77">
        <f t="shared" si="8"/>
        <v>9391.6666666666661</v>
      </c>
      <c r="K34" s="78">
        <f>SUM(I34)*8%</f>
        <v>69842.134022249578</v>
      </c>
      <c r="L34" s="79">
        <f t="shared" si="0"/>
        <v>942868.80930036935</v>
      </c>
      <c r="M34" s="79">
        <f t="shared" si="18"/>
        <v>94287</v>
      </c>
      <c r="N34" s="79">
        <f t="shared" si="1"/>
        <v>17915</v>
      </c>
      <c r="O34" s="80">
        <f t="shared" si="2"/>
        <v>960783.80930036935</v>
      </c>
      <c r="P34" s="81"/>
      <c r="Q34" s="76">
        <f>(((((1750905*$D$9+R34)*47.59%)/13*10)/30*20)+((((1750905*$D$9+R34)*52.41%)/11*0)/30*0))</f>
        <v>4365133.3763905987</v>
      </c>
      <c r="R34" s="77">
        <f t="shared" si="9"/>
        <v>9391.6666666666661</v>
      </c>
      <c r="S34" s="78">
        <f>SUM(Q34)*8%</f>
        <v>349210.67011124792</v>
      </c>
      <c r="T34" s="79">
        <f t="shared" si="3"/>
        <v>4714344.046501847</v>
      </c>
      <c r="U34" s="79">
        <f t="shared" si="10"/>
        <v>471434</v>
      </c>
      <c r="V34" s="79">
        <f t="shared" si="4"/>
        <v>89572</v>
      </c>
      <c r="W34" s="166">
        <f t="shared" si="5"/>
        <v>4803916.046501847</v>
      </c>
      <c r="X34" s="76">
        <f>(((((1750905*$D$9+Y34)*47.59%)/13*10)/30*7)+((((1750905*$D$9+Y34)*52.41%)/11*0)/30*0))</f>
        <v>1527796.6817367096</v>
      </c>
      <c r="Y34" s="77">
        <f t="shared" si="11"/>
        <v>9391.6666666666661</v>
      </c>
      <c r="Z34" s="78">
        <f>SUM(X34)*8%</f>
        <v>122223.73453893677</v>
      </c>
      <c r="AA34" s="79">
        <f t="shared" si="6"/>
        <v>1650020.4162756463</v>
      </c>
      <c r="AB34" s="79">
        <f t="shared" si="12"/>
        <v>165002</v>
      </c>
      <c r="AC34" s="79">
        <f t="shared" si="7"/>
        <v>31350</v>
      </c>
      <c r="AD34" s="166">
        <f t="shared" si="13"/>
        <v>1681370.4162756463</v>
      </c>
      <c r="AE34" s="168">
        <f t="shared" si="14"/>
        <v>7446070.2720778631</v>
      </c>
      <c r="AG34" s="171">
        <f t="shared" si="15"/>
        <v>0</v>
      </c>
      <c r="AH34" s="171">
        <f t="shared" si="16"/>
        <v>7446070.2720778631</v>
      </c>
      <c r="AI34" s="171">
        <f t="shared" si="17"/>
        <v>0</v>
      </c>
    </row>
    <row r="35" spans="1:35" customFormat="1" ht="36" x14ac:dyDescent="0.25">
      <c r="A35" s="70" t="s">
        <v>153</v>
      </c>
      <c r="B35" s="71" t="s">
        <v>193</v>
      </c>
      <c r="C35" s="72" t="s">
        <v>190</v>
      </c>
      <c r="D35" s="73" t="s">
        <v>191</v>
      </c>
      <c r="E35" s="90">
        <v>1</v>
      </c>
      <c r="F35" s="74"/>
      <c r="G35" s="74">
        <v>1</v>
      </c>
      <c r="H35" s="75"/>
      <c r="I35" s="76">
        <f>(((((1750905*$D$9+J35)*47.59%)/13*13)/30*7)+((((1750905*$D$9+J35)*52.41%)/11*11)/30*7))</f>
        <v>4173430.7338888897</v>
      </c>
      <c r="J35" s="77">
        <f t="shared" si="8"/>
        <v>9391.6666666666661</v>
      </c>
      <c r="K35" s="78">
        <f>SUM(I35)*10%</f>
        <v>417343.07338888897</v>
      </c>
      <c r="L35" s="79">
        <f t="shared" si="0"/>
        <v>4590773.8072777782</v>
      </c>
      <c r="M35" s="79">
        <f t="shared" si="18"/>
        <v>459077</v>
      </c>
      <c r="N35" s="79">
        <f t="shared" si="1"/>
        <v>87225</v>
      </c>
      <c r="O35" s="80">
        <f t="shared" si="2"/>
        <v>4677998.8072777782</v>
      </c>
      <c r="P35" s="81"/>
      <c r="Q35" s="76">
        <f>(((((1750905*$D$9+R35)*47.59%)/13*13)/30*30)+((((1750905*$D$9+R35)*52.41%)/11*11)/30*30))</f>
        <v>17886131.716666669</v>
      </c>
      <c r="R35" s="77">
        <f t="shared" si="9"/>
        <v>9391.6666666666661</v>
      </c>
      <c r="S35" s="78">
        <f>SUM(Q35)*10%</f>
        <v>1788613.1716666669</v>
      </c>
      <c r="T35" s="79">
        <f t="shared" si="3"/>
        <v>19674744.888333336</v>
      </c>
      <c r="U35" s="79">
        <f t="shared" si="10"/>
        <v>1967474</v>
      </c>
      <c r="V35" s="79">
        <f t="shared" si="4"/>
        <v>373820</v>
      </c>
      <c r="W35" s="166">
        <f t="shared" si="5"/>
        <v>20048564.888333336</v>
      </c>
      <c r="X35" s="76">
        <f>(((((1750905*$D$9+Y35)*47.59%)/13*13)/30*10)+((((1750905*$D$9+Y35)*52.41%)/11*11)/30*10))</f>
        <v>5962043.9055555565</v>
      </c>
      <c r="Y35" s="77">
        <f t="shared" si="11"/>
        <v>9391.6666666666661</v>
      </c>
      <c r="Z35" s="78">
        <f>SUM(X35)*10%</f>
        <v>596204.3905555557</v>
      </c>
      <c r="AA35" s="79">
        <f t="shared" si="6"/>
        <v>6558248.2961111125</v>
      </c>
      <c r="AB35" s="79">
        <f t="shared" si="12"/>
        <v>655825</v>
      </c>
      <c r="AC35" s="79">
        <f t="shared" si="7"/>
        <v>124607</v>
      </c>
      <c r="AD35" s="166">
        <f t="shared" si="13"/>
        <v>6682855.2961111125</v>
      </c>
      <c r="AE35" s="168">
        <f t="shared" si="14"/>
        <v>31409418.991722226</v>
      </c>
      <c r="AG35" s="171">
        <f t="shared" si="15"/>
        <v>0</v>
      </c>
      <c r="AH35" s="171">
        <f t="shared" si="16"/>
        <v>31409418.991722226</v>
      </c>
      <c r="AI35" s="171">
        <f t="shared" si="17"/>
        <v>0</v>
      </c>
    </row>
    <row r="36" spans="1:35" customFormat="1" ht="36" x14ac:dyDescent="0.25">
      <c r="A36" s="70" t="s">
        <v>153</v>
      </c>
      <c r="B36" s="71" t="s">
        <v>194</v>
      </c>
      <c r="C36" s="72" t="s">
        <v>190</v>
      </c>
      <c r="D36" s="73" t="s">
        <v>191</v>
      </c>
      <c r="E36" s="124">
        <v>1</v>
      </c>
      <c r="F36" s="74"/>
      <c r="G36" s="74">
        <v>1</v>
      </c>
      <c r="H36" s="75"/>
      <c r="I36" s="76">
        <f>(((((1750905*$D$9+J36)*47.59%)/13*13)/30*7)+((((1750905*$D$9+J36)*52.41%)/11*11)/30*7))</f>
        <v>4173430.7338888897</v>
      </c>
      <c r="J36" s="77">
        <f t="shared" si="8"/>
        <v>9391.6666666666661</v>
      </c>
      <c r="K36" s="78">
        <f>SUM(I36)*10%</f>
        <v>417343.07338888897</v>
      </c>
      <c r="L36" s="79">
        <f t="shared" si="0"/>
        <v>4590773.8072777782</v>
      </c>
      <c r="M36" s="79">
        <f t="shared" si="18"/>
        <v>459077</v>
      </c>
      <c r="N36" s="79">
        <f t="shared" si="1"/>
        <v>87225</v>
      </c>
      <c r="O36" s="80">
        <f t="shared" si="2"/>
        <v>4677998.8072777782</v>
      </c>
      <c r="P36" s="81"/>
      <c r="Q36" s="76">
        <f>(((((1750905*$D$9+R36)*47.59%)/13*13)/30*30)+((((1750905*$D$9+R36)*52.41%)/11*11)/30*30))</f>
        <v>17886131.716666669</v>
      </c>
      <c r="R36" s="77">
        <f t="shared" si="9"/>
        <v>9391.6666666666661</v>
      </c>
      <c r="S36" s="78">
        <f>SUM(Q36)*10%</f>
        <v>1788613.1716666669</v>
      </c>
      <c r="T36" s="79">
        <f t="shared" si="3"/>
        <v>19674744.888333336</v>
      </c>
      <c r="U36" s="79">
        <f t="shared" si="10"/>
        <v>1967474</v>
      </c>
      <c r="V36" s="79">
        <f t="shared" si="4"/>
        <v>373820</v>
      </c>
      <c r="W36" s="166">
        <f t="shared" si="5"/>
        <v>20048564.888333336</v>
      </c>
      <c r="X36" s="76">
        <f>(((((1750905*$D$9+Y36)*47.59%)/13*13)/30*10)+((((1750905*$D$9+Y36)*52.41%)/11*11)/30*10))</f>
        <v>5962043.9055555565</v>
      </c>
      <c r="Y36" s="77">
        <f t="shared" si="11"/>
        <v>9391.6666666666661</v>
      </c>
      <c r="Z36" s="78">
        <f>SUM(X36)*10%</f>
        <v>596204.3905555557</v>
      </c>
      <c r="AA36" s="79">
        <f t="shared" si="6"/>
        <v>6558248.2961111125</v>
      </c>
      <c r="AB36" s="79">
        <f t="shared" si="12"/>
        <v>655825</v>
      </c>
      <c r="AC36" s="79">
        <f t="shared" si="7"/>
        <v>124607</v>
      </c>
      <c r="AD36" s="166">
        <f t="shared" si="13"/>
        <v>6682855.2961111125</v>
      </c>
      <c r="AE36" s="168">
        <f t="shared" si="14"/>
        <v>31409418.991722226</v>
      </c>
      <c r="AG36" s="171">
        <f t="shared" si="15"/>
        <v>0</v>
      </c>
      <c r="AH36" s="171">
        <f t="shared" si="16"/>
        <v>31409418.991722226</v>
      </c>
      <c r="AI36" s="171">
        <f t="shared" si="17"/>
        <v>0</v>
      </c>
    </row>
    <row r="37" spans="1:35" customFormat="1" ht="48" x14ac:dyDescent="0.25">
      <c r="A37" s="70" t="s">
        <v>195</v>
      </c>
      <c r="B37" s="71" t="s">
        <v>196</v>
      </c>
      <c r="C37" s="72" t="s">
        <v>197</v>
      </c>
      <c r="D37" s="72" t="s">
        <v>191</v>
      </c>
      <c r="E37" s="90">
        <v>1</v>
      </c>
      <c r="F37" s="74"/>
      <c r="G37" s="74">
        <v>1</v>
      </c>
      <c r="H37" s="75"/>
      <c r="I37" s="76">
        <f t="shared" ref="I37:I42" si="19">(((((1750905*$D$9+J37)*47.59%)/13*8)/30*4)+((((1750905*$D$9+J37)*52.41%)/11*0)/30*0))</f>
        <v>698421.34022249584</v>
      </c>
      <c r="J37" s="77">
        <f t="shared" si="8"/>
        <v>9391.6666666666661</v>
      </c>
      <c r="K37" s="78">
        <f>SUM(I37)*11%</f>
        <v>76826.347424474545</v>
      </c>
      <c r="L37" s="79">
        <f t="shared" si="0"/>
        <v>775247.68764697039</v>
      </c>
      <c r="M37" s="79">
        <f t="shared" si="18"/>
        <v>77525</v>
      </c>
      <c r="N37" s="79">
        <f t="shared" si="1"/>
        <v>14730</v>
      </c>
      <c r="O37" s="80">
        <f t="shared" si="2"/>
        <v>789977.68764697039</v>
      </c>
      <c r="P37" s="81"/>
      <c r="Q37" s="76">
        <f t="shared" ref="Q37:Q42" si="20">(((((1750905*$D$9+R37)*47.59%)/13*8)/30*20)+((((1750905*$D$9+R37)*52.41%)/11*0)/30*0))</f>
        <v>3492106.701112479</v>
      </c>
      <c r="R37" s="77">
        <f t="shared" si="9"/>
        <v>9391.6666666666661</v>
      </c>
      <c r="S37" s="78">
        <f>SUM(Q37)*11%</f>
        <v>384131.73712237267</v>
      </c>
      <c r="T37" s="79">
        <f t="shared" si="3"/>
        <v>3876238.4382348517</v>
      </c>
      <c r="U37" s="79">
        <f t="shared" si="10"/>
        <v>387624</v>
      </c>
      <c r="V37" s="79">
        <f t="shared" si="4"/>
        <v>73649</v>
      </c>
      <c r="W37" s="166">
        <f t="shared" si="5"/>
        <v>3949887.4382348517</v>
      </c>
      <c r="X37" s="76">
        <f t="shared" ref="X37:X42" si="21">(((((1750905*$D$9+Y37)*47.59%)/13*8)/30*7)+((((1750905*$D$9+Y37)*52.41%)/11*0)/30*0))</f>
        <v>1222237.3453893678</v>
      </c>
      <c r="Y37" s="77">
        <f t="shared" si="11"/>
        <v>9391.6666666666661</v>
      </c>
      <c r="Z37" s="78">
        <f>SUM(X37)*11%</f>
        <v>134446.10799283045</v>
      </c>
      <c r="AA37" s="79">
        <f t="shared" si="6"/>
        <v>1356683.4533821982</v>
      </c>
      <c r="AB37" s="79">
        <f t="shared" si="12"/>
        <v>135668</v>
      </c>
      <c r="AC37" s="79">
        <f t="shared" si="7"/>
        <v>25777</v>
      </c>
      <c r="AD37" s="166">
        <f t="shared" si="13"/>
        <v>1382460.4533821982</v>
      </c>
      <c r="AE37" s="168">
        <f t="shared" si="14"/>
        <v>6122325.5792640205</v>
      </c>
      <c r="AG37" s="171">
        <f t="shared" si="15"/>
        <v>0</v>
      </c>
      <c r="AH37" s="171">
        <f t="shared" si="16"/>
        <v>6122325.5792640205</v>
      </c>
      <c r="AI37" s="171">
        <f t="shared" si="17"/>
        <v>0</v>
      </c>
    </row>
    <row r="38" spans="1:35" customFormat="1" ht="92.25" customHeight="1" x14ac:dyDescent="0.25">
      <c r="A38" s="70" t="s">
        <v>198</v>
      </c>
      <c r="B38" s="83" t="s">
        <v>199</v>
      </c>
      <c r="C38" s="86" t="s">
        <v>200</v>
      </c>
      <c r="D38" s="73" t="s">
        <v>156</v>
      </c>
      <c r="E38" s="90">
        <v>1</v>
      </c>
      <c r="F38" s="74"/>
      <c r="G38" s="74">
        <v>1</v>
      </c>
      <c r="H38" s="75"/>
      <c r="I38" s="76">
        <f t="shared" si="19"/>
        <v>698421.34022249584</v>
      </c>
      <c r="J38" s="77">
        <f t="shared" si="8"/>
        <v>9391.6666666666661</v>
      </c>
      <c r="K38" s="78">
        <f>SUM(I38)*8%</f>
        <v>55873.707217799667</v>
      </c>
      <c r="L38" s="79">
        <f t="shared" si="0"/>
        <v>754295.04744029546</v>
      </c>
      <c r="M38" s="79">
        <f t="shared" si="18"/>
        <v>75430</v>
      </c>
      <c r="N38" s="79">
        <f t="shared" si="1"/>
        <v>14332</v>
      </c>
      <c r="O38" s="80">
        <f t="shared" si="2"/>
        <v>768627.04744029546</v>
      </c>
      <c r="P38" s="81"/>
      <c r="Q38" s="76">
        <f t="shared" si="20"/>
        <v>3492106.701112479</v>
      </c>
      <c r="R38" s="77">
        <f t="shared" si="9"/>
        <v>9391.6666666666661</v>
      </c>
      <c r="S38" s="78">
        <f>SUM(Q38)*8%</f>
        <v>279368.53608899831</v>
      </c>
      <c r="T38" s="79">
        <f t="shared" si="3"/>
        <v>3771475.2372014774</v>
      </c>
      <c r="U38" s="79">
        <f t="shared" si="10"/>
        <v>377148</v>
      </c>
      <c r="V38" s="79">
        <f t="shared" si="4"/>
        <v>71658</v>
      </c>
      <c r="W38" s="166">
        <f t="shared" si="5"/>
        <v>3843133.2372014774</v>
      </c>
      <c r="X38" s="76">
        <f t="shared" si="21"/>
        <v>1222237.3453893678</v>
      </c>
      <c r="Y38" s="77">
        <f t="shared" si="11"/>
        <v>9391.6666666666661</v>
      </c>
      <c r="Z38" s="78">
        <f>SUM(X38)*8%</f>
        <v>97778.98763114943</v>
      </c>
      <c r="AA38" s="79">
        <f t="shared" si="6"/>
        <v>1320016.3330205171</v>
      </c>
      <c r="AB38" s="79">
        <f t="shared" si="12"/>
        <v>132002</v>
      </c>
      <c r="AC38" s="79">
        <f t="shared" si="7"/>
        <v>25080</v>
      </c>
      <c r="AD38" s="166">
        <f t="shared" si="13"/>
        <v>1345096.3330205171</v>
      </c>
      <c r="AE38" s="168">
        <f t="shared" si="14"/>
        <v>5956856.6176622901</v>
      </c>
      <c r="AG38" s="171">
        <f t="shared" si="15"/>
        <v>0</v>
      </c>
      <c r="AH38" s="171">
        <f t="shared" si="16"/>
        <v>5956856.6176622901</v>
      </c>
      <c r="AI38" s="171">
        <f t="shared" si="17"/>
        <v>0</v>
      </c>
    </row>
    <row r="39" spans="1:35" customFormat="1" ht="92.25" customHeight="1" x14ac:dyDescent="0.25">
      <c r="A39" s="70" t="s">
        <v>198</v>
      </c>
      <c r="B39" s="83" t="s">
        <v>201</v>
      </c>
      <c r="C39" s="86" t="s">
        <v>202</v>
      </c>
      <c r="D39" s="73" t="s">
        <v>156</v>
      </c>
      <c r="E39" s="90">
        <v>1</v>
      </c>
      <c r="F39" s="74"/>
      <c r="G39" s="74">
        <v>1</v>
      </c>
      <c r="H39" s="75"/>
      <c r="I39" s="76">
        <f t="shared" si="19"/>
        <v>698421.34022249584</v>
      </c>
      <c r="J39" s="77">
        <f t="shared" si="8"/>
        <v>9391.6666666666661</v>
      </c>
      <c r="K39" s="78">
        <f t="shared" ref="K39:K40" si="22">SUM(I39)*8%</f>
        <v>55873.707217799667</v>
      </c>
      <c r="L39" s="79">
        <f t="shared" si="0"/>
        <v>754295.04744029546</v>
      </c>
      <c r="M39" s="79">
        <f t="shared" si="18"/>
        <v>75430</v>
      </c>
      <c r="N39" s="79">
        <f t="shared" si="1"/>
        <v>14332</v>
      </c>
      <c r="O39" s="80">
        <f t="shared" si="2"/>
        <v>768627.04744029546</v>
      </c>
      <c r="P39" s="81"/>
      <c r="Q39" s="76">
        <f t="shared" si="20"/>
        <v>3492106.701112479</v>
      </c>
      <c r="R39" s="77">
        <f t="shared" si="9"/>
        <v>9391.6666666666661</v>
      </c>
      <c r="S39" s="78">
        <f t="shared" ref="S39:S40" si="23">SUM(Q39)*8%</f>
        <v>279368.53608899831</v>
      </c>
      <c r="T39" s="79">
        <f t="shared" si="3"/>
        <v>3771475.2372014774</v>
      </c>
      <c r="U39" s="79">
        <f t="shared" si="10"/>
        <v>377148</v>
      </c>
      <c r="V39" s="79">
        <f t="shared" si="4"/>
        <v>71658</v>
      </c>
      <c r="W39" s="166">
        <f t="shared" si="5"/>
        <v>3843133.2372014774</v>
      </c>
      <c r="X39" s="76">
        <f t="shared" si="21"/>
        <v>1222237.3453893678</v>
      </c>
      <c r="Y39" s="77">
        <f t="shared" si="11"/>
        <v>9391.6666666666661</v>
      </c>
      <c r="Z39" s="78">
        <f t="shared" ref="Z39:Z40" si="24">SUM(X39)*8%</f>
        <v>97778.98763114943</v>
      </c>
      <c r="AA39" s="79">
        <f t="shared" si="6"/>
        <v>1320016.3330205171</v>
      </c>
      <c r="AB39" s="79">
        <f t="shared" si="12"/>
        <v>132002</v>
      </c>
      <c r="AC39" s="79">
        <f t="shared" si="7"/>
        <v>25080</v>
      </c>
      <c r="AD39" s="166">
        <f t="shared" si="13"/>
        <v>1345096.3330205171</v>
      </c>
      <c r="AE39" s="168">
        <f t="shared" si="14"/>
        <v>5956856.6176622901</v>
      </c>
      <c r="AG39" s="171">
        <f t="shared" si="15"/>
        <v>0</v>
      </c>
      <c r="AH39" s="171">
        <f t="shared" si="16"/>
        <v>5956856.6176622901</v>
      </c>
      <c r="AI39" s="171">
        <f t="shared" si="17"/>
        <v>0</v>
      </c>
    </row>
    <row r="40" spans="1:35" customFormat="1" ht="92.25" customHeight="1" x14ac:dyDescent="0.25">
      <c r="A40" s="70" t="s">
        <v>198</v>
      </c>
      <c r="B40" s="87" t="s">
        <v>203</v>
      </c>
      <c r="C40" s="88" t="s">
        <v>204</v>
      </c>
      <c r="D40" s="72" t="s">
        <v>156</v>
      </c>
      <c r="E40" s="90">
        <v>1</v>
      </c>
      <c r="F40" s="74"/>
      <c r="G40" s="74">
        <v>1</v>
      </c>
      <c r="H40" s="75"/>
      <c r="I40" s="76">
        <f t="shared" si="19"/>
        <v>698421.34022249584</v>
      </c>
      <c r="J40" s="77">
        <f t="shared" si="8"/>
        <v>9391.6666666666661</v>
      </c>
      <c r="K40" s="78">
        <f t="shared" si="22"/>
        <v>55873.707217799667</v>
      </c>
      <c r="L40" s="79">
        <f t="shared" si="0"/>
        <v>754295.04744029546</v>
      </c>
      <c r="M40" s="79">
        <f t="shared" si="18"/>
        <v>75430</v>
      </c>
      <c r="N40" s="79">
        <f t="shared" si="1"/>
        <v>14332</v>
      </c>
      <c r="O40" s="80">
        <f t="shared" si="2"/>
        <v>768627.04744029546</v>
      </c>
      <c r="P40" s="81"/>
      <c r="Q40" s="76">
        <f t="shared" si="20"/>
        <v>3492106.701112479</v>
      </c>
      <c r="R40" s="77">
        <f t="shared" si="9"/>
        <v>9391.6666666666661</v>
      </c>
      <c r="S40" s="78">
        <f t="shared" si="23"/>
        <v>279368.53608899831</v>
      </c>
      <c r="T40" s="79">
        <f t="shared" si="3"/>
        <v>3771475.2372014774</v>
      </c>
      <c r="U40" s="79">
        <f t="shared" si="10"/>
        <v>377148</v>
      </c>
      <c r="V40" s="79">
        <f t="shared" si="4"/>
        <v>71658</v>
      </c>
      <c r="W40" s="166">
        <f t="shared" si="5"/>
        <v>3843133.2372014774</v>
      </c>
      <c r="X40" s="76">
        <f t="shared" si="21"/>
        <v>1222237.3453893678</v>
      </c>
      <c r="Y40" s="77">
        <f t="shared" si="11"/>
        <v>9391.6666666666661</v>
      </c>
      <c r="Z40" s="78">
        <f t="shared" si="24"/>
        <v>97778.98763114943</v>
      </c>
      <c r="AA40" s="79">
        <f t="shared" si="6"/>
        <v>1320016.3330205171</v>
      </c>
      <c r="AB40" s="79">
        <f t="shared" si="12"/>
        <v>132002</v>
      </c>
      <c r="AC40" s="79">
        <f t="shared" si="7"/>
        <v>25080</v>
      </c>
      <c r="AD40" s="166">
        <f t="shared" si="13"/>
        <v>1345096.3330205171</v>
      </c>
      <c r="AE40" s="168">
        <f t="shared" si="14"/>
        <v>5956856.6176622901</v>
      </c>
      <c r="AG40" s="171">
        <f t="shared" si="15"/>
        <v>0</v>
      </c>
      <c r="AH40" s="171">
        <f t="shared" si="16"/>
        <v>5956856.6176622901</v>
      </c>
      <c r="AI40" s="171">
        <f t="shared" si="17"/>
        <v>0</v>
      </c>
    </row>
    <row r="41" spans="1:35" customFormat="1" ht="36" x14ac:dyDescent="0.25">
      <c r="A41" s="70" t="s">
        <v>198</v>
      </c>
      <c r="B41" s="83" t="s">
        <v>205</v>
      </c>
      <c r="C41" s="89" t="s">
        <v>206</v>
      </c>
      <c r="D41" s="73" t="s">
        <v>156</v>
      </c>
      <c r="E41" s="90">
        <v>1</v>
      </c>
      <c r="F41" s="74"/>
      <c r="G41" s="74">
        <v>1</v>
      </c>
      <c r="H41" s="75"/>
      <c r="I41" s="76">
        <f t="shared" si="19"/>
        <v>698421.34022249584</v>
      </c>
      <c r="J41" s="77">
        <f t="shared" si="8"/>
        <v>9391.6666666666661</v>
      </c>
      <c r="K41" s="78">
        <f>SUM(I41)*8%</f>
        <v>55873.707217799667</v>
      </c>
      <c r="L41" s="79">
        <f t="shared" si="0"/>
        <v>754295.04744029546</v>
      </c>
      <c r="M41" s="79">
        <f t="shared" si="18"/>
        <v>75430</v>
      </c>
      <c r="N41" s="79">
        <f t="shared" si="1"/>
        <v>14332</v>
      </c>
      <c r="O41" s="80">
        <f t="shared" si="2"/>
        <v>768627.04744029546</v>
      </c>
      <c r="P41" s="81"/>
      <c r="Q41" s="76">
        <f t="shared" si="20"/>
        <v>3492106.701112479</v>
      </c>
      <c r="R41" s="77">
        <f t="shared" si="9"/>
        <v>9391.6666666666661</v>
      </c>
      <c r="S41" s="78">
        <f>SUM(Q41)*8%</f>
        <v>279368.53608899831</v>
      </c>
      <c r="T41" s="79">
        <f t="shared" si="3"/>
        <v>3771475.2372014774</v>
      </c>
      <c r="U41" s="79">
        <f t="shared" si="10"/>
        <v>377148</v>
      </c>
      <c r="V41" s="79">
        <f t="shared" si="4"/>
        <v>71658</v>
      </c>
      <c r="W41" s="166">
        <f t="shared" si="5"/>
        <v>3843133.2372014774</v>
      </c>
      <c r="X41" s="76">
        <f t="shared" si="21"/>
        <v>1222237.3453893678</v>
      </c>
      <c r="Y41" s="77">
        <f t="shared" si="11"/>
        <v>9391.6666666666661</v>
      </c>
      <c r="Z41" s="78">
        <f>SUM(X41)*8%</f>
        <v>97778.98763114943</v>
      </c>
      <c r="AA41" s="79">
        <f t="shared" si="6"/>
        <v>1320016.3330205171</v>
      </c>
      <c r="AB41" s="79">
        <f t="shared" si="12"/>
        <v>132002</v>
      </c>
      <c r="AC41" s="79">
        <f t="shared" si="7"/>
        <v>25080</v>
      </c>
      <c r="AD41" s="166">
        <f t="shared" si="13"/>
        <v>1345096.3330205171</v>
      </c>
      <c r="AE41" s="168">
        <f t="shared" si="14"/>
        <v>5956856.6176622901</v>
      </c>
      <c r="AG41" s="171">
        <f t="shared" si="15"/>
        <v>0</v>
      </c>
      <c r="AH41" s="171">
        <f t="shared" si="16"/>
        <v>5956856.6176622901</v>
      </c>
      <c r="AI41" s="171">
        <f t="shared" si="17"/>
        <v>0</v>
      </c>
    </row>
    <row r="42" spans="1:35" customFormat="1" ht="48" x14ac:dyDescent="0.25">
      <c r="A42" s="70" t="s">
        <v>171</v>
      </c>
      <c r="B42" s="83" t="s">
        <v>207</v>
      </c>
      <c r="C42" s="84" t="s">
        <v>208</v>
      </c>
      <c r="D42" s="72" t="s">
        <v>156</v>
      </c>
      <c r="E42" s="90">
        <v>1</v>
      </c>
      <c r="F42" s="74"/>
      <c r="G42" s="74">
        <v>1</v>
      </c>
      <c r="H42" s="75"/>
      <c r="I42" s="76">
        <f t="shared" si="19"/>
        <v>698421.34022249584</v>
      </c>
      <c r="J42" s="77">
        <f t="shared" si="8"/>
        <v>9391.6666666666661</v>
      </c>
      <c r="K42" s="78">
        <f>SUM(I42)*8%</f>
        <v>55873.707217799667</v>
      </c>
      <c r="L42" s="79">
        <f t="shared" si="0"/>
        <v>754295.04744029546</v>
      </c>
      <c r="M42" s="79">
        <f t="shared" si="18"/>
        <v>75430</v>
      </c>
      <c r="N42" s="79">
        <f t="shared" si="1"/>
        <v>14332</v>
      </c>
      <c r="O42" s="80">
        <f t="shared" si="2"/>
        <v>768627.04744029546</v>
      </c>
      <c r="P42" s="81"/>
      <c r="Q42" s="76">
        <f t="shared" si="20"/>
        <v>3492106.701112479</v>
      </c>
      <c r="R42" s="77">
        <f t="shared" si="9"/>
        <v>9391.6666666666661</v>
      </c>
      <c r="S42" s="78">
        <f>SUM(Q42)*8%</f>
        <v>279368.53608899831</v>
      </c>
      <c r="T42" s="79">
        <f t="shared" si="3"/>
        <v>3771475.2372014774</v>
      </c>
      <c r="U42" s="79">
        <f t="shared" si="10"/>
        <v>377148</v>
      </c>
      <c r="V42" s="79">
        <f t="shared" si="4"/>
        <v>71658</v>
      </c>
      <c r="W42" s="166">
        <f t="shared" si="5"/>
        <v>3843133.2372014774</v>
      </c>
      <c r="X42" s="76">
        <f t="shared" si="21"/>
        <v>1222237.3453893678</v>
      </c>
      <c r="Y42" s="77">
        <f t="shared" si="11"/>
        <v>9391.6666666666661</v>
      </c>
      <c r="Z42" s="78">
        <f>SUM(X42)*8%</f>
        <v>97778.98763114943</v>
      </c>
      <c r="AA42" s="79">
        <f t="shared" si="6"/>
        <v>1320016.3330205171</v>
      </c>
      <c r="AB42" s="79">
        <f t="shared" si="12"/>
        <v>132002</v>
      </c>
      <c r="AC42" s="79">
        <f t="shared" si="7"/>
        <v>25080</v>
      </c>
      <c r="AD42" s="166">
        <f t="shared" si="13"/>
        <v>1345096.3330205171</v>
      </c>
      <c r="AE42" s="168">
        <f t="shared" si="14"/>
        <v>5956856.6176622901</v>
      </c>
      <c r="AG42" s="171">
        <f t="shared" si="15"/>
        <v>0</v>
      </c>
      <c r="AH42" s="171">
        <f t="shared" si="16"/>
        <v>5956856.6176622901</v>
      </c>
      <c r="AI42" s="171">
        <f t="shared" si="17"/>
        <v>0</v>
      </c>
    </row>
    <row r="43" spans="1:35" customFormat="1" ht="48" x14ac:dyDescent="0.25">
      <c r="A43" s="70" t="s">
        <v>153</v>
      </c>
      <c r="B43" s="71" t="s">
        <v>207</v>
      </c>
      <c r="C43" s="72" t="s">
        <v>208</v>
      </c>
      <c r="D43" s="73" t="s">
        <v>156</v>
      </c>
      <c r="E43" s="124">
        <v>1</v>
      </c>
      <c r="F43" s="74"/>
      <c r="G43" s="74">
        <v>1</v>
      </c>
      <c r="H43" s="75"/>
      <c r="I43" s="76">
        <v>0</v>
      </c>
      <c r="J43" s="77">
        <f t="shared" si="8"/>
        <v>9391.6666666666661</v>
      </c>
      <c r="K43" s="78">
        <f>SUM(I43)*10%</f>
        <v>0</v>
      </c>
      <c r="L43" s="79">
        <f t="shared" si="0"/>
        <v>0</v>
      </c>
      <c r="M43" s="79">
        <f t="shared" si="18"/>
        <v>0</v>
      </c>
      <c r="N43" s="79">
        <f t="shared" si="1"/>
        <v>0</v>
      </c>
      <c r="O43" s="80">
        <f t="shared" si="2"/>
        <v>0</v>
      </c>
      <c r="P43" s="81"/>
      <c r="Q43" s="76">
        <v>0</v>
      </c>
      <c r="R43" s="77">
        <f t="shared" si="9"/>
        <v>9391.6666666666661</v>
      </c>
      <c r="S43" s="78">
        <f>SUM(Q43)*10%</f>
        <v>0</v>
      </c>
      <c r="T43" s="79">
        <f t="shared" si="3"/>
        <v>0</v>
      </c>
      <c r="U43" s="79">
        <f t="shared" si="10"/>
        <v>0</v>
      </c>
      <c r="V43" s="79">
        <f t="shared" si="4"/>
        <v>0</v>
      </c>
      <c r="W43" s="166">
        <f t="shared" si="5"/>
        <v>0</v>
      </c>
      <c r="X43" s="76">
        <v>0</v>
      </c>
      <c r="Y43" s="77">
        <f t="shared" si="11"/>
        <v>9391.6666666666661</v>
      </c>
      <c r="Z43" s="78">
        <f>SUM(X43)*10%</f>
        <v>0</v>
      </c>
      <c r="AA43" s="79">
        <f t="shared" si="6"/>
        <v>0</v>
      </c>
      <c r="AB43" s="79">
        <f t="shared" si="12"/>
        <v>0</v>
      </c>
      <c r="AC43" s="79">
        <f t="shared" si="7"/>
        <v>0</v>
      </c>
      <c r="AD43" s="166">
        <f t="shared" si="13"/>
        <v>0</v>
      </c>
      <c r="AE43" s="168">
        <f t="shared" si="14"/>
        <v>0</v>
      </c>
      <c r="AG43" s="171">
        <f t="shared" si="15"/>
        <v>0</v>
      </c>
      <c r="AH43" s="171">
        <f t="shared" si="16"/>
        <v>0</v>
      </c>
      <c r="AI43" s="171">
        <f t="shared" si="17"/>
        <v>0</v>
      </c>
    </row>
    <row r="44" spans="1:35" customFormat="1" ht="72" x14ac:dyDescent="0.25">
      <c r="A44" s="85" t="s">
        <v>209</v>
      </c>
      <c r="B44" s="71" t="s">
        <v>210</v>
      </c>
      <c r="C44" s="72" t="s">
        <v>211</v>
      </c>
      <c r="D44" s="72" t="s">
        <v>212</v>
      </c>
      <c r="E44" s="90">
        <v>1</v>
      </c>
      <c r="F44" s="74">
        <v>0.04</v>
      </c>
      <c r="G44" s="74">
        <v>0.96</v>
      </c>
      <c r="H44" s="75"/>
      <c r="I44" s="76">
        <f>(((((1750905*$D$9+J44)*47.59%)/13*12)/30*7)+((((1750905*$D$9+J44)*52.41%)/11*0)/30*0))</f>
        <v>1833356.0180840513</v>
      </c>
      <c r="J44" s="77">
        <f t="shared" si="8"/>
        <v>9391.6666666666661</v>
      </c>
      <c r="K44" s="78">
        <f t="shared" ref="K44:K47" si="25">SUM(I44)*10%</f>
        <v>183335.60180840513</v>
      </c>
      <c r="L44" s="79">
        <f t="shared" si="0"/>
        <v>2016691.6198924566</v>
      </c>
      <c r="M44" s="79">
        <f t="shared" si="18"/>
        <v>201669</v>
      </c>
      <c r="N44" s="79">
        <f t="shared" si="1"/>
        <v>38317</v>
      </c>
      <c r="O44" s="80">
        <f t="shared" si="2"/>
        <v>2055008.6198924566</v>
      </c>
      <c r="P44" s="81"/>
      <c r="Q44" s="76">
        <f>(((((1750905*$D$9+R44)*47.59%)/13*12)/30*30)+((((1750905*$D$9+R44)*52.41%)/11*0)/30*0))</f>
        <v>7857240.0775030777</v>
      </c>
      <c r="R44" s="77">
        <f t="shared" si="9"/>
        <v>9391.6666666666661</v>
      </c>
      <c r="S44" s="78">
        <f t="shared" ref="S44:S47" si="26">SUM(Q44)*10%</f>
        <v>785724.00775030779</v>
      </c>
      <c r="T44" s="79">
        <f t="shared" si="3"/>
        <v>8642964.0852533858</v>
      </c>
      <c r="U44" s="79">
        <f t="shared" si="10"/>
        <v>864296</v>
      </c>
      <c r="V44" s="79">
        <f t="shared" si="4"/>
        <v>164216</v>
      </c>
      <c r="W44" s="166">
        <f t="shared" si="5"/>
        <v>8807180.0852533858</v>
      </c>
      <c r="X44" s="76">
        <f>(((((1750905*$D$9+Y44)*47.59%)/13*12)/30*10)+((((1750905*$D$9+Y44)*52.41%)/11*0)/30*0))</f>
        <v>2619080.0258343592</v>
      </c>
      <c r="Y44" s="77">
        <f t="shared" si="11"/>
        <v>9391.6666666666661</v>
      </c>
      <c r="Z44" s="78">
        <f t="shared" ref="Z44:Z47" si="27">SUM(X44)*10%</f>
        <v>261908.00258343594</v>
      </c>
      <c r="AA44" s="79">
        <f t="shared" si="6"/>
        <v>2880988.028417795</v>
      </c>
      <c r="AB44" s="79">
        <f t="shared" si="12"/>
        <v>288099</v>
      </c>
      <c r="AC44" s="79">
        <f t="shared" si="7"/>
        <v>54739</v>
      </c>
      <c r="AD44" s="166">
        <f t="shared" si="13"/>
        <v>2935727.028417795</v>
      </c>
      <c r="AE44" s="168">
        <f t="shared" si="14"/>
        <v>13797915.733563639</v>
      </c>
      <c r="AG44" s="171">
        <f t="shared" si="15"/>
        <v>551916.62934254552</v>
      </c>
      <c r="AH44" s="171">
        <f t="shared" si="16"/>
        <v>13245999.104221093</v>
      </c>
      <c r="AI44" s="171">
        <f t="shared" si="17"/>
        <v>0</v>
      </c>
    </row>
    <row r="45" spans="1:35" customFormat="1" ht="60" x14ac:dyDescent="0.25">
      <c r="A45" s="85" t="s">
        <v>153</v>
      </c>
      <c r="B45" s="71" t="s">
        <v>213</v>
      </c>
      <c r="C45" s="72" t="s">
        <v>211</v>
      </c>
      <c r="D45" s="72" t="s">
        <v>212</v>
      </c>
      <c r="E45" s="90">
        <v>1</v>
      </c>
      <c r="F45" s="74">
        <v>0.04</v>
      </c>
      <c r="G45" s="74">
        <v>0.96</v>
      </c>
      <c r="H45" s="75"/>
      <c r="I45" s="76">
        <f>(((((1750905*$D$9+J45)*47.59%)/13*13)/30*7)+((((1750905*$D$9+J45)*52.41%)/11*11)/30*7))</f>
        <v>4173430.7338888897</v>
      </c>
      <c r="J45" s="77">
        <f t="shared" si="8"/>
        <v>9391.6666666666661</v>
      </c>
      <c r="K45" s="78">
        <f t="shared" si="25"/>
        <v>417343.07338888897</v>
      </c>
      <c r="L45" s="79">
        <f t="shared" si="0"/>
        <v>4590773.8072777782</v>
      </c>
      <c r="M45" s="79">
        <f t="shared" si="18"/>
        <v>459077</v>
      </c>
      <c r="N45" s="79">
        <f t="shared" si="1"/>
        <v>87225</v>
      </c>
      <c r="O45" s="80">
        <f t="shared" ref="O45:O76" si="28">+(L45+N45)*E45</f>
        <v>4677998.8072777782</v>
      </c>
      <c r="P45" s="81"/>
      <c r="Q45" s="76">
        <f>(((((1750905*$D$9+R45)*47.59%)/13*13)/30*30)+((((1750905*$D$9+R45)*52.41%)/11*11)/30*30))</f>
        <v>17886131.716666669</v>
      </c>
      <c r="R45" s="77">
        <f t="shared" si="9"/>
        <v>9391.6666666666661</v>
      </c>
      <c r="S45" s="78">
        <f t="shared" si="26"/>
        <v>1788613.1716666669</v>
      </c>
      <c r="T45" s="79">
        <f t="shared" si="3"/>
        <v>19674744.888333336</v>
      </c>
      <c r="U45" s="79">
        <f t="shared" si="10"/>
        <v>1967474</v>
      </c>
      <c r="V45" s="79">
        <f t="shared" si="4"/>
        <v>373820</v>
      </c>
      <c r="W45" s="166">
        <f t="shared" ref="W45:W76" si="29">+(T45+V45)*E45</f>
        <v>20048564.888333336</v>
      </c>
      <c r="X45" s="76">
        <f>(((((1750905*$D$9+Y45)*47.59%)/13*13)/30*10)+((((1750905*$D$9+Y45)*52.41%)/11*11)/30*10))</f>
        <v>5962043.9055555565</v>
      </c>
      <c r="Y45" s="77">
        <f t="shared" si="11"/>
        <v>9391.6666666666661</v>
      </c>
      <c r="Z45" s="78">
        <f t="shared" si="27"/>
        <v>596204.3905555557</v>
      </c>
      <c r="AA45" s="79">
        <f t="shared" si="6"/>
        <v>6558248.2961111125</v>
      </c>
      <c r="AB45" s="79">
        <f t="shared" si="12"/>
        <v>655825</v>
      </c>
      <c r="AC45" s="79">
        <f t="shared" si="7"/>
        <v>124607</v>
      </c>
      <c r="AD45" s="166">
        <f t="shared" si="13"/>
        <v>6682855.2961111125</v>
      </c>
      <c r="AE45" s="168">
        <f t="shared" si="14"/>
        <v>31409418.991722226</v>
      </c>
      <c r="AG45" s="171">
        <f t="shared" si="15"/>
        <v>1256376.759668889</v>
      </c>
      <c r="AH45" s="171">
        <f t="shared" si="16"/>
        <v>30153042.232053336</v>
      </c>
      <c r="AI45" s="171">
        <f t="shared" si="17"/>
        <v>0</v>
      </c>
    </row>
    <row r="46" spans="1:35" customFormat="1" ht="48" customHeight="1" x14ac:dyDescent="0.25">
      <c r="A46" s="70" t="s">
        <v>153</v>
      </c>
      <c r="B46" s="71" t="s">
        <v>214</v>
      </c>
      <c r="C46" s="72" t="s">
        <v>215</v>
      </c>
      <c r="D46" s="72" t="s">
        <v>216</v>
      </c>
      <c r="E46" s="90">
        <v>1</v>
      </c>
      <c r="F46" s="74">
        <v>0.05</v>
      </c>
      <c r="G46" s="74">
        <v>0.95</v>
      </c>
      <c r="H46" s="75"/>
      <c r="I46" s="76">
        <f>(((((1750905*$D$9+J46)*47.59%)/13*13)/30*7)+((((1750905*$D$9+J46)*52.41%)/11*11)/30*7))</f>
        <v>4173430.7338888897</v>
      </c>
      <c r="J46" s="77">
        <f t="shared" si="8"/>
        <v>9391.6666666666661</v>
      </c>
      <c r="K46" s="78">
        <f t="shared" si="25"/>
        <v>417343.07338888897</v>
      </c>
      <c r="L46" s="79">
        <f t="shared" si="0"/>
        <v>4590773.8072777782</v>
      </c>
      <c r="M46" s="79">
        <f t="shared" si="18"/>
        <v>459077</v>
      </c>
      <c r="N46" s="79">
        <f t="shared" si="1"/>
        <v>87225</v>
      </c>
      <c r="O46" s="80">
        <f t="shared" si="28"/>
        <v>4677998.8072777782</v>
      </c>
      <c r="P46" s="81"/>
      <c r="Q46" s="76">
        <f>(((((1750905*$D$9+R46)*47.59%)/13*13)/30*30)+((((1750905*$D$9+R46)*52.41%)/11*11)/30*30))</f>
        <v>17886131.716666669</v>
      </c>
      <c r="R46" s="77">
        <f t="shared" si="9"/>
        <v>9391.6666666666661</v>
      </c>
      <c r="S46" s="78">
        <f t="shared" si="26"/>
        <v>1788613.1716666669</v>
      </c>
      <c r="T46" s="79">
        <f t="shared" si="3"/>
        <v>19674744.888333336</v>
      </c>
      <c r="U46" s="79">
        <f t="shared" si="10"/>
        <v>1967474</v>
      </c>
      <c r="V46" s="79">
        <f t="shared" si="4"/>
        <v>373820</v>
      </c>
      <c r="W46" s="166">
        <f t="shared" si="29"/>
        <v>20048564.888333336</v>
      </c>
      <c r="X46" s="76">
        <f>(((((1750905*$D$9+Y46)*47.59%)/13*13)/30*10)+((((1750905*$D$9+Y46)*52.41%)/11*11)/30*10))</f>
        <v>5962043.9055555565</v>
      </c>
      <c r="Y46" s="77">
        <f t="shared" si="11"/>
        <v>9391.6666666666661</v>
      </c>
      <c r="Z46" s="78">
        <f t="shared" si="27"/>
        <v>596204.3905555557</v>
      </c>
      <c r="AA46" s="79">
        <f t="shared" si="6"/>
        <v>6558248.2961111125</v>
      </c>
      <c r="AB46" s="79">
        <f t="shared" si="12"/>
        <v>655825</v>
      </c>
      <c r="AC46" s="79">
        <f t="shared" si="7"/>
        <v>124607</v>
      </c>
      <c r="AD46" s="166">
        <f t="shared" si="13"/>
        <v>6682855.2961111125</v>
      </c>
      <c r="AE46" s="168">
        <f t="shared" si="14"/>
        <v>31409418.991722226</v>
      </c>
      <c r="AG46" s="171">
        <f t="shared" si="15"/>
        <v>1570470.9495861114</v>
      </c>
      <c r="AH46" s="171">
        <f t="shared" si="16"/>
        <v>29838948.042136114</v>
      </c>
      <c r="AI46" s="171">
        <f t="shared" si="17"/>
        <v>0</v>
      </c>
    </row>
    <row r="47" spans="1:35" customFormat="1" ht="72" x14ac:dyDescent="0.25">
      <c r="A47" s="85" t="s">
        <v>217</v>
      </c>
      <c r="B47" s="71" t="s">
        <v>218</v>
      </c>
      <c r="C47" s="72" t="s">
        <v>219</v>
      </c>
      <c r="D47" s="72" t="s">
        <v>216</v>
      </c>
      <c r="E47" s="90">
        <v>1</v>
      </c>
      <c r="F47" s="74"/>
      <c r="G47" s="74">
        <v>1</v>
      </c>
      <c r="H47" s="75"/>
      <c r="I47" s="76">
        <f>(((((1750905*$D$9+J47)*47.59%)/13*12)/30*7)+((((1750905*$D$9+J47)*52.41%)/11*0)/30*0))</f>
        <v>1833356.0180840513</v>
      </c>
      <c r="J47" s="77">
        <f t="shared" si="8"/>
        <v>9391.6666666666661</v>
      </c>
      <c r="K47" s="78">
        <f t="shared" si="25"/>
        <v>183335.60180840513</v>
      </c>
      <c r="L47" s="79">
        <f t="shared" si="0"/>
        <v>2016691.6198924566</v>
      </c>
      <c r="M47" s="79">
        <f t="shared" si="18"/>
        <v>201669</v>
      </c>
      <c r="N47" s="79">
        <f t="shared" si="1"/>
        <v>38317</v>
      </c>
      <c r="O47" s="80">
        <f t="shared" si="28"/>
        <v>2055008.6198924566</v>
      </c>
      <c r="P47" s="81"/>
      <c r="Q47" s="76">
        <f>(((((1750905*$D$9+R47)*47.59%)/13*12)/30*30)+((((1750905*$D$9+R47)*52.41%)/11*0)/30*0))</f>
        <v>7857240.0775030777</v>
      </c>
      <c r="R47" s="77">
        <f t="shared" si="9"/>
        <v>9391.6666666666661</v>
      </c>
      <c r="S47" s="78">
        <f t="shared" si="26"/>
        <v>785724.00775030779</v>
      </c>
      <c r="T47" s="79">
        <f t="shared" si="3"/>
        <v>8642964.0852533858</v>
      </c>
      <c r="U47" s="79">
        <f t="shared" si="10"/>
        <v>864296</v>
      </c>
      <c r="V47" s="79">
        <f t="shared" si="4"/>
        <v>164216</v>
      </c>
      <c r="W47" s="166">
        <f t="shared" si="29"/>
        <v>8807180.0852533858</v>
      </c>
      <c r="X47" s="76">
        <f>(((((1750905*$D$9+Y47)*47.59%)/13*12)/30*10)+((((1750905*$D$9+Y47)*52.41%)/11*0)/30*0))</f>
        <v>2619080.0258343592</v>
      </c>
      <c r="Y47" s="77">
        <f t="shared" si="11"/>
        <v>9391.6666666666661</v>
      </c>
      <c r="Z47" s="78">
        <f t="shared" si="27"/>
        <v>261908.00258343594</v>
      </c>
      <c r="AA47" s="79">
        <f t="shared" si="6"/>
        <v>2880988.028417795</v>
      </c>
      <c r="AB47" s="79">
        <f t="shared" si="12"/>
        <v>288099</v>
      </c>
      <c r="AC47" s="79">
        <f t="shared" si="7"/>
        <v>54739</v>
      </c>
      <c r="AD47" s="166">
        <f t="shared" si="13"/>
        <v>2935727.028417795</v>
      </c>
      <c r="AE47" s="168">
        <f t="shared" si="14"/>
        <v>13797915.733563639</v>
      </c>
      <c r="AG47" s="171">
        <f t="shared" si="15"/>
        <v>0</v>
      </c>
      <c r="AH47" s="171">
        <f t="shared" si="16"/>
        <v>13797915.733563639</v>
      </c>
      <c r="AI47" s="171">
        <f t="shared" si="17"/>
        <v>0</v>
      </c>
    </row>
    <row r="48" spans="1:35" customFormat="1" ht="60" x14ac:dyDescent="0.25">
      <c r="A48" s="70" t="s">
        <v>220</v>
      </c>
      <c r="B48" s="71" t="s">
        <v>221</v>
      </c>
      <c r="C48" s="72" t="s">
        <v>215</v>
      </c>
      <c r="D48" s="72" t="s">
        <v>216</v>
      </c>
      <c r="E48" s="90">
        <v>1</v>
      </c>
      <c r="F48" s="74">
        <v>0.05</v>
      </c>
      <c r="G48" s="74">
        <v>0.95</v>
      </c>
      <c r="H48" s="75"/>
      <c r="I48" s="76">
        <f>(((((1750905*$D$9+J48)*47.59%)/13*12)/30*5)+((((1750905*$D$9+J48)*52.41%)/11*0)/30*0))</f>
        <v>1309540.0129171796</v>
      </c>
      <c r="J48" s="77">
        <f t="shared" si="8"/>
        <v>9391.6666666666661</v>
      </c>
      <c r="K48" s="78">
        <f>SUM(I48)*8%</f>
        <v>104763.20103337437</v>
      </c>
      <c r="L48" s="79">
        <f t="shared" si="0"/>
        <v>1414303.2139505539</v>
      </c>
      <c r="M48" s="79">
        <f t="shared" si="18"/>
        <v>141430</v>
      </c>
      <c r="N48" s="79">
        <f t="shared" si="1"/>
        <v>26872</v>
      </c>
      <c r="O48" s="80">
        <f t="shared" si="28"/>
        <v>1441175.2139505539</v>
      </c>
      <c r="P48" s="81"/>
      <c r="Q48" s="76">
        <f>(((((1750905*$D$9+R48)*47.59%)/13*12)/30*24)+((((1750905*$D$9+R48)*52.41%)/11*0)/30*0))</f>
        <v>6285792.0620024614</v>
      </c>
      <c r="R48" s="77">
        <f t="shared" si="9"/>
        <v>9391.6666666666661</v>
      </c>
      <c r="S48" s="78">
        <f>SUM(Q48)*8%</f>
        <v>502863.36496019689</v>
      </c>
      <c r="T48" s="79">
        <f t="shared" si="3"/>
        <v>6788655.4269626588</v>
      </c>
      <c r="U48" s="79">
        <f t="shared" si="10"/>
        <v>678866</v>
      </c>
      <c r="V48" s="79">
        <f t="shared" si="4"/>
        <v>128985</v>
      </c>
      <c r="W48" s="166">
        <f t="shared" si="29"/>
        <v>6917640.4269626588</v>
      </c>
      <c r="X48" s="76">
        <f>(((((1750905*$D$9+Y48)*47.59%)/13*12)/30*8)+((((1750905*$D$9+Y48)*52.41%)/11*0)/30*0))</f>
        <v>2095264.0206674873</v>
      </c>
      <c r="Y48" s="77">
        <f t="shared" si="11"/>
        <v>9391.6666666666661</v>
      </c>
      <c r="Z48" s="78">
        <f>SUM(X48)*8%</f>
        <v>167621.12165339899</v>
      </c>
      <c r="AA48" s="79">
        <f t="shared" si="6"/>
        <v>2262885.1423208863</v>
      </c>
      <c r="AB48" s="79">
        <f t="shared" si="12"/>
        <v>226289</v>
      </c>
      <c r="AC48" s="79">
        <f t="shared" si="7"/>
        <v>42995</v>
      </c>
      <c r="AD48" s="166">
        <f t="shared" si="13"/>
        <v>2305880.1423208863</v>
      </c>
      <c r="AE48" s="168">
        <f t="shared" si="14"/>
        <v>10664695.783234099</v>
      </c>
      <c r="AG48" s="171">
        <f t="shared" si="15"/>
        <v>533234.78916170495</v>
      </c>
      <c r="AH48" s="171">
        <f t="shared" si="16"/>
        <v>10131460.994072393</v>
      </c>
      <c r="AI48" s="171">
        <f t="shared" si="17"/>
        <v>0</v>
      </c>
    </row>
    <row r="49" spans="1:35" customFormat="1" ht="72" x14ac:dyDescent="0.25">
      <c r="A49" s="85" t="s">
        <v>217</v>
      </c>
      <c r="B49" s="71" t="s">
        <v>222</v>
      </c>
      <c r="C49" s="72" t="s">
        <v>223</v>
      </c>
      <c r="D49" s="72" t="s">
        <v>216</v>
      </c>
      <c r="E49" s="90">
        <v>1</v>
      </c>
      <c r="F49" s="74"/>
      <c r="G49" s="74">
        <v>1</v>
      </c>
      <c r="H49" s="75"/>
      <c r="I49" s="76">
        <f>(((((1750905*$D$9+J49)*47.59%)/13*12)/30*7)+((((1750905*$D$9+J49)*52.41%)/11*0)/30*0))</f>
        <v>1833356.0180840513</v>
      </c>
      <c r="J49" s="77">
        <f t="shared" si="8"/>
        <v>9391.6666666666661</v>
      </c>
      <c r="K49" s="78">
        <f t="shared" ref="K49" si="30">SUM(I49)*10%</f>
        <v>183335.60180840513</v>
      </c>
      <c r="L49" s="79">
        <f t="shared" si="0"/>
        <v>2016691.6198924566</v>
      </c>
      <c r="M49" s="79">
        <f t="shared" si="18"/>
        <v>201669</v>
      </c>
      <c r="N49" s="79">
        <f t="shared" si="1"/>
        <v>38317</v>
      </c>
      <c r="O49" s="80">
        <f t="shared" si="28"/>
        <v>2055008.6198924566</v>
      </c>
      <c r="P49" s="81"/>
      <c r="Q49" s="76">
        <f>(((((1750905*$D$9+R49)*47.59%)/13*12)/30*30)+((((1750905*$D$9+R49)*52.41%)/11*0)/30*0))</f>
        <v>7857240.0775030777</v>
      </c>
      <c r="R49" s="77">
        <f t="shared" si="9"/>
        <v>9391.6666666666661</v>
      </c>
      <c r="S49" s="78">
        <f t="shared" ref="S49" si="31">SUM(Q49)*10%</f>
        <v>785724.00775030779</v>
      </c>
      <c r="T49" s="79">
        <f t="shared" si="3"/>
        <v>8642964.0852533858</v>
      </c>
      <c r="U49" s="79">
        <f t="shared" si="10"/>
        <v>864296</v>
      </c>
      <c r="V49" s="79">
        <f t="shared" si="4"/>
        <v>164216</v>
      </c>
      <c r="W49" s="166">
        <f t="shared" si="29"/>
        <v>8807180.0852533858</v>
      </c>
      <c r="X49" s="76">
        <f>(((((1750905*$D$9+Y49)*47.59%)/13*12)/30*10)+((((1750905*$D$9+Y49)*52.41%)/11*0)/30*0))</f>
        <v>2619080.0258343592</v>
      </c>
      <c r="Y49" s="77">
        <f t="shared" si="11"/>
        <v>9391.6666666666661</v>
      </c>
      <c r="Z49" s="78">
        <f t="shared" ref="Z49" si="32">SUM(X49)*10%</f>
        <v>261908.00258343594</v>
      </c>
      <c r="AA49" s="79">
        <f t="shared" si="6"/>
        <v>2880988.028417795</v>
      </c>
      <c r="AB49" s="79">
        <f t="shared" si="12"/>
        <v>288099</v>
      </c>
      <c r="AC49" s="79">
        <f t="shared" si="7"/>
        <v>54739</v>
      </c>
      <c r="AD49" s="166">
        <f t="shared" si="13"/>
        <v>2935727.028417795</v>
      </c>
      <c r="AE49" s="168">
        <f t="shared" si="14"/>
        <v>13797915.733563639</v>
      </c>
      <c r="AG49" s="171">
        <f t="shared" si="15"/>
        <v>0</v>
      </c>
      <c r="AH49" s="171">
        <f t="shared" si="16"/>
        <v>13797915.733563639</v>
      </c>
      <c r="AI49" s="171">
        <f t="shared" si="17"/>
        <v>0</v>
      </c>
    </row>
    <row r="50" spans="1:35" customFormat="1" ht="48" x14ac:dyDescent="0.25">
      <c r="A50" s="91" t="s">
        <v>224</v>
      </c>
      <c r="B50" s="82" t="s">
        <v>225</v>
      </c>
      <c r="C50" s="92" t="s">
        <v>226</v>
      </c>
      <c r="D50" s="92" t="s">
        <v>216</v>
      </c>
      <c r="E50" s="93">
        <v>1</v>
      </c>
      <c r="F50" s="74"/>
      <c r="G50" s="74">
        <v>1</v>
      </c>
      <c r="H50" s="75"/>
      <c r="I50" s="76">
        <f>(((((1750905*$D$9+J50)*47.59%)/13*12)/30*4)+((((1750905*$D$9+J50)*52.41%)/11*0)/30*0))</f>
        <v>1047632.0103337436</v>
      </c>
      <c r="J50" s="77">
        <f t="shared" si="8"/>
        <v>9391.6666666666661</v>
      </c>
      <c r="K50" s="78">
        <f>SUM(I50)*10%</f>
        <v>104763.20103337437</v>
      </c>
      <c r="L50" s="79">
        <f t="shared" si="0"/>
        <v>1152395.2113671179</v>
      </c>
      <c r="M50" s="79">
        <f t="shared" si="18"/>
        <v>115240</v>
      </c>
      <c r="N50" s="79">
        <f t="shared" si="1"/>
        <v>21896</v>
      </c>
      <c r="O50" s="80">
        <f t="shared" si="28"/>
        <v>1174291.2113671179</v>
      </c>
      <c r="P50" s="81"/>
      <c r="Q50" s="76">
        <f>(((((1750905*$D$9+R50)*47.59%)/13*12)/30*20)+((((1750905*$D$9+R50)*52.41%)/11*0)/30*0))</f>
        <v>5238160.0516687185</v>
      </c>
      <c r="R50" s="77">
        <f t="shared" si="9"/>
        <v>9391.6666666666661</v>
      </c>
      <c r="S50" s="78">
        <f>SUM(Q50)*10%</f>
        <v>523816.00516687188</v>
      </c>
      <c r="T50" s="79">
        <f t="shared" si="3"/>
        <v>5761976.0568355899</v>
      </c>
      <c r="U50" s="79">
        <f t="shared" si="10"/>
        <v>576198</v>
      </c>
      <c r="V50" s="79">
        <f t="shared" si="4"/>
        <v>109478</v>
      </c>
      <c r="W50" s="166">
        <f t="shared" si="29"/>
        <v>5871454.0568355899</v>
      </c>
      <c r="X50" s="76">
        <f>(((((1750905*$D$9+Y50)*47.59%)/13*12)/30*7)+((((1750905*$D$9+Y50)*52.41%)/11*0)/30*0))</f>
        <v>1833356.0180840513</v>
      </c>
      <c r="Y50" s="77">
        <f t="shared" si="11"/>
        <v>9391.6666666666661</v>
      </c>
      <c r="Z50" s="78">
        <f>SUM(X50)*10%</f>
        <v>183335.60180840513</v>
      </c>
      <c r="AA50" s="79">
        <f t="shared" si="6"/>
        <v>2016691.6198924566</v>
      </c>
      <c r="AB50" s="79">
        <f t="shared" si="12"/>
        <v>201669</v>
      </c>
      <c r="AC50" s="79">
        <f t="shared" si="7"/>
        <v>38317</v>
      </c>
      <c r="AD50" s="166">
        <f t="shared" si="13"/>
        <v>2055008.6198924566</v>
      </c>
      <c r="AE50" s="168">
        <f t="shared" si="14"/>
        <v>9100753.8880951647</v>
      </c>
      <c r="AG50" s="171">
        <f t="shared" si="15"/>
        <v>0</v>
      </c>
      <c r="AH50" s="171">
        <f t="shared" si="16"/>
        <v>9100753.8880951647</v>
      </c>
      <c r="AI50" s="171">
        <f t="shared" si="17"/>
        <v>0</v>
      </c>
    </row>
    <row r="51" spans="1:35" customFormat="1" ht="55.5" customHeight="1" x14ac:dyDescent="0.25">
      <c r="A51" s="91" t="s">
        <v>224</v>
      </c>
      <c r="B51" s="82" t="s">
        <v>227</v>
      </c>
      <c r="C51" s="92" t="s">
        <v>228</v>
      </c>
      <c r="D51" s="92" t="s">
        <v>216</v>
      </c>
      <c r="E51" s="93">
        <v>1</v>
      </c>
      <c r="F51" s="74"/>
      <c r="G51" s="74">
        <v>1</v>
      </c>
      <c r="H51" s="75"/>
      <c r="I51" s="76">
        <f>(((((1750905*$D$9+J51)*47.59%)/13*12)/30*4)+((((1750905*$D$9+J51)*52.41%)/11*0)/30*0))</f>
        <v>1047632.0103337436</v>
      </c>
      <c r="J51" s="77">
        <f t="shared" si="8"/>
        <v>9391.6666666666661</v>
      </c>
      <c r="K51" s="78">
        <f>SUM(I51)*10%</f>
        <v>104763.20103337437</v>
      </c>
      <c r="L51" s="79">
        <f t="shared" si="0"/>
        <v>1152395.2113671179</v>
      </c>
      <c r="M51" s="79">
        <f t="shared" si="18"/>
        <v>115240</v>
      </c>
      <c r="N51" s="79">
        <f t="shared" si="1"/>
        <v>21896</v>
      </c>
      <c r="O51" s="80">
        <f t="shared" si="28"/>
        <v>1174291.2113671179</v>
      </c>
      <c r="P51" s="81"/>
      <c r="Q51" s="76">
        <f>(((((1750905*$D$9+R51)*47.59%)/13*12)/30*20)+((((1750905*$D$9+R51)*52.41%)/11*0)/30*0))</f>
        <v>5238160.0516687185</v>
      </c>
      <c r="R51" s="77">
        <f t="shared" si="9"/>
        <v>9391.6666666666661</v>
      </c>
      <c r="S51" s="78">
        <f>SUM(Q51)*10%</f>
        <v>523816.00516687188</v>
      </c>
      <c r="T51" s="79">
        <f t="shared" si="3"/>
        <v>5761976.0568355899</v>
      </c>
      <c r="U51" s="79">
        <f t="shared" si="10"/>
        <v>576198</v>
      </c>
      <c r="V51" s="79">
        <f t="shared" si="4"/>
        <v>109478</v>
      </c>
      <c r="W51" s="166">
        <f t="shared" si="29"/>
        <v>5871454.0568355899</v>
      </c>
      <c r="X51" s="76">
        <f>(((((1750905*$D$9+Y51)*47.59%)/13*12)/30*7)+((((1750905*$D$9+Y51)*52.41%)/11*0)/30*0))</f>
        <v>1833356.0180840513</v>
      </c>
      <c r="Y51" s="77">
        <f t="shared" si="11"/>
        <v>9391.6666666666661</v>
      </c>
      <c r="Z51" s="78">
        <f>SUM(X51)*10%</f>
        <v>183335.60180840513</v>
      </c>
      <c r="AA51" s="79">
        <f t="shared" si="6"/>
        <v>2016691.6198924566</v>
      </c>
      <c r="AB51" s="79">
        <f t="shared" si="12"/>
        <v>201669</v>
      </c>
      <c r="AC51" s="79">
        <f t="shared" si="7"/>
        <v>38317</v>
      </c>
      <c r="AD51" s="166">
        <f t="shared" si="13"/>
        <v>2055008.6198924566</v>
      </c>
      <c r="AE51" s="168">
        <f t="shared" si="14"/>
        <v>9100753.8880951647</v>
      </c>
      <c r="AG51" s="171">
        <f t="shared" si="15"/>
        <v>0</v>
      </c>
      <c r="AH51" s="171">
        <f t="shared" si="16"/>
        <v>9100753.8880951647</v>
      </c>
      <c r="AI51" s="171">
        <f t="shared" si="17"/>
        <v>0</v>
      </c>
    </row>
    <row r="52" spans="1:35" customFormat="1" ht="48" x14ac:dyDescent="0.25">
      <c r="A52" s="70" t="s">
        <v>229</v>
      </c>
      <c r="B52" s="71" t="s">
        <v>230</v>
      </c>
      <c r="C52" s="72" t="s">
        <v>231</v>
      </c>
      <c r="D52" s="72" t="s">
        <v>17</v>
      </c>
      <c r="E52" s="90">
        <v>1</v>
      </c>
      <c r="F52" s="74"/>
      <c r="G52" s="74">
        <v>1</v>
      </c>
      <c r="H52" s="75"/>
      <c r="I52" s="76">
        <f>(((((1750905*$D$9+J52)*47.59%)/13*8)/30*4)+((((1750905*$D$9+J52)*52.41%)/11*0)/30*0))</f>
        <v>698421.34022249584</v>
      </c>
      <c r="J52" s="77">
        <f t="shared" si="8"/>
        <v>9391.6666666666661</v>
      </c>
      <c r="K52" s="78">
        <f t="shared" ref="K52:K57" si="33">SUM(I52)*8%</f>
        <v>55873.707217799667</v>
      </c>
      <c r="L52" s="79">
        <f t="shared" si="0"/>
        <v>754295.04744029546</v>
      </c>
      <c r="M52" s="79">
        <f t="shared" si="18"/>
        <v>75430</v>
      </c>
      <c r="N52" s="79">
        <f t="shared" si="1"/>
        <v>14332</v>
      </c>
      <c r="O52" s="80">
        <f t="shared" si="28"/>
        <v>768627.04744029546</v>
      </c>
      <c r="P52" s="81"/>
      <c r="Q52" s="76">
        <f>(((((1750905*$D$9+R52)*47.59%)/13*8)/30*20)+((((1750905*$D$9+R52)*52.41%)/11*0)/30*0))</f>
        <v>3492106.701112479</v>
      </c>
      <c r="R52" s="77">
        <f t="shared" si="9"/>
        <v>9391.6666666666661</v>
      </c>
      <c r="S52" s="78">
        <f t="shared" ref="S52:S57" si="34">SUM(Q52)*8%</f>
        <v>279368.53608899831</v>
      </c>
      <c r="T52" s="79">
        <f t="shared" si="3"/>
        <v>3771475.2372014774</v>
      </c>
      <c r="U52" s="79">
        <f t="shared" si="10"/>
        <v>377148</v>
      </c>
      <c r="V52" s="79">
        <f t="shared" si="4"/>
        <v>71658</v>
      </c>
      <c r="W52" s="166">
        <f t="shared" si="29"/>
        <v>3843133.2372014774</v>
      </c>
      <c r="X52" s="76">
        <f>(((((1750905*$D$9+Y52)*47.59%)/13*8)/30*7)+((((1750905*$D$9+Y52)*52.41%)/11*0)/30*0))</f>
        <v>1222237.3453893678</v>
      </c>
      <c r="Y52" s="77">
        <f t="shared" si="11"/>
        <v>9391.6666666666661</v>
      </c>
      <c r="Z52" s="78">
        <f t="shared" ref="Z52:Z63" si="35">SUM(X52)*8%</f>
        <v>97778.98763114943</v>
      </c>
      <c r="AA52" s="79">
        <f t="shared" si="6"/>
        <v>1320016.3330205171</v>
      </c>
      <c r="AB52" s="79">
        <f t="shared" si="12"/>
        <v>132002</v>
      </c>
      <c r="AC52" s="79">
        <f t="shared" si="7"/>
        <v>25080</v>
      </c>
      <c r="AD52" s="166">
        <f t="shared" si="13"/>
        <v>1345096.3330205171</v>
      </c>
      <c r="AE52" s="168">
        <f t="shared" si="14"/>
        <v>5956856.6176622901</v>
      </c>
      <c r="AG52" s="171">
        <f t="shared" si="15"/>
        <v>0</v>
      </c>
      <c r="AH52" s="171">
        <f t="shared" si="16"/>
        <v>5956856.6176622901</v>
      </c>
      <c r="AI52" s="171">
        <f t="shared" si="17"/>
        <v>0</v>
      </c>
    </row>
    <row r="53" spans="1:35" customFormat="1" ht="36" x14ac:dyDescent="0.25">
      <c r="A53" s="70" t="s">
        <v>229</v>
      </c>
      <c r="B53" s="71" t="s">
        <v>232</v>
      </c>
      <c r="C53" s="72" t="s">
        <v>233</v>
      </c>
      <c r="D53" s="72" t="s">
        <v>234</v>
      </c>
      <c r="E53" s="90">
        <v>1</v>
      </c>
      <c r="F53" s="74"/>
      <c r="G53" s="74">
        <v>1</v>
      </c>
      <c r="H53" s="75"/>
      <c r="I53" s="76">
        <f>(((((1750905*$D$9+J53)*47.59%)/13*8)/30*4)+((((1750905*$D$9+J53)*52.41%)/11*0)/30*0))</f>
        <v>698421.34022249584</v>
      </c>
      <c r="J53" s="77">
        <f t="shared" si="8"/>
        <v>9391.6666666666661</v>
      </c>
      <c r="K53" s="78">
        <f t="shared" si="33"/>
        <v>55873.707217799667</v>
      </c>
      <c r="L53" s="79">
        <f t="shared" si="0"/>
        <v>754295.04744029546</v>
      </c>
      <c r="M53" s="79">
        <f t="shared" si="18"/>
        <v>75430</v>
      </c>
      <c r="N53" s="79">
        <f t="shared" si="1"/>
        <v>14332</v>
      </c>
      <c r="O53" s="80">
        <f t="shared" si="28"/>
        <v>768627.04744029546</v>
      </c>
      <c r="P53" s="81"/>
      <c r="Q53" s="76">
        <f>(((((1750905*$D$9+R53)*47.59%)/13*8)/30*20)+((((1750905*$D$9+R53)*52.41%)/11*0)/30*0))</f>
        <v>3492106.701112479</v>
      </c>
      <c r="R53" s="77">
        <f t="shared" si="9"/>
        <v>9391.6666666666661</v>
      </c>
      <c r="S53" s="78">
        <f t="shared" si="34"/>
        <v>279368.53608899831</v>
      </c>
      <c r="T53" s="79">
        <f t="shared" si="3"/>
        <v>3771475.2372014774</v>
      </c>
      <c r="U53" s="79">
        <f t="shared" si="10"/>
        <v>377148</v>
      </c>
      <c r="V53" s="79">
        <f t="shared" si="4"/>
        <v>71658</v>
      </c>
      <c r="W53" s="166">
        <f t="shared" si="29"/>
        <v>3843133.2372014774</v>
      </c>
      <c r="X53" s="76">
        <f>(((((1750905*$D$9+Y53)*47.59%)/13*8)/30*7)+((((1750905*$D$9+Y53)*52.41%)/11*0)/30*0))</f>
        <v>1222237.3453893678</v>
      </c>
      <c r="Y53" s="77">
        <f t="shared" si="11"/>
        <v>9391.6666666666661</v>
      </c>
      <c r="Z53" s="78">
        <f t="shared" si="35"/>
        <v>97778.98763114943</v>
      </c>
      <c r="AA53" s="79">
        <f t="shared" si="6"/>
        <v>1320016.3330205171</v>
      </c>
      <c r="AB53" s="79">
        <f t="shared" si="12"/>
        <v>132002</v>
      </c>
      <c r="AC53" s="79">
        <f t="shared" si="7"/>
        <v>25080</v>
      </c>
      <c r="AD53" s="166">
        <f t="shared" si="13"/>
        <v>1345096.3330205171</v>
      </c>
      <c r="AE53" s="168">
        <f t="shared" si="14"/>
        <v>5956856.6176622901</v>
      </c>
      <c r="AG53" s="171">
        <f t="shared" si="15"/>
        <v>0</v>
      </c>
      <c r="AH53" s="171">
        <f t="shared" si="16"/>
        <v>5956856.6176622901</v>
      </c>
      <c r="AI53" s="171">
        <f t="shared" si="17"/>
        <v>0</v>
      </c>
    </row>
    <row r="54" spans="1:35" customFormat="1" ht="60" x14ac:dyDescent="0.25">
      <c r="A54" s="70" t="s">
        <v>235</v>
      </c>
      <c r="B54" s="71" t="s">
        <v>236</v>
      </c>
      <c r="C54" s="72" t="s">
        <v>237</v>
      </c>
      <c r="D54" s="72" t="s">
        <v>238</v>
      </c>
      <c r="E54" s="90">
        <v>1</v>
      </c>
      <c r="F54" s="74"/>
      <c r="G54" s="74">
        <v>1</v>
      </c>
      <c r="H54" s="75"/>
      <c r="I54" s="76">
        <f>(((((1750905*$D$9+J54)*47.59%)/13*13)/30*7)+((((1750905*$D$9+J54)*52.41%)/11*11)/30*7))</f>
        <v>4173430.7338888897</v>
      </c>
      <c r="J54" s="77">
        <f t="shared" si="8"/>
        <v>9391.6666666666661</v>
      </c>
      <c r="K54" s="78">
        <f t="shared" si="33"/>
        <v>333874.45871111116</v>
      </c>
      <c r="L54" s="79">
        <f t="shared" si="0"/>
        <v>4507305.1926000006</v>
      </c>
      <c r="M54" s="79">
        <f t="shared" si="18"/>
        <v>450731</v>
      </c>
      <c r="N54" s="79">
        <f t="shared" si="1"/>
        <v>85639</v>
      </c>
      <c r="O54" s="80">
        <f t="shared" si="28"/>
        <v>4592944.1926000006</v>
      </c>
      <c r="P54" s="81"/>
      <c r="Q54" s="76">
        <f>(((((1750905*$D$9+R54)*47.59%)/13*13)/30*30)+((((1750905*$D$9+R54)*52.41%)/11*11)/30*30))</f>
        <v>17886131.716666669</v>
      </c>
      <c r="R54" s="77">
        <f t="shared" si="9"/>
        <v>9391.6666666666661</v>
      </c>
      <c r="S54" s="78">
        <f t="shared" si="34"/>
        <v>1430890.5373333336</v>
      </c>
      <c r="T54" s="79">
        <f t="shared" si="3"/>
        <v>19317022.254000001</v>
      </c>
      <c r="U54" s="79">
        <f t="shared" si="10"/>
        <v>1931702</v>
      </c>
      <c r="V54" s="79">
        <f t="shared" si="4"/>
        <v>367023</v>
      </c>
      <c r="W54" s="166">
        <f t="shared" si="29"/>
        <v>19684045.254000001</v>
      </c>
      <c r="X54" s="76">
        <f>(((((1750905*$D$9+Y54)*47.59%)/13*13)/30*10)+((((1750905*$D$9+Y54)*52.41%)/11*11)/30*10))</f>
        <v>5962043.9055555565</v>
      </c>
      <c r="Y54" s="77">
        <f t="shared" si="11"/>
        <v>9391.6666666666661</v>
      </c>
      <c r="Z54" s="78">
        <f t="shared" si="35"/>
        <v>476963.51244444452</v>
      </c>
      <c r="AA54" s="79">
        <f t="shared" si="6"/>
        <v>6439007.4180000015</v>
      </c>
      <c r="AB54" s="79">
        <f t="shared" si="12"/>
        <v>643901</v>
      </c>
      <c r="AC54" s="79">
        <f t="shared" si="7"/>
        <v>122341</v>
      </c>
      <c r="AD54" s="166">
        <f t="shared" si="13"/>
        <v>6561348.4180000015</v>
      </c>
      <c r="AE54" s="168">
        <f t="shared" si="14"/>
        <v>30838337.864600003</v>
      </c>
      <c r="AG54" s="171">
        <f t="shared" si="15"/>
        <v>0</v>
      </c>
      <c r="AH54" s="171">
        <f t="shared" si="16"/>
        <v>30838337.864600003</v>
      </c>
      <c r="AI54" s="171">
        <f t="shared" si="17"/>
        <v>0</v>
      </c>
    </row>
    <row r="55" spans="1:35" customFormat="1" ht="84" x14ac:dyDescent="0.25">
      <c r="A55" s="70" t="s">
        <v>239</v>
      </c>
      <c r="B55" s="71" t="s">
        <v>240</v>
      </c>
      <c r="C55" s="72" t="s">
        <v>241</v>
      </c>
      <c r="D55" s="72" t="s">
        <v>242</v>
      </c>
      <c r="E55" s="90">
        <v>1</v>
      </c>
      <c r="F55" s="74"/>
      <c r="G55" s="74">
        <v>1</v>
      </c>
      <c r="H55" s="75"/>
      <c r="I55" s="76">
        <f>(((((1750905*$D$9+J55)*47.59%)/13*12)/30*7)+((((1750905*$D$9+J55)*52.41%)/11*0)/30*0))</f>
        <v>1833356.0180840513</v>
      </c>
      <c r="J55" s="77">
        <f t="shared" si="8"/>
        <v>9391.6666666666661</v>
      </c>
      <c r="K55" s="78">
        <f t="shared" si="33"/>
        <v>146668.48144672412</v>
      </c>
      <c r="L55" s="79">
        <f t="shared" si="0"/>
        <v>1980024.4995307755</v>
      </c>
      <c r="M55" s="79">
        <f t="shared" si="18"/>
        <v>198002</v>
      </c>
      <c r="N55" s="79">
        <f t="shared" si="1"/>
        <v>37620</v>
      </c>
      <c r="O55" s="80">
        <f t="shared" si="28"/>
        <v>2017644.4995307755</v>
      </c>
      <c r="P55" s="81"/>
      <c r="Q55" s="76">
        <f>(((((1750905*$D$9+R55)*47.59%)/13*12)/30*30)+((((1750905*$D$9+R55)*52.41%)/11*0)/30*0))</f>
        <v>7857240.0775030777</v>
      </c>
      <c r="R55" s="77">
        <f t="shared" si="9"/>
        <v>9391.6666666666661</v>
      </c>
      <c r="S55" s="78">
        <f t="shared" si="34"/>
        <v>628579.20620024623</v>
      </c>
      <c r="T55" s="79">
        <f t="shared" si="3"/>
        <v>8485819.2837033235</v>
      </c>
      <c r="U55" s="79">
        <f t="shared" si="10"/>
        <v>848582</v>
      </c>
      <c r="V55" s="79">
        <f t="shared" si="4"/>
        <v>161231</v>
      </c>
      <c r="W55" s="166">
        <f t="shared" si="29"/>
        <v>8647050.2837033235</v>
      </c>
      <c r="X55" s="76">
        <f>(((((1750905*$D$9+Y55)*47.59%)/13*12)/30*10)+((((1750905*$D$9+Y55)*52.41%)/11*0)/30*0))</f>
        <v>2619080.0258343592</v>
      </c>
      <c r="Y55" s="77">
        <f t="shared" si="11"/>
        <v>9391.6666666666661</v>
      </c>
      <c r="Z55" s="78">
        <f t="shared" si="35"/>
        <v>209526.40206674873</v>
      </c>
      <c r="AA55" s="79">
        <f t="shared" si="6"/>
        <v>2828606.4279011078</v>
      </c>
      <c r="AB55" s="79">
        <f t="shared" si="12"/>
        <v>282861</v>
      </c>
      <c r="AC55" s="79">
        <f t="shared" si="7"/>
        <v>53744</v>
      </c>
      <c r="AD55" s="166">
        <f t="shared" si="13"/>
        <v>2882350.4279011078</v>
      </c>
      <c r="AE55" s="168">
        <f t="shared" si="14"/>
        <v>13547045.211135207</v>
      </c>
      <c r="AG55" s="171">
        <f t="shared" si="15"/>
        <v>0</v>
      </c>
      <c r="AH55" s="171">
        <f t="shared" si="16"/>
        <v>13547045.211135207</v>
      </c>
      <c r="AI55" s="171">
        <f t="shared" si="17"/>
        <v>0</v>
      </c>
    </row>
    <row r="56" spans="1:35" customFormat="1" ht="48" x14ac:dyDescent="0.25">
      <c r="A56" s="70" t="s">
        <v>243</v>
      </c>
      <c r="B56" s="71" t="s">
        <v>244</v>
      </c>
      <c r="C56" s="72" t="s">
        <v>245</v>
      </c>
      <c r="D56" s="72" t="s">
        <v>246</v>
      </c>
      <c r="E56" s="90">
        <v>1</v>
      </c>
      <c r="F56" s="74"/>
      <c r="G56" s="74">
        <v>1</v>
      </c>
      <c r="H56" s="75"/>
      <c r="I56" s="76">
        <f>(((((1750905*$D$9+J56)*47.59%)/13*1)/30*7)+((((1750905*$D$9+J56)*52.41%)/11*11)/30*7))</f>
        <v>2340074.7158048376</v>
      </c>
      <c r="J56" s="77">
        <f t="shared" si="8"/>
        <v>9391.6666666666661</v>
      </c>
      <c r="K56" s="94">
        <f t="shared" si="33"/>
        <v>187205.97726438701</v>
      </c>
      <c r="L56" s="95">
        <f t="shared" si="0"/>
        <v>2527280.6930692247</v>
      </c>
      <c r="M56" s="79">
        <f t="shared" si="18"/>
        <v>252728</v>
      </c>
      <c r="N56" s="79">
        <f t="shared" si="1"/>
        <v>48018</v>
      </c>
      <c r="O56" s="80">
        <f t="shared" si="28"/>
        <v>2575298.6930692247</v>
      </c>
      <c r="P56" s="81"/>
      <c r="Q56" s="76">
        <f>(((((1750905*$D$9+R56)*47.59%)/13*1)/30*30)+((((1750905*$D$9+R56)*52.41%)/11*11)/30*30))</f>
        <v>10028891.639163591</v>
      </c>
      <c r="R56" s="77">
        <f t="shared" si="9"/>
        <v>9391.6666666666661</v>
      </c>
      <c r="S56" s="94">
        <f t="shared" si="34"/>
        <v>802311.33113308728</v>
      </c>
      <c r="T56" s="95">
        <f t="shared" si="3"/>
        <v>10831202.970296679</v>
      </c>
      <c r="U56" s="79">
        <f t="shared" si="10"/>
        <v>1083120</v>
      </c>
      <c r="V56" s="79">
        <f t="shared" si="4"/>
        <v>205793</v>
      </c>
      <c r="W56" s="166">
        <f t="shared" si="29"/>
        <v>11036995.970296679</v>
      </c>
      <c r="X56" s="76">
        <f>(((((1750905*$D$9+Y56)*47.59%)/13*1)/30*10)+((((1750905*$D$9+Y56)*52.41%)/11*11)/30*10))</f>
        <v>3342963.8797211973</v>
      </c>
      <c r="Y56" s="77">
        <f t="shared" si="11"/>
        <v>9391.6666666666661</v>
      </c>
      <c r="Z56" s="94">
        <f t="shared" si="35"/>
        <v>267437.11037769576</v>
      </c>
      <c r="AA56" s="95">
        <f t="shared" si="6"/>
        <v>3610400.9900988932</v>
      </c>
      <c r="AB56" s="79">
        <f t="shared" si="12"/>
        <v>361040</v>
      </c>
      <c r="AC56" s="79">
        <f t="shared" si="7"/>
        <v>68598</v>
      </c>
      <c r="AD56" s="166">
        <f t="shared" si="13"/>
        <v>3678998.9900988932</v>
      </c>
      <c r="AE56" s="168">
        <f t="shared" si="14"/>
        <v>17291293.653464798</v>
      </c>
      <c r="AG56" s="171">
        <f t="shared" si="15"/>
        <v>0</v>
      </c>
      <c r="AH56" s="171">
        <f t="shared" si="16"/>
        <v>17291293.653464798</v>
      </c>
      <c r="AI56" s="171">
        <f t="shared" si="17"/>
        <v>0</v>
      </c>
    </row>
    <row r="57" spans="1:35" customFormat="1" ht="48" x14ac:dyDescent="0.25">
      <c r="A57" s="91" t="s">
        <v>247</v>
      </c>
      <c r="B57" s="82" t="s">
        <v>248</v>
      </c>
      <c r="C57" s="92"/>
      <c r="D57" s="92" t="s">
        <v>24</v>
      </c>
      <c r="E57" s="93">
        <v>1</v>
      </c>
      <c r="F57" s="74"/>
      <c r="G57" s="74">
        <v>1</v>
      </c>
      <c r="H57" s="75"/>
      <c r="I57" s="96">
        <f t="shared" ref="I57:I63" si="36">(((((1750905*$D$9+J57)*47.59%)/13*8)/30*4)+((((1750905*$D$9+J57)*52.41%)/11*0)/30*0))</f>
        <v>698421.34022249584</v>
      </c>
      <c r="J57" s="77">
        <f t="shared" si="8"/>
        <v>9391.6666666666661</v>
      </c>
      <c r="K57" s="97">
        <f t="shared" si="33"/>
        <v>55873.707217799667</v>
      </c>
      <c r="L57" s="79">
        <f t="shared" si="0"/>
        <v>754295.04744029546</v>
      </c>
      <c r="M57" s="79">
        <f t="shared" si="18"/>
        <v>75430</v>
      </c>
      <c r="N57" s="79">
        <f t="shared" si="1"/>
        <v>14332</v>
      </c>
      <c r="O57" s="80">
        <f t="shared" si="28"/>
        <v>768627.04744029546</v>
      </c>
      <c r="P57" s="81"/>
      <c r="Q57" s="96">
        <f t="shared" ref="Q57:Q63" si="37">(((((1750905*$D$9+R57)*47.59%)/13*8)/30*20)+((((1750905*$D$9+R57)*52.41%)/11*0)/30*0))</f>
        <v>3492106.701112479</v>
      </c>
      <c r="R57" s="77">
        <f t="shared" si="9"/>
        <v>9391.6666666666661</v>
      </c>
      <c r="S57" s="97">
        <f t="shared" si="34"/>
        <v>279368.53608899831</v>
      </c>
      <c r="T57" s="79">
        <f t="shared" si="3"/>
        <v>3771475.2372014774</v>
      </c>
      <c r="U57" s="79">
        <f t="shared" si="10"/>
        <v>377148</v>
      </c>
      <c r="V57" s="79">
        <f t="shared" si="4"/>
        <v>71658</v>
      </c>
      <c r="W57" s="166">
        <f t="shared" si="29"/>
        <v>3843133.2372014774</v>
      </c>
      <c r="X57" s="96">
        <f t="shared" ref="X57:X63" si="38">(((((1750905*$D$9+Y57)*47.59%)/13*8)/30*7)+((((1750905*$D$9+Y57)*52.41%)/11*0)/30*0))</f>
        <v>1222237.3453893678</v>
      </c>
      <c r="Y57" s="77">
        <f t="shared" si="11"/>
        <v>9391.6666666666661</v>
      </c>
      <c r="Z57" s="97">
        <f t="shared" si="35"/>
        <v>97778.98763114943</v>
      </c>
      <c r="AA57" s="79">
        <f t="shared" si="6"/>
        <v>1320016.3330205171</v>
      </c>
      <c r="AB57" s="79">
        <f t="shared" si="12"/>
        <v>132002</v>
      </c>
      <c r="AC57" s="79">
        <f t="shared" si="7"/>
        <v>25080</v>
      </c>
      <c r="AD57" s="166">
        <f t="shared" si="13"/>
        <v>1345096.3330205171</v>
      </c>
      <c r="AE57" s="168">
        <f t="shared" si="14"/>
        <v>5956856.6176622901</v>
      </c>
      <c r="AG57" s="171">
        <f t="shared" si="15"/>
        <v>0</v>
      </c>
      <c r="AH57" s="171">
        <f t="shared" si="16"/>
        <v>5956856.6176622901</v>
      </c>
      <c r="AI57" s="171">
        <f t="shared" si="17"/>
        <v>0</v>
      </c>
    </row>
    <row r="58" spans="1:35" customFormat="1" ht="48" x14ac:dyDescent="0.25">
      <c r="A58" s="91" t="s">
        <v>247</v>
      </c>
      <c r="B58" s="82" t="s">
        <v>249</v>
      </c>
      <c r="C58" s="92"/>
      <c r="D58" s="92" t="s">
        <v>25</v>
      </c>
      <c r="E58" s="93">
        <v>1</v>
      </c>
      <c r="F58" s="74"/>
      <c r="G58" s="74">
        <v>1</v>
      </c>
      <c r="H58" s="75"/>
      <c r="I58" s="96">
        <f t="shared" si="36"/>
        <v>698421.34022249584</v>
      </c>
      <c r="J58" s="77">
        <f t="shared" si="8"/>
        <v>9391.6666666666661</v>
      </c>
      <c r="K58" s="97">
        <f t="shared" ref="K58:K63" si="39">SUM(I58)*8%</f>
        <v>55873.707217799667</v>
      </c>
      <c r="L58" s="98">
        <f t="shared" si="0"/>
        <v>754295.04744029546</v>
      </c>
      <c r="M58" s="79">
        <f t="shared" si="18"/>
        <v>75430</v>
      </c>
      <c r="N58" s="79">
        <f t="shared" si="1"/>
        <v>14332</v>
      </c>
      <c r="O58" s="80">
        <f t="shared" si="28"/>
        <v>768627.04744029546</v>
      </c>
      <c r="P58" s="81"/>
      <c r="Q58" s="96">
        <f t="shared" si="37"/>
        <v>3492106.701112479</v>
      </c>
      <c r="R58" s="77">
        <f t="shared" si="9"/>
        <v>9391.6666666666661</v>
      </c>
      <c r="S58" s="97">
        <f t="shared" ref="S58:S63" si="40">SUM(Q58)*8%</f>
        <v>279368.53608899831</v>
      </c>
      <c r="T58" s="98">
        <f t="shared" si="3"/>
        <v>3771475.2372014774</v>
      </c>
      <c r="U58" s="79">
        <f t="shared" si="10"/>
        <v>377148</v>
      </c>
      <c r="V58" s="79">
        <f t="shared" si="4"/>
        <v>71658</v>
      </c>
      <c r="W58" s="166">
        <f t="shared" si="29"/>
        <v>3843133.2372014774</v>
      </c>
      <c r="X58" s="96">
        <f t="shared" si="38"/>
        <v>1222237.3453893678</v>
      </c>
      <c r="Y58" s="77">
        <f t="shared" si="11"/>
        <v>9391.6666666666661</v>
      </c>
      <c r="Z58" s="97">
        <f t="shared" si="35"/>
        <v>97778.98763114943</v>
      </c>
      <c r="AA58" s="98">
        <f t="shared" si="6"/>
        <v>1320016.3330205171</v>
      </c>
      <c r="AB58" s="79">
        <f t="shared" si="12"/>
        <v>132002</v>
      </c>
      <c r="AC58" s="79">
        <f t="shared" si="7"/>
        <v>25080</v>
      </c>
      <c r="AD58" s="166">
        <f t="shared" si="13"/>
        <v>1345096.3330205171</v>
      </c>
      <c r="AE58" s="168">
        <f t="shared" si="14"/>
        <v>5956856.6176622901</v>
      </c>
      <c r="AG58" s="171">
        <f t="shared" si="15"/>
        <v>0</v>
      </c>
      <c r="AH58" s="171">
        <f t="shared" si="16"/>
        <v>5956856.6176622901</v>
      </c>
      <c r="AI58" s="171">
        <f t="shared" si="17"/>
        <v>0</v>
      </c>
    </row>
    <row r="59" spans="1:35" customFormat="1" ht="48" x14ac:dyDescent="0.25">
      <c r="A59" s="91" t="s">
        <v>247</v>
      </c>
      <c r="B59" s="82" t="s">
        <v>250</v>
      </c>
      <c r="C59" s="92"/>
      <c r="D59" s="92" t="s">
        <v>26</v>
      </c>
      <c r="E59" s="93">
        <v>1</v>
      </c>
      <c r="F59" s="74"/>
      <c r="G59" s="74">
        <v>1</v>
      </c>
      <c r="H59" s="75"/>
      <c r="I59" s="96">
        <f t="shared" si="36"/>
        <v>698421.34022249584</v>
      </c>
      <c r="J59" s="77">
        <f t="shared" si="8"/>
        <v>9391.6666666666661</v>
      </c>
      <c r="K59" s="97">
        <f t="shared" si="39"/>
        <v>55873.707217799667</v>
      </c>
      <c r="L59" s="79">
        <f t="shared" si="0"/>
        <v>754295.04744029546</v>
      </c>
      <c r="M59" s="79">
        <f t="shared" si="18"/>
        <v>75430</v>
      </c>
      <c r="N59" s="79">
        <f t="shared" si="1"/>
        <v>14332</v>
      </c>
      <c r="O59" s="80">
        <f t="shared" si="28"/>
        <v>768627.04744029546</v>
      </c>
      <c r="P59" s="81"/>
      <c r="Q59" s="96">
        <f t="shared" si="37"/>
        <v>3492106.701112479</v>
      </c>
      <c r="R59" s="77">
        <f t="shared" si="9"/>
        <v>9391.6666666666661</v>
      </c>
      <c r="S59" s="97">
        <f t="shared" si="40"/>
        <v>279368.53608899831</v>
      </c>
      <c r="T59" s="79">
        <f t="shared" si="3"/>
        <v>3771475.2372014774</v>
      </c>
      <c r="U59" s="79">
        <f t="shared" si="10"/>
        <v>377148</v>
      </c>
      <c r="V59" s="79">
        <f t="shared" si="4"/>
        <v>71658</v>
      </c>
      <c r="W59" s="166">
        <f t="shared" si="29"/>
        <v>3843133.2372014774</v>
      </c>
      <c r="X59" s="96">
        <f t="shared" si="38"/>
        <v>1222237.3453893678</v>
      </c>
      <c r="Y59" s="77">
        <f t="shared" si="11"/>
        <v>9391.6666666666661</v>
      </c>
      <c r="Z59" s="97">
        <f t="shared" si="35"/>
        <v>97778.98763114943</v>
      </c>
      <c r="AA59" s="79">
        <f t="shared" si="6"/>
        <v>1320016.3330205171</v>
      </c>
      <c r="AB59" s="79">
        <f t="shared" si="12"/>
        <v>132002</v>
      </c>
      <c r="AC59" s="79">
        <f t="shared" si="7"/>
        <v>25080</v>
      </c>
      <c r="AD59" s="166">
        <f t="shared" si="13"/>
        <v>1345096.3330205171</v>
      </c>
      <c r="AE59" s="168">
        <f t="shared" si="14"/>
        <v>5956856.6176622901</v>
      </c>
      <c r="AG59" s="171">
        <f t="shared" si="15"/>
        <v>0</v>
      </c>
      <c r="AH59" s="171">
        <f t="shared" si="16"/>
        <v>5956856.6176622901</v>
      </c>
      <c r="AI59" s="171">
        <f t="shared" si="17"/>
        <v>0</v>
      </c>
    </row>
    <row r="60" spans="1:35" customFormat="1" ht="48" x14ac:dyDescent="0.25">
      <c r="A60" s="91" t="s">
        <v>247</v>
      </c>
      <c r="B60" s="82" t="s">
        <v>251</v>
      </c>
      <c r="C60" s="92"/>
      <c r="D60" s="92" t="s">
        <v>27</v>
      </c>
      <c r="E60" s="93">
        <v>1</v>
      </c>
      <c r="F60" s="74"/>
      <c r="G60" s="74">
        <v>1</v>
      </c>
      <c r="H60" s="75"/>
      <c r="I60" s="96">
        <f t="shared" si="36"/>
        <v>698421.34022249584</v>
      </c>
      <c r="J60" s="77">
        <f t="shared" si="8"/>
        <v>9391.6666666666661</v>
      </c>
      <c r="K60" s="97">
        <f t="shared" si="39"/>
        <v>55873.707217799667</v>
      </c>
      <c r="L60" s="79">
        <f t="shared" si="0"/>
        <v>754295.04744029546</v>
      </c>
      <c r="M60" s="79">
        <f t="shared" si="18"/>
        <v>75430</v>
      </c>
      <c r="N60" s="79">
        <f t="shared" si="1"/>
        <v>14332</v>
      </c>
      <c r="O60" s="80">
        <f t="shared" si="28"/>
        <v>768627.04744029546</v>
      </c>
      <c r="P60" s="81"/>
      <c r="Q60" s="96">
        <f t="shared" si="37"/>
        <v>3492106.701112479</v>
      </c>
      <c r="R60" s="77">
        <f t="shared" si="9"/>
        <v>9391.6666666666661</v>
      </c>
      <c r="S60" s="97">
        <f t="shared" si="40"/>
        <v>279368.53608899831</v>
      </c>
      <c r="T60" s="79">
        <f t="shared" si="3"/>
        <v>3771475.2372014774</v>
      </c>
      <c r="U60" s="79">
        <f t="shared" si="10"/>
        <v>377148</v>
      </c>
      <c r="V60" s="79">
        <f t="shared" si="4"/>
        <v>71658</v>
      </c>
      <c r="W60" s="166">
        <f t="shared" si="29"/>
        <v>3843133.2372014774</v>
      </c>
      <c r="X60" s="96">
        <f t="shared" si="38"/>
        <v>1222237.3453893678</v>
      </c>
      <c r="Y60" s="77">
        <f t="shared" si="11"/>
        <v>9391.6666666666661</v>
      </c>
      <c r="Z60" s="97">
        <f t="shared" si="35"/>
        <v>97778.98763114943</v>
      </c>
      <c r="AA60" s="79">
        <f t="shared" si="6"/>
        <v>1320016.3330205171</v>
      </c>
      <c r="AB60" s="79">
        <f t="shared" si="12"/>
        <v>132002</v>
      </c>
      <c r="AC60" s="79">
        <f t="shared" si="7"/>
        <v>25080</v>
      </c>
      <c r="AD60" s="166">
        <f t="shared" si="13"/>
        <v>1345096.3330205171</v>
      </c>
      <c r="AE60" s="168">
        <f t="shared" si="14"/>
        <v>5956856.6176622901</v>
      </c>
      <c r="AG60" s="171">
        <f t="shared" si="15"/>
        <v>0</v>
      </c>
      <c r="AH60" s="171">
        <f t="shared" si="16"/>
        <v>5956856.6176622901</v>
      </c>
      <c r="AI60" s="171">
        <f t="shared" si="17"/>
        <v>0</v>
      </c>
    </row>
    <row r="61" spans="1:35" customFormat="1" ht="48" x14ac:dyDescent="0.25">
      <c r="A61" s="91" t="s">
        <v>247</v>
      </c>
      <c r="B61" s="82" t="s">
        <v>252</v>
      </c>
      <c r="C61" s="92"/>
      <c r="D61" s="92" t="s">
        <v>28</v>
      </c>
      <c r="E61" s="93">
        <v>1</v>
      </c>
      <c r="F61" s="74"/>
      <c r="G61" s="74">
        <v>1</v>
      </c>
      <c r="H61" s="75"/>
      <c r="I61" s="96">
        <f t="shared" si="36"/>
        <v>698421.34022249584</v>
      </c>
      <c r="J61" s="77">
        <f t="shared" si="8"/>
        <v>9391.6666666666661</v>
      </c>
      <c r="K61" s="97">
        <f t="shared" si="39"/>
        <v>55873.707217799667</v>
      </c>
      <c r="L61" s="79">
        <f t="shared" si="0"/>
        <v>754295.04744029546</v>
      </c>
      <c r="M61" s="79">
        <f t="shared" si="18"/>
        <v>75430</v>
      </c>
      <c r="N61" s="79">
        <f t="shared" si="1"/>
        <v>14332</v>
      </c>
      <c r="O61" s="80">
        <f t="shared" si="28"/>
        <v>768627.04744029546</v>
      </c>
      <c r="P61" s="81"/>
      <c r="Q61" s="96">
        <f t="shared" si="37"/>
        <v>3492106.701112479</v>
      </c>
      <c r="R61" s="77">
        <f t="shared" si="9"/>
        <v>9391.6666666666661</v>
      </c>
      <c r="S61" s="97">
        <f t="shared" si="40"/>
        <v>279368.53608899831</v>
      </c>
      <c r="T61" s="79">
        <f t="shared" si="3"/>
        <v>3771475.2372014774</v>
      </c>
      <c r="U61" s="79">
        <f t="shared" si="10"/>
        <v>377148</v>
      </c>
      <c r="V61" s="79">
        <f t="shared" si="4"/>
        <v>71658</v>
      </c>
      <c r="W61" s="166">
        <f t="shared" si="29"/>
        <v>3843133.2372014774</v>
      </c>
      <c r="X61" s="96">
        <f t="shared" si="38"/>
        <v>1222237.3453893678</v>
      </c>
      <c r="Y61" s="77">
        <f t="shared" si="11"/>
        <v>9391.6666666666661</v>
      </c>
      <c r="Z61" s="97">
        <f t="shared" si="35"/>
        <v>97778.98763114943</v>
      </c>
      <c r="AA61" s="79">
        <f t="shared" si="6"/>
        <v>1320016.3330205171</v>
      </c>
      <c r="AB61" s="79">
        <f t="shared" si="12"/>
        <v>132002</v>
      </c>
      <c r="AC61" s="79">
        <f t="shared" si="7"/>
        <v>25080</v>
      </c>
      <c r="AD61" s="166">
        <f t="shared" si="13"/>
        <v>1345096.3330205171</v>
      </c>
      <c r="AE61" s="168">
        <f t="shared" si="14"/>
        <v>5956856.6176622901</v>
      </c>
      <c r="AG61" s="171">
        <f t="shared" si="15"/>
        <v>0</v>
      </c>
      <c r="AH61" s="171">
        <f t="shared" si="16"/>
        <v>5956856.6176622901</v>
      </c>
      <c r="AI61" s="171">
        <f t="shared" si="17"/>
        <v>0</v>
      </c>
    </row>
    <row r="62" spans="1:35" customFormat="1" ht="48" x14ac:dyDescent="0.25">
      <c r="A62" s="91" t="s">
        <v>247</v>
      </c>
      <c r="B62" s="82" t="s">
        <v>253</v>
      </c>
      <c r="C62" s="92"/>
      <c r="D62" s="92" t="s">
        <v>29</v>
      </c>
      <c r="E62" s="93">
        <v>1</v>
      </c>
      <c r="F62" s="74"/>
      <c r="G62" s="74">
        <v>1</v>
      </c>
      <c r="H62" s="75"/>
      <c r="I62" s="96">
        <f t="shared" si="36"/>
        <v>698421.34022249584</v>
      </c>
      <c r="J62" s="77">
        <f t="shared" si="8"/>
        <v>9391.6666666666661</v>
      </c>
      <c r="K62" s="97">
        <f t="shared" si="39"/>
        <v>55873.707217799667</v>
      </c>
      <c r="L62" s="79">
        <f t="shared" si="0"/>
        <v>754295.04744029546</v>
      </c>
      <c r="M62" s="79">
        <f t="shared" si="18"/>
        <v>75430</v>
      </c>
      <c r="N62" s="79">
        <f t="shared" si="1"/>
        <v>14332</v>
      </c>
      <c r="O62" s="80">
        <f t="shared" si="28"/>
        <v>768627.04744029546</v>
      </c>
      <c r="P62" s="81"/>
      <c r="Q62" s="96">
        <f t="shared" si="37"/>
        <v>3492106.701112479</v>
      </c>
      <c r="R62" s="77">
        <f t="shared" si="9"/>
        <v>9391.6666666666661</v>
      </c>
      <c r="S62" s="97">
        <f t="shared" si="40"/>
        <v>279368.53608899831</v>
      </c>
      <c r="T62" s="79">
        <f t="shared" si="3"/>
        <v>3771475.2372014774</v>
      </c>
      <c r="U62" s="79">
        <f t="shared" si="10"/>
        <v>377148</v>
      </c>
      <c r="V62" s="79">
        <f t="shared" si="4"/>
        <v>71658</v>
      </c>
      <c r="W62" s="166">
        <f t="shared" si="29"/>
        <v>3843133.2372014774</v>
      </c>
      <c r="X62" s="96">
        <f t="shared" si="38"/>
        <v>1222237.3453893678</v>
      </c>
      <c r="Y62" s="77">
        <f t="shared" si="11"/>
        <v>9391.6666666666661</v>
      </c>
      <c r="Z62" s="97">
        <f t="shared" si="35"/>
        <v>97778.98763114943</v>
      </c>
      <c r="AA62" s="79">
        <f t="shared" si="6"/>
        <v>1320016.3330205171</v>
      </c>
      <c r="AB62" s="79">
        <f t="shared" si="12"/>
        <v>132002</v>
      </c>
      <c r="AC62" s="79">
        <f t="shared" si="7"/>
        <v>25080</v>
      </c>
      <c r="AD62" s="166">
        <f t="shared" si="13"/>
        <v>1345096.3330205171</v>
      </c>
      <c r="AE62" s="168">
        <f t="shared" si="14"/>
        <v>5956856.6176622901</v>
      </c>
      <c r="AG62" s="171">
        <f t="shared" si="15"/>
        <v>0</v>
      </c>
      <c r="AH62" s="171">
        <f t="shared" si="16"/>
        <v>5956856.6176622901</v>
      </c>
      <c r="AI62" s="171">
        <f t="shared" si="17"/>
        <v>0</v>
      </c>
    </row>
    <row r="63" spans="1:35" customFormat="1" ht="57.75" customHeight="1" x14ac:dyDescent="0.25">
      <c r="A63" s="91" t="s">
        <v>247</v>
      </c>
      <c r="B63" s="99" t="s">
        <v>254</v>
      </c>
      <c r="C63" s="100" t="s">
        <v>255</v>
      </c>
      <c r="D63" s="100" t="s">
        <v>30</v>
      </c>
      <c r="E63" s="93">
        <v>1</v>
      </c>
      <c r="F63" s="101"/>
      <c r="G63" s="101">
        <v>1</v>
      </c>
      <c r="H63" s="102"/>
      <c r="I63" s="96">
        <f t="shared" si="36"/>
        <v>698421.34022249584</v>
      </c>
      <c r="J63" s="77">
        <f t="shared" si="8"/>
        <v>9391.6666666666661</v>
      </c>
      <c r="K63" s="97">
        <f t="shared" si="39"/>
        <v>55873.707217799667</v>
      </c>
      <c r="L63" s="79">
        <f t="shared" si="0"/>
        <v>754295.04744029546</v>
      </c>
      <c r="M63" s="79">
        <f t="shared" si="18"/>
        <v>75430</v>
      </c>
      <c r="N63" s="79">
        <f t="shared" si="1"/>
        <v>14332</v>
      </c>
      <c r="O63" s="80">
        <f t="shared" si="28"/>
        <v>768627.04744029546</v>
      </c>
      <c r="P63" s="81"/>
      <c r="Q63" s="96">
        <f t="shared" si="37"/>
        <v>3492106.701112479</v>
      </c>
      <c r="R63" s="77">
        <f t="shared" si="9"/>
        <v>9391.6666666666661</v>
      </c>
      <c r="S63" s="97">
        <f t="shared" si="40"/>
        <v>279368.53608899831</v>
      </c>
      <c r="T63" s="79">
        <f t="shared" si="3"/>
        <v>3771475.2372014774</v>
      </c>
      <c r="U63" s="79">
        <f t="shared" si="10"/>
        <v>377148</v>
      </c>
      <c r="V63" s="79">
        <f t="shared" si="4"/>
        <v>71658</v>
      </c>
      <c r="W63" s="166">
        <f t="shared" si="29"/>
        <v>3843133.2372014774</v>
      </c>
      <c r="X63" s="96">
        <f t="shared" si="38"/>
        <v>1222237.3453893678</v>
      </c>
      <c r="Y63" s="77">
        <f t="shared" si="11"/>
        <v>9391.6666666666661</v>
      </c>
      <c r="Z63" s="97">
        <f t="shared" si="35"/>
        <v>97778.98763114943</v>
      </c>
      <c r="AA63" s="79">
        <f t="shared" si="6"/>
        <v>1320016.3330205171</v>
      </c>
      <c r="AB63" s="79">
        <f t="shared" si="12"/>
        <v>132002</v>
      </c>
      <c r="AC63" s="79">
        <f t="shared" si="7"/>
        <v>25080</v>
      </c>
      <c r="AD63" s="166">
        <f t="shared" si="13"/>
        <v>1345096.3330205171</v>
      </c>
      <c r="AE63" s="168">
        <f t="shared" si="14"/>
        <v>5956856.6176622901</v>
      </c>
      <c r="AG63" s="171">
        <f t="shared" si="15"/>
        <v>0</v>
      </c>
      <c r="AH63" s="171">
        <f t="shared" si="16"/>
        <v>5956856.6176622901</v>
      </c>
      <c r="AI63" s="171">
        <f t="shared" si="17"/>
        <v>0</v>
      </c>
    </row>
    <row r="64" spans="1:35" customFormat="1" ht="48" x14ac:dyDescent="0.25">
      <c r="A64" s="85" t="s">
        <v>153</v>
      </c>
      <c r="B64" s="71" t="s">
        <v>256</v>
      </c>
      <c r="C64" s="72" t="s">
        <v>257</v>
      </c>
      <c r="D64" s="72" t="s">
        <v>258</v>
      </c>
      <c r="E64" s="90">
        <v>1</v>
      </c>
      <c r="F64" s="74"/>
      <c r="G64" s="74">
        <v>1</v>
      </c>
      <c r="H64" s="75"/>
      <c r="I64" s="76">
        <f>(((((1750905*$D$9+J64)*47.59%)/13*13)/30*7)+((((1750905*$D$9+J64)*52.41%)/11*11)/30*7))</f>
        <v>4173430.7338888897</v>
      </c>
      <c r="J64" s="77">
        <f t="shared" si="8"/>
        <v>9391.6666666666661</v>
      </c>
      <c r="K64" s="78">
        <f t="shared" ref="K64:K66" si="41">SUM(I64)*10%</f>
        <v>417343.07338888897</v>
      </c>
      <c r="L64" s="79">
        <f t="shared" si="0"/>
        <v>4590773.8072777782</v>
      </c>
      <c r="M64" s="79">
        <f t="shared" si="18"/>
        <v>459077</v>
      </c>
      <c r="N64" s="79">
        <f t="shared" si="1"/>
        <v>87225</v>
      </c>
      <c r="O64" s="80">
        <f t="shared" si="28"/>
        <v>4677998.8072777782</v>
      </c>
      <c r="P64" s="81"/>
      <c r="Q64" s="76">
        <f>(((((1750905*$D$9+R64)*47.59%)/13*13)/30*30)+((((1750905*$D$9+R64)*52.41%)/11*11)/30*30))</f>
        <v>17886131.716666669</v>
      </c>
      <c r="R64" s="77">
        <f t="shared" si="9"/>
        <v>9391.6666666666661</v>
      </c>
      <c r="S64" s="78">
        <f t="shared" ref="S64:S66" si="42">SUM(Q64)*10%</f>
        <v>1788613.1716666669</v>
      </c>
      <c r="T64" s="79">
        <f t="shared" si="3"/>
        <v>19674744.888333336</v>
      </c>
      <c r="U64" s="79">
        <f t="shared" si="10"/>
        <v>1967474</v>
      </c>
      <c r="V64" s="79">
        <f t="shared" si="4"/>
        <v>373820</v>
      </c>
      <c r="W64" s="166">
        <f t="shared" si="29"/>
        <v>20048564.888333336</v>
      </c>
      <c r="X64" s="76">
        <f>(((((1750905*$D$9+Y64)*47.59%)/13*13)/30*10)+((((1750905*$D$9+Y64)*52.41%)/11*11)/30*10))</f>
        <v>5962043.9055555565</v>
      </c>
      <c r="Y64" s="77">
        <f t="shared" si="11"/>
        <v>9391.6666666666661</v>
      </c>
      <c r="Z64" s="78">
        <f t="shared" ref="Z64:Z66" si="43">SUM(X64)*10%</f>
        <v>596204.3905555557</v>
      </c>
      <c r="AA64" s="79">
        <f t="shared" si="6"/>
        <v>6558248.2961111125</v>
      </c>
      <c r="AB64" s="79">
        <f t="shared" si="12"/>
        <v>655825</v>
      </c>
      <c r="AC64" s="79">
        <f t="shared" si="7"/>
        <v>124607</v>
      </c>
      <c r="AD64" s="166">
        <f t="shared" si="13"/>
        <v>6682855.2961111125</v>
      </c>
      <c r="AE64" s="168">
        <f t="shared" si="14"/>
        <v>31409418.991722226</v>
      </c>
      <c r="AG64" s="171">
        <f t="shared" si="15"/>
        <v>0</v>
      </c>
      <c r="AH64" s="171">
        <f t="shared" si="16"/>
        <v>31409418.991722226</v>
      </c>
      <c r="AI64" s="171">
        <f t="shared" si="17"/>
        <v>0</v>
      </c>
    </row>
    <row r="65" spans="1:35" customFormat="1" ht="48" x14ac:dyDescent="0.25">
      <c r="A65" s="103" t="s">
        <v>259</v>
      </c>
      <c r="B65" s="71" t="s">
        <v>260</v>
      </c>
      <c r="C65" s="72" t="s">
        <v>261</v>
      </c>
      <c r="D65" s="72" t="s">
        <v>258</v>
      </c>
      <c r="E65" s="90">
        <v>1</v>
      </c>
      <c r="F65" s="74"/>
      <c r="G65" s="74">
        <v>1</v>
      </c>
      <c r="H65" s="75"/>
      <c r="I65" s="76">
        <f>(((((1750905*$D$9+J65)*47.59%)/13*12)/30*7)+((((1750905*$D$9+J65)*52.41%)/11*0)/30*0))</f>
        <v>1833356.0180840513</v>
      </c>
      <c r="J65" s="77">
        <f t="shared" si="8"/>
        <v>9391.6666666666661</v>
      </c>
      <c r="K65" s="78">
        <f t="shared" si="41"/>
        <v>183335.60180840513</v>
      </c>
      <c r="L65" s="79">
        <f t="shared" si="0"/>
        <v>2016691.6198924566</v>
      </c>
      <c r="M65" s="79">
        <f t="shared" si="18"/>
        <v>201669</v>
      </c>
      <c r="N65" s="79">
        <f t="shared" si="1"/>
        <v>38317</v>
      </c>
      <c r="O65" s="80">
        <f t="shared" si="28"/>
        <v>2055008.6198924566</v>
      </c>
      <c r="P65" s="81"/>
      <c r="Q65" s="76">
        <f>(((((1750905*$D$9+R65)*47.59%)/13*12)/30*30)+((((1750905*$D$9+R65)*52.41%)/11*0)/30*0))</f>
        <v>7857240.0775030777</v>
      </c>
      <c r="R65" s="77">
        <f t="shared" si="9"/>
        <v>9391.6666666666661</v>
      </c>
      <c r="S65" s="78">
        <f t="shared" si="42"/>
        <v>785724.00775030779</v>
      </c>
      <c r="T65" s="79">
        <f t="shared" si="3"/>
        <v>8642964.0852533858</v>
      </c>
      <c r="U65" s="79">
        <f t="shared" si="10"/>
        <v>864296</v>
      </c>
      <c r="V65" s="79">
        <f t="shared" si="4"/>
        <v>164216</v>
      </c>
      <c r="W65" s="166">
        <f t="shared" si="29"/>
        <v>8807180.0852533858</v>
      </c>
      <c r="X65" s="76">
        <f>(((((1750905*$D$9+Y65)*47.59%)/13*12)/30*10)+((((1750905*$D$9+Y65)*52.41%)/11*0)/30*0))</f>
        <v>2619080.0258343592</v>
      </c>
      <c r="Y65" s="77">
        <f t="shared" si="11"/>
        <v>9391.6666666666661</v>
      </c>
      <c r="Z65" s="78">
        <f t="shared" si="43"/>
        <v>261908.00258343594</v>
      </c>
      <c r="AA65" s="79">
        <f t="shared" si="6"/>
        <v>2880988.028417795</v>
      </c>
      <c r="AB65" s="79">
        <f t="shared" si="12"/>
        <v>288099</v>
      </c>
      <c r="AC65" s="79">
        <f t="shared" si="7"/>
        <v>54739</v>
      </c>
      <c r="AD65" s="166">
        <f t="shared" si="13"/>
        <v>2935727.028417795</v>
      </c>
      <c r="AE65" s="168">
        <f t="shared" si="14"/>
        <v>13797915.733563639</v>
      </c>
      <c r="AG65" s="171">
        <f t="shared" si="15"/>
        <v>0</v>
      </c>
      <c r="AH65" s="171">
        <f t="shared" si="16"/>
        <v>13797915.733563639</v>
      </c>
      <c r="AI65" s="171">
        <f t="shared" si="17"/>
        <v>0</v>
      </c>
    </row>
    <row r="66" spans="1:35" customFormat="1" ht="48" x14ac:dyDescent="0.25">
      <c r="A66" s="103" t="s">
        <v>259</v>
      </c>
      <c r="B66" s="83" t="s">
        <v>262</v>
      </c>
      <c r="C66" s="89" t="s">
        <v>263</v>
      </c>
      <c r="D66" s="72" t="s">
        <v>258</v>
      </c>
      <c r="E66" s="90">
        <v>1</v>
      </c>
      <c r="F66" s="74"/>
      <c r="G66" s="74">
        <v>1</v>
      </c>
      <c r="H66" s="75"/>
      <c r="I66" s="76">
        <f>(((((1750905*$D$9+J66)*47.59%)/13*12)/30*7)+((((1750905*$D$9+J66)*52.41%)/11*0)/30*0))</f>
        <v>1833356.0180840513</v>
      </c>
      <c r="J66" s="77">
        <f t="shared" si="8"/>
        <v>9391.6666666666661</v>
      </c>
      <c r="K66" s="78">
        <f t="shared" si="41"/>
        <v>183335.60180840513</v>
      </c>
      <c r="L66" s="79">
        <f t="shared" si="0"/>
        <v>2016691.6198924566</v>
      </c>
      <c r="M66" s="79">
        <f t="shared" si="18"/>
        <v>201669</v>
      </c>
      <c r="N66" s="79">
        <f t="shared" si="1"/>
        <v>38317</v>
      </c>
      <c r="O66" s="80">
        <f t="shared" si="28"/>
        <v>2055008.6198924566</v>
      </c>
      <c r="P66" s="81"/>
      <c r="Q66" s="76">
        <f>(((((1750905*$D$9+R66)*47.59%)/13*12)/30*30)+((((1750905*$D$9+R66)*52.41%)/11*0)/30*0))</f>
        <v>7857240.0775030777</v>
      </c>
      <c r="R66" s="77">
        <f t="shared" si="9"/>
        <v>9391.6666666666661</v>
      </c>
      <c r="S66" s="78">
        <f t="shared" si="42"/>
        <v>785724.00775030779</v>
      </c>
      <c r="T66" s="79">
        <f t="shared" si="3"/>
        <v>8642964.0852533858</v>
      </c>
      <c r="U66" s="79">
        <f t="shared" si="10"/>
        <v>864296</v>
      </c>
      <c r="V66" s="79">
        <f t="shared" si="4"/>
        <v>164216</v>
      </c>
      <c r="W66" s="166">
        <f t="shared" si="29"/>
        <v>8807180.0852533858</v>
      </c>
      <c r="X66" s="76">
        <f>(((((1750905*$D$9+Y66)*47.59%)/13*12)/30*10)+((((1750905*$D$9+Y66)*52.41%)/11*0)/30*0))</f>
        <v>2619080.0258343592</v>
      </c>
      <c r="Y66" s="77">
        <f t="shared" si="11"/>
        <v>9391.6666666666661</v>
      </c>
      <c r="Z66" s="78">
        <f t="shared" si="43"/>
        <v>261908.00258343594</v>
      </c>
      <c r="AA66" s="79">
        <f t="shared" si="6"/>
        <v>2880988.028417795</v>
      </c>
      <c r="AB66" s="79">
        <f t="shared" si="12"/>
        <v>288099</v>
      </c>
      <c r="AC66" s="79">
        <f t="shared" si="7"/>
        <v>54739</v>
      </c>
      <c r="AD66" s="166">
        <f t="shared" si="13"/>
        <v>2935727.028417795</v>
      </c>
      <c r="AE66" s="168">
        <f t="shared" si="14"/>
        <v>13797915.733563639</v>
      </c>
      <c r="AG66" s="171">
        <f t="shared" si="15"/>
        <v>0</v>
      </c>
      <c r="AH66" s="171">
        <f t="shared" si="16"/>
        <v>13797915.733563639</v>
      </c>
      <c r="AI66" s="171">
        <f t="shared" si="17"/>
        <v>0</v>
      </c>
    </row>
    <row r="67" spans="1:35" customFormat="1" ht="36" x14ac:dyDescent="0.25">
      <c r="A67" s="103" t="s">
        <v>259</v>
      </c>
      <c r="B67" s="71" t="s">
        <v>264</v>
      </c>
      <c r="C67" s="72" t="s">
        <v>257</v>
      </c>
      <c r="D67" s="72" t="s">
        <v>258</v>
      </c>
      <c r="E67" s="104">
        <v>2</v>
      </c>
      <c r="F67" s="74"/>
      <c r="G67" s="74">
        <v>1</v>
      </c>
      <c r="H67" s="75"/>
      <c r="I67" s="76">
        <f>(((((1750905*$D$9+J67)*47.59%)/13*12)/30*7)+((((1750905*$D$9+J67)*52.41%)/11*0)/30*0))</f>
        <v>1833356.0180840513</v>
      </c>
      <c r="J67" s="77">
        <f t="shared" si="8"/>
        <v>9391.6666666666661</v>
      </c>
      <c r="K67" s="78">
        <f>SUM(I67)*10%</f>
        <v>183335.60180840513</v>
      </c>
      <c r="L67" s="79">
        <f t="shared" si="0"/>
        <v>2016691.6198924566</v>
      </c>
      <c r="M67" s="79">
        <f t="shared" si="18"/>
        <v>201669</v>
      </c>
      <c r="N67" s="79">
        <f t="shared" si="1"/>
        <v>38317</v>
      </c>
      <c r="O67" s="80">
        <f t="shared" si="28"/>
        <v>4110017.2397849131</v>
      </c>
      <c r="P67" s="81"/>
      <c r="Q67" s="76">
        <f>(((((1750905*$D$9+R67)*47.59%)/13*12)/30*30)+((((1750905*$D$9+R67)*52.41%)/11*0)/30*0))</f>
        <v>7857240.0775030777</v>
      </c>
      <c r="R67" s="77">
        <f t="shared" si="9"/>
        <v>9391.6666666666661</v>
      </c>
      <c r="S67" s="78">
        <f>SUM(Q67)*10%</f>
        <v>785724.00775030779</v>
      </c>
      <c r="T67" s="79">
        <f t="shared" si="3"/>
        <v>8642964.0852533858</v>
      </c>
      <c r="U67" s="79">
        <f t="shared" si="10"/>
        <v>864296</v>
      </c>
      <c r="V67" s="79">
        <f t="shared" si="4"/>
        <v>164216</v>
      </c>
      <c r="W67" s="166">
        <f t="shared" si="29"/>
        <v>17614360.170506772</v>
      </c>
      <c r="X67" s="76">
        <f>(((((1750905*$D$9+Y67)*47.59%)/13*12)/30*10)+((((1750905*$D$9+Y67)*52.41%)/11*0)/30*0))</f>
        <v>2619080.0258343592</v>
      </c>
      <c r="Y67" s="77">
        <f t="shared" si="11"/>
        <v>9391.6666666666661</v>
      </c>
      <c r="Z67" s="78">
        <f>SUM(X67)*10%</f>
        <v>261908.00258343594</v>
      </c>
      <c r="AA67" s="79">
        <f t="shared" si="6"/>
        <v>2880988.028417795</v>
      </c>
      <c r="AB67" s="79">
        <f t="shared" si="12"/>
        <v>288099</v>
      </c>
      <c r="AC67" s="79">
        <f t="shared" si="7"/>
        <v>54739</v>
      </c>
      <c r="AD67" s="166">
        <f t="shared" si="13"/>
        <v>5871454.0568355899</v>
      </c>
      <c r="AE67" s="168">
        <f t="shared" si="14"/>
        <v>27595831.467127278</v>
      </c>
      <c r="AG67" s="171">
        <f t="shared" si="15"/>
        <v>0</v>
      </c>
      <c r="AH67" s="171">
        <f t="shared" si="16"/>
        <v>27595831.467127278</v>
      </c>
      <c r="AI67" s="171">
        <f t="shared" si="17"/>
        <v>0</v>
      </c>
    </row>
    <row r="68" spans="1:35" customFormat="1" ht="48" x14ac:dyDescent="0.25">
      <c r="A68" s="70" t="s">
        <v>153</v>
      </c>
      <c r="B68" s="71" t="s">
        <v>265</v>
      </c>
      <c r="C68" s="72" t="s">
        <v>266</v>
      </c>
      <c r="D68" s="89" t="s">
        <v>267</v>
      </c>
      <c r="E68" s="90">
        <v>1</v>
      </c>
      <c r="F68" s="74"/>
      <c r="G68" s="74">
        <v>1</v>
      </c>
      <c r="H68" s="75"/>
      <c r="I68" s="76">
        <f>(((((1750905*$D$9+J68)*47.59%)/13*13)/30*7)+((((1750905*$D$9+J68)*52.41%)/11*11)/30*7))</f>
        <v>4173430.7338888897</v>
      </c>
      <c r="J68" s="77">
        <f t="shared" si="8"/>
        <v>9391.6666666666661</v>
      </c>
      <c r="K68" s="78">
        <f t="shared" ref="K68" si="44">SUM(I68)*10%</f>
        <v>417343.07338888897</v>
      </c>
      <c r="L68" s="79">
        <f t="shared" si="0"/>
        <v>4590773.8072777782</v>
      </c>
      <c r="M68" s="79">
        <f t="shared" si="18"/>
        <v>459077</v>
      </c>
      <c r="N68" s="79">
        <f t="shared" si="1"/>
        <v>87225</v>
      </c>
      <c r="O68" s="80">
        <f t="shared" si="28"/>
        <v>4677998.8072777782</v>
      </c>
      <c r="P68" s="81"/>
      <c r="Q68" s="76">
        <f>(((((1750905*$D$9+R68)*47.59%)/13*13)/30*30)+((((1750905*$D$9+R68)*52.41%)/11*11)/30*30))</f>
        <v>17886131.716666669</v>
      </c>
      <c r="R68" s="77">
        <f t="shared" si="9"/>
        <v>9391.6666666666661</v>
      </c>
      <c r="S68" s="78">
        <f t="shared" ref="S68" si="45">SUM(Q68)*10%</f>
        <v>1788613.1716666669</v>
      </c>
      <c r="T68" s="79">
        <f t="shared" si="3"/>
        <v>19674744.888333336</v>
      </c>
      <c r="U68" s="79">
        <f t="shared" si="10"/>
        <v>1967474</v>
      </c>
      <c r="V68" s="79">
        <f t="shared" si="4"/>
        <v>373820</v>
      </c>
      <c r="W68" s="166">
        <f t="shared" si="29"/>
        <v>20048564.888333336</v>
      </c>
      <c r="X68" s="76">
        <f>(((((1750905*$D$9+Y68)*47.59%)/13*13)/30*10)+((((1750905*$D$9+Y68)*52.41%)/11*11)/30*10))</f>
        <v>5962043.9055555565</v>
      </c>
      <c r="Y68" s="77">
        <f t="shared" si="11"/>
        <v>9391.6666666666661</v>
      </c>
      <c r="Z68" s="78">
        <f t="shared" ref="Z68" si="46">SUM(X68)*10%</f>
        <v>596204.3905555557</v>
      </c>
      <c r="AA68" s="79">
        <f t="shared" si="6"/>
        <v>6558248.2961111125</v>
      </c>
      <c r="AB68" s="79">
        <f t="shared" si="12"/>
        <v>655825</v>
      </c>
      <c r="AC68" s="79">
        <f t="shared" si="7"/>
        <v>124607</v>
      </c>
      <c r="AD68" s="166">
        <f t="shared" si="13"/>
        <v>6682855.2961111125</v>
      </c>
      <c r="AE68" s="168">
        <f t="shared" si="14"/>
        <v>31409418.991722226</v>
      </c>
      <c r="AG68" s="171">
        <f t="shared" si="15"/>
        <v>0</v>
      </c>
      <c r="AH68" s="171">
        <f t="shared" si="16"/>
        <v>31409418.991722226</v>
      </c>
      <c r="AI68" s="171">
        <f t="shared" si="17"/>
        <v>0</v>
      </c>
    </row>
    <row r="69" spans="1:35" customFormat="1" ht="60" x14ac:dyDescent="0.25">
      <c r="A69" s="70" t="s">
        <v>179</v>
      </c>
      <c r="B69" s="71" t="s">
        <v>268</v>
      </c>
      <c r="C69" s="72" t="s">
        <v>269</v>
      </c>
      <c r="D69" s="89" t="s">
        <v>267</v>
      </c>
      <c r="E69" s="90">
        <v>1</v>
      </c>
      <c r="F69" s="74"/>
      <c r="G69" s="74">
        <v>1</v>
      </c>
      <c r="H69" s="75"/>
      <c r="I69" s="76">
        <f>(((((1750905*$D$9+J69)*47.59%)/13*9)/30*4)+((((1750905*$D$9+J69)*52.41%)/11*0)/30*0))</f>
        <v>785724.00775030779</v>
      </c>
      <c r="J69" s="77">
        <f t="shared" si="8"/>
        <v>9391.6666666666661</v>
      </c>
      <c r="K69" s="78">
        <f>SUM(I69)*8%</f>
        <v>62857.920620024626</v>
      </c>
      <c r="L69" s="79">
        <f t="shared" si="0"/>
        <v>848581.92837033246</v>
      </c>
      <c r="M69" s="79">
        <f t="shared" si="18"/>
        <v>84858</v>
      </c>
      <c r="N69" s="79">
        <f t="shared" si="1"/>
        <v>16123</v>
      </c>
      <c r="O69" s="80">
        <f t="shared" si="28"/>
        <v>864704.92837033246</v>
      </c>
      <c r="P69" s="81"/>
      <c r="Q69" s="76">
        <f>(((((1750905*$D$9+R69)*47.59%)/13*9)/30*20)+((((1750905*$D$9+R69)*52.41%)/11*0)/30*0))</f>
        <v>3928620.0387515388</v>
      </c>
      <c r="R69" s="77">
        <f t="shared" si="9"/>
        <v>9391.6666666666661</v>
      </c>
      <c r="S69" s="78">
        <f>SUM(Q69)*8%</f>
        <v>314289.60310012312</v>
      </c>
      <c r="T69" s="79">
        <f t="shared" si="3"/>
        <v>4242909.6418516617</v>
      </c>
      <c r="U69" s="79">
        <f t="shared" si="10"/>
        <v>424291</v>
      </c>
      <c r="V69" s="79">
        <f t="shared" si="4"/>
        <v>80615</v>
      </c>
      <c r="W69" s="166">
        <f t="shared" si="29"/>
        <v>4323524.6418516617</v>
      </c>
      <c r="X69" s="76">
        <f>(((((1750905*$D$9+Y69)*47.59%)/13*9)/30*7)+((((1750905*$D$9+Y69)*52.41%)/11*0)/30*0))</f>
        <v>1375017.0135630385</v>
      </c>
      <c r="Y69" s="77">
        <f t="shared" si="11"/>
        <v>9391.6666666666661</v>
      </c>
      <c r="Z69" s="78">
        <f>SUM(X69)*8%</f>
        <v>110001.36108504309</v>
      </c>
      <c r="AA69" s="79">
        <f t="shared" si="6"/>
        <v>1485018.3746480816</v>
      </c>
      <c r="AB69" s="79">
        <f t="shared" si="12"/>
        <v>148502</v>
      </c>
      <c r="AC69" s="79">
        <f t="shared" si="7"/>
        <v>28215</v>
      </c>
      <c r="AD69" s="166">
        <f t="shared" si="13"/>
        <v>1513233.3746480816</v>
      </c>
      <c r="AE69" s="168">
        <f t="shared" si="14"/>
        <v>6701462.9448700752</v>
      </c>
      <c r="AG69" s="171">
        <f t="shared" si="15"/>
        <v>0</v>
      </c>
      <c r="AH69" s="171">
        <f t="shared" si="16"/>
        <v>6701462.9448700752</v>
      </c>
      <c r="AI69" s="171">
        <f t="shared" si="17"/>
        <v>0</v>
      </c>
    </row>
    <row r="70" spans="1:35" customFormat="1" ht="60" x14ac:dyDescent="0.25">
      <c r="A70" s="70" t="s">
        <v>153</v>
      </c>
      <c r="B70" s="71" t="s">
        <v>270</v>
      </c>
      <c r="C70" s="72" t="s">
        <v>271</v>
      </c>
      <c r="D70" s="89" t="s">
        <v>267</v>
      </c>
      <c r="E70" s="90">
        <v>1</v>
      </c>
      <c r="F70" s="74"/>
      <c r="G70" s="74">
        <v>1</v>
      </c>
      <c r="H70" s="75"/>
      <c r="I70" s="76">
        <f>(((((1750905*$D$9+J70)*47.59%)/13*13)/30*7)+((((1750905*$D$9+J70)*52.41%)/11*11)/30*7))</f>
        <v>4173430.7338888897</v>
      </c>
      <c r="J70" s="77">
        <f t="shared" si="8"/>
        <v>9391.6666666666661</v>
      </c>
      <c r="K70" s="78">
        <f>SUM(I70)*10%</f>
        <v>417343.07338888897</v>
      </c>
      <c r="L70" s="79">
        <f t="shared" si="0"/>
        <v>4590773.8072777782</v>
      </c>
      <c r="M70" s="79">
        <f t="shared" si="18"/>
        <v>459077</v>
      </c>
      <c r="N70" s="79">
        <f t="shared" si="1"/>
        <v>87225</v>
      </c>
      <c r="O70" s="80">
        <f t="shared" si="28"/>
        <v>4677998.8072777782</v>
      </c>
      <c r="P70" s="81"/>
      <c r="Q70" s="76">
        <f>(((((1750905*$D$9+R70)*47.59%)/13*13)/30*30)+((((1750905*$D$9+R70)*52.41%)/11*11)/30*30))</f>
        <v>17886131.716666669</v>
      </c>
      <c r="R70" s="77">
        <f t="shared" si="9"/>
        <v>9391.6666666666661</v>
      </c>
      <c r="S70" s="78">
        <f>SUM(Q70)*10%</f>
        <v>1788613.1716666669</v>
      </c>
      <c r="T70" s="79">
        <f t="shared" si="3"/>
        <v>19674744.888333336</v>
      </c>
      <c r="U70" s="79">
        <f t="shared" si="10"/>
        <v>1967474</v>
      </c>
      <c r="V70" s="79">
        <f t="shared" si="4"/>
        <v>373820</v>
      </c>
      <c r="W70" s="166">
        <f t="shared" si="29"/>
        <v>20048564.888333336</v>
      </c>
      <c r="X70" s="76">
        <f>(((((1750905*$D$9+Y70)*47.59%)/13*13)/30*10)+((((1750905*$D$9+Y70)*52.41%)/11*11)/30*10))</f>
        <v>5962043.9055555565</v>
      </c>
      <c r="Y70" s="77">
        <f t="shared" si="11"/>
        <v>9391.6666666666661</v>
      </c>
      <c r="Z70" s="78">
        <f>SUM(X70)*10%</f>
        <v>596204.3905555557</v>
      </c>
      <c r="AA70" s="79">
        <f t="shared" si="6"/>
        <v>6558248.2961111125</v>
      </c>
      <c r="AB70" s="79">
        <f t="shared" si="12"/>
        <v>655825</v>
      </c>
      <c r="AC70" s="79">
        <f t="shared" si="7"/>
        <v>124607</v>
      </c>
      <c r="AD70" s="166">
        <f t="shared" si="13"/>
        <v>6682855.2961111125</v>
      </c>
      <c r="AE70" s="168">
        <f t="shared" si="14"/>
        <v>31409418.991722226</v>
      </c>
      <c r="AG70" s="171">
        <f t="shared" si="15"/>
        <v>0</v>
      </c>
      <c r="AH70" s="171">
        <f t="shared" si="16"/>
        <v>31409418.991722226</v>
      </c>
      <c r="AI70" s="171">
        <f t="shared" si="17"/>
        <v>0</v>
      </c>
    </row>
    <row r="71" spans="1:35" customFormat="1" ht="48" x14ac:dyDescent="0.25">
      <c r="A71" s="103" t="s">
        <v>259</v>
      </c>
      <c r="B71" s="83" t="s">
        <v>272</v>
      </c>
      <c r="C71" s="89" t="s">
        <v>271</v>
      </c>
      <c r="D71" s="89" t="s">
        <v>267</v>
      </c>
      <c r="E71" s="90">
        <v>1</v>
      </c>
      <c r="F71" s="74"/>
      <c r="G71" s="74">
        <v>1</v>
      </c>
      <c r="H71" s="75"/>
      <c r="I71" s="76">
        <f>(((((1750905*$D$9+J71)*47.59%)/13*12)/30*7)+((((1750905*$D$9+J71)*52.41%)/11*0)/30*0))</f>
        <v>1833356.0180840513</v>
      </c>
      <c r="J71" s="77">
        <f t="shared" si="8"/>
        <v>9391.6666666666661</v>
      </c>
      <c r="K71" s="78">
        <f>SUM(I71)*10%</f>
        <v>183335.60180840513</v>
      </c>
      <c r="L71" s="79">
        <f t="shared" si="0"/>
        <v>2016691.6198924566</v>
      </c>
      <c r="M71" s="79">
        <f t="shared" si="18"/>
        <v>201669</v>
      </c>
      <c r="N71" s="79">
        <f t="shared" si="1"/>
        <v>38317</v>
      </c>
      <c r="O71" s="80">
        <f t="shared" si="28"/>
        <v>2055008.6198924566</v>
      </c>
      <c r="P71" s="81"/>
      <c r="Q71" s="76">
        <f>(((((1750905*$D$9+R71)*47.59%)/13*12)/30*30)+((((1750905*$D$9+R71)*52.41%)/11*0)/30*0))</f>
        <v>7857240.0775030777</v>
      </c>
      <c r="R71" s="77">
        <f t="shared" si="9"/>
        <v>9391.6666666666661</v>
      </c>
      <c r="S71" s="78">
        <f>SUM(Q71)*10%</f>
        <v>785724.00775030779</v>
      </c>
      <c r="T71" s="79">
        <f t="shared" si="3"/>
        <v>8642964.0852533858</v>
      </c>
      <c r="U71" s="79">
        <f t="shared" si="10"/>
        <v>864296</v>
      </c>
      <c r="V71" s="79">
        <f t="shared" si="4"/>
        <v>164216</v>
      </c>
      <c r="W71" s="166">
        <f t="shared" si="29"/>
        <v>8807180.0852533858</v>
      </c>
      <c r="X71" s="76">
        <f>(((((1750905*$D$9+Y71)*47.59%)/13*12)/30*10)+((((1750905*$D$9+Y71)*52.41%)/11*0)/30*0))</f>
        <v>2619080.0258343592</v>
      </c>
      <c r="Y71" s="77">
        <f t="shared" si="11"/>
        <v>9391.6666666666661</v>
      </c>
      <c r="Z71" s="78">
        <f>SUM(X71)*10%</f>
        <v>261908.00258343594</v>
      </c>
      <c r="AA71" s="79">
        <f t="shared" si="6"/>
        <v>2880988.028417795</v>
      </c>
      <c r="AB71" s="79">
        <f t="shared" si="12"/>
        <v>288099</v>
      </c>
      <c r="AC71" s="79">
        <f t="shared" si="7"/>
        <v>54739</v>
      </c>
      <c r="AD71" s="166">
        <f t="shared" si="13"/>
        <v>2935727.028417795</v>
      </c>
      <c r="AE71" s="168">
        <f t="shared" si="14"/>
        <v>13797915.733563639</v>
      </c>
      <c r="AG71" s="171">
        <f t="shared" si="15"/>
        <v>0</v>
      </c>
      <c r="AH71" s="171">
        <f t="shared" si="16"/>
        <v>13797915.733563639</v>
      </c>
      <c r="AI71" s="171">
        <f t="shared" si="17"/>
        <v>0</v>
      </c>
    </row>
    <row r="72" spans="1:35" customFormat="1" ht="48" x14ac:dyDescent="0.25">
      <c r="A72" s="70" t="s">
        <v>162</v>
      </c>
      <c r="B72" s="71" t="s">
        <v>273</v>
      </c>
      <c r="C72" s="92" t="s">
        <v>271</v>
      </c>
      <c r="D72" s="89" t="s">
        <v>267</v>
      </c>
      <c r="E72" s="90">
        <v>1</v>
      </c>
      <c r="F72" s="74"/>
      <c r="G72" s="74">
        <v>1</v>
      </c>
      <c r="H72" s="75"/>
      <c r="I72" s="76">
        <f>(((((1750905*$D$9+J72)*47.59%)/13*13)/30*7)+((((1750905*$D$9+J72)*52.41%)/11*11)/30*7))</f>
        <v>4173430.7338888897</v>
      </c>
      <c r="J72" s="77">
        <f t="shared" si="8"/>
        <v>9391.6666666666661</v>
      </c>
      <c r="K72" s="78">
        <f>SUM(I72)*8%</f>
        <v>333874.45871111116</v>
      </c>
      <c r="L72" s="79">
        <f t="shared" si="0"/>
        <v>4507305.1926000006</v>
      </c>
      <c r="M72" s="79">
        <f t="shared" si="18"/>
        <v>450731</v>
      </c>
      <c r="N72" s="79">
        <f t="shared" si="1"/>
        <v>85639</v>
      </c>
      <c r="O72" s="80">
        <f t="shared" si="28"/>
        <v>4592944.1926000006</v>
      </c>
      <c r="P72" s="81"/>
      <c r="Q72" s="76">
        <f>(((((1750905*$D$9+R72)*47.59%)/13*13)/30*30)+((((1750905*$D$9+R72)*52.41%)/11*11)/30*30))</f>
        <v>17886131.716666669</v>
      </c>
      <c r="R72" s="77">
        <f t="shared" si="9"/>
        <v>9391.6666666666661</v>
      </c>
      <c r="S72" s="78">
        <f>SUM(Q72)*8%</f>
        <v>1430890.5373333336</v>
      </c>
      <c r="T72" s="79">
        <f t="shared" si="3"/>
        <v>19317022.254000001</v>
      </c>
      <c r="U72" s="79">
        <f t="shared" si="10"/>
        <v>1931702</v>
      </c>
      <c r="V72" s="79">
        <f t="shared" si="4"/>
        <v>367023</v>
      </c>
      <c r="W72" s="166">
        <f t="shared" si="29"/>
        <v>19684045.254000001</v>
      </c>
      <c r="X72" s="76">
        <f>(((((1750905*$D$9+Y72)*47.59%)/13*13)/30*10)+((((1750905*$D$9+Y72)*52.41%)/11*11)/30*10))</f>
        <v>5962043.9055555565</v>
      </c>
      <c r="Y72" s="77">
        <f t="shared" si="11"/>
        <v>9391.6666666666661</v>
      </c>
      <c r="Z72" s="78">
        <f>SUM(X72)*8%</f>
        <v>476963.51244444452</v>
      </c>
      <c r="AA72" s="79">
        <f t="shared" si="6"/>
        <v>6439007.4180000015</v>
      </c>
      <c r="AB72" s="79">
        <f t="shared" si="12"/>
        <v>643901</v>
      </c>
      <c r="AC72" s="79">
        <f t="shared" si="7"/>
        <v>122341</v>
      </c>
      <c r="AD72" s="166">
        <f t="shared" si="13"/>
        <v>6561348.4180000015</v>
      </c>
      <c r="AE72" s="168">
        <f t="shared" si="14"/>
        <v>30838337.864600003</v>
      </c>
      <c r="AG72" s="171">
        <f t="shared" si="15"/>
        <v>0</v>
      </c>
      <c r="AH72" s="171">
        <f t="shared" si="16"/>
        <v>30838337.864600003</v>
      </c>
      <c r="AI72" s="171">
        <f t="shared" si="17"/>
        <v>0</v>
      </c>
    </row>
    <row r="73" spans="1:35" customFormat="1" ht="60" x14ac:dyDescent="0.25">
      <c r="A73" s="70" t="s">
        <v>153</v>
      </c>
      <c r="B73" s="83" t="s">
        <v>274</v>
      </c>
      <c r="C73" s="72" t="s">
        <v>275</v>
      </c>
      <c r="D73" s="89" t="s">
        <v>267</v>
      </c>
      <c r="E73" s="90">
        <v>1</v>
      </c>
      <c r="F73" s="74"/>
      <c r="G73" s="74">
        <v>1</v>
      </c>
      <c r="H73" s="75"/>
      <c r="I73" s="76">
        <f>(((((1750905*$D$9+J73)*47.59%)/13*13)/30*7)+((((1750905*$D$9+J73)*52.41%)/11*11)/30*7))</f>
        <v>4173430.7338888897</v>
      </c>
      <c r="J73" s="77">
        <f t="shared" si="8"/>
        <v>9391.6666666666661</v>
      </c>
      <c r="K73" s="78">
        <f>SUM(I73)*10%</f>
        <v>417343.07338888897</v>
      </c>
      <c r="L73" s="79">
        <f t="shared" si="0"/>
        <v>4590773.8072777782</v>
      </c>
      <c r="M73" s="79">
        <f t="shared" si="18"/>
        <v>459077</v>
      </c>
      <c r="N73" s="79">
        <f t="shared" si="1"/>
        <v>87225</v>
      </c>
      <c r="O73" s="80">
        <f t="shared" si="28"/>
        <v>4677998.8072777782</v>
      </c>
      <c r="P73" s="81"/>
      <c r="Q73" s="76">
        <f>(((((1750905*$D$9+R73)*47.59%)/13*13)/30*30)+((((1750905*$D$9+R73)*52.41%)/11*11)/30*30))</f>
        <v>17886131.716666669</v>
      </c>
      <c r="R73" s="77">
        <f t="shared" si="9"/>
        <v>9391.6666666666661</v>
      </c>
      <c r="S73" s="78">
        <f>SUM(Q73)*10%</f>
        <v>1788613.1716666669</v>
      </c>
      <c r="T73" s="79">
        <f t="shared" si="3"/>
        <v>19674744.888333336</v>
      </c>
      <c r="U73" s="79">
        <f t="shared" si="10"/>
        <v>1967474</v>
      </c>
      <c r="V73" s="79">
        <f t="shared" si="4"/>
        <v>373820</v>
      </c>
      <c r="W73" s="166">
        <f t="shared" si="29"/>
        <v>20048564.888333336</v>
      </c>
      <c r="X73" s="76">
        <f>(((((1750905*$D$9+Y73)*47.59%)/13*13)/30*10)+((((1750905*$D$9+Y73)*52.41%)/11*11)/30*10))</f>
        <v>5962043.9055555565</v>
      </c>
      <c r="Y73" s="77">
        <f t="shared" si="11"/>
        <v>9391.6666666666661</v>
      </c>
      <c r="Z73" s="78">
        <f>SUM(X73)*10%</f>
        <v>596204.3905555557</v>
      </c>
      <c r="AA73" s="79">
        <f t="shared" si="6"/>
        <v>6558248.2961111125</v>
      </c>
      <c r="AB73" s="79">
        <f t="shared" si="12"/>
        <v>655825</v>
      </c>
      <c r="AC73" s="79">
        <f t="shared" si="7"/>
        <v>124607</v>
      </c>
      <c r="AD73" s="166">
        <f t="shared" si="13"/>
        <v>6682855.2961111125</v>
      </c>
      <c r="AE73" s="168">
        <f t="shared" si="14"/>
        <v>31409418.991722226</v>
      </c>
      <c r="AG73" s="171">
        <f t="shared" si="15"/>
        <v>0</v>
      </c>
      <c r="AH73" s="171">
        <f t="shared" si="16"/>
        <v>31409418.991722226</v>
      </c>
      <c r="AI73" s="171">
        <f t="shared" si="17"/>
        <v>0</v>
      </c>
    </row>
    <row r="74" spans="1:35" customFormat="1" ht="48" x14ac:dyDescent="0.25">
      <c r="A74" s="105" t="s">
        <v>179</v>
      </c>
      <c r="B74" s="82" t="s">
        <v>276</v>
      </c>
      <c r="C74" s="92" t="s">
        <v>277</v>
      </c>
      <c r="D74" s="89" t="s">
        <v>267</v>
      </c>
      <c r="E74" s="90">
        <v>1</v>
      </c>
      <c r="F74" s="74"/>
      <c r="G74" s="74">
        <v>1</v>
      </c>
      <c r="H74" s="75"/>
      <c r="I74" s="76">
        <f>(((((1750905*$D$9+J74)*47.59%)/13*9)/30*4)+((((1750905*$D$9+J74)*52.41%)/11*0)/30*0))</f>
        <v>785724.00775030779</v>
      </c>
      <c r="J74" s="77">
        <f t="shared" si="8"/>
        <v>9391.6666666666661</v>
      </c>
      <c r="K74" s="78">
        <f>SUM(I74)*8%</f>
        <v>62857.920620024626</v>
      </c>
      <c r="L74" s="79">
        <f t="shared" si="0"/>
        <v>848581.92837033246</v>
      </c>
      <c r="M74" s="79">
        <f t="shared" si="18"/>
        <v>84858</v>
      </c>
      <c r="N74" s="79">
        <f t="shared" si="1"/>
        <v>16123</v>
      </c>
      <c r="O74" s="80">
        <f t="shared" si="28"/>
        <v>864704.92837033246</v>
      </c>
      <c r="P74" s="81"/>
      <c r="Q74" s="76">
        <f>(((((1750905*$D$9+R74)*47.59%)/13*9)/30*20)+((((1750905*$D$9+R74)*52.41%)/11*0)/30*0))</f>
        <v>3928620.0387515388</v>
      </c>
      <c r="R74" s="77">
        <f t="shared" si="9"/>
        <v>9391.6666666666661</v>
      </c>
      <c r="S74" s="78">
        <f>SUM(Q74)*8%</f>
        <v>314289.60310012312</v>
      </c>
      <c r="T74" s="79">
        <f t="shared" si="3"/>
        <v>4242909.6418516617</v>
      </c>
      <c r="U74" s="79">
        <f t="shared" si="10"/>
        <v>424291</v>
      </c>
      <c r="V74" s="79">
        <f t="shared" si="4"/>
        <v>80615</v>
      </c>
      <c r="W74" s="166">
        <f t="shared" si="29"/>
        <v>4323524.6418516617</v>
      </c>
      <c r="X74" s="76">
        <f>(((((1750905*$D$9+Y74)*47.59%)/13*9)/30*7)+((((1750905*$D$9+Y74)*52.41%)/11*0)/30*0))</f>
        <v>1375017.0135630385</v>
      </c>
      <c r="Y74" s="77">
        <f t="shared" si="11"/>
        <v>9391.6666666666661</v>
      </c>
      <c r="Z74" s="78">
        <f>SUM(X74)*8%</f>
        <v>110001.36108504309</v>
      </c>
      <c r="AA74" s="79">
        <f t="shared" si="6"/>
        <v>1485018.3746480816</v>
      </c>
      <c r="AB74" s="79">
        <f t="shared" si="12"/>
        <v>148502</v>
      </c>
      <c r="AC74" s="79">
        <f t="shared" si="7"/>
        <v>28215</v>
      </c>
      <c r="AD74" s="166">
        <f t="shared" si="13"/>
        <v>1513233.3746480816</v>
      </c>
      <c r="AE74" s="168">
        <f t="shared" si="14"/>
        <v>6701462.9448700752</v>
      </c>
      <c r="AG74" s="171">
        <f t="shared" si="15"/>
        <v>0</v>
      </c>
      <c r="AH74" s="171">
        <f t="shared" si="16"/>
        <v>6701462.9448700752</v>
      </c>
      <c r="AI74" s="171">
        <f t="shared" si="17"/>
        <v>0</v>
      </c>
    </row>
    <row r="75" spans="1:35" customFormat="1" ht="48" x14ac:dyDescent="0.25">
      <c r="A75" s="105" t="s">
        <v>179</v>
      </c>
      <c r="B75" s="82" t="s">
        <v>278</v>
      </c>
      <c r="C75" s="92" t="s">
        <v>277</v>
      </c>
      <c r="D75" s="89" t="s">
        <v>267</v>
      </c>
      <c r="E75" s="90">
        <v>1</v>
      </c>
      <c r="F75" s="74">
        <v>0.09</v>
      </c>
      <c r="G75" s="74">
        <v>0.91</v>
      </c>
      <c r="H75" s="75"/>
      <c r="I75" s="76">
        <f>(((((1750905*$D$9+J75)*47.59%)/13*9)/30*4)+((((1750905*$D$9+J75)*52.41%)/11*0)/30*0))</f>
        <v>785724.00775030779</v>
      </c>
      <c r="J75" s="77">
        <f t="shared" si="8"/>
        <v>9391.6666666666661</v>
      </c>
      <c r="K75" s="78">
        <f>SUM(I75)*8%</f>
        <v>62857.920620024626</v>
      </c>
      <c r="L75" s="79">
        <f t="shared" si="0"/>
        <v>848581.92837033246</v>
      </c>
      <c r="M75" s="79">
        <f t="shared" si="18"/>
        <v>84858</v>
      </c>
      <c r="N75" s="79">
        <f t="shared" si="1"/>
        <v>16123</v>
      </c>
      <c r="O75" s="80">
        <f t="shared" si="28"/>
        <v>864704.92837033246</v>
      </c>
      <c r="P75" s="81"/>
      <c r="Q75" s="76">
        <f>(((((1750905*$D$9+R75)*47.59%)/13*9)/30*20)+((((1750905*$D$9+R75)*52.41%)/11*0)/30*0))</f>
        <v>3928620.0387515388</v>
      </c>
      <c r="R75" s="77">
        <f t="shared" si="9"/>
        <v>9391.6666666666661</v>
      </c>
      <c r="S75" s="78">
        <f>SUM(Q75)*8%</f>
        <v>314289.60310012312</v>
      </c>
      <c r="T75" s="79">
        <f t="shared" si="3"/>
        <v>4242909.6418516617</v>
      </c>
      <c r="U75" s="79">
        <f t="shared" si="10"/>
        <v>424291</v>
      </c>
      <c r="V75" s="79">
        <f t="shared" si="4"/>
        <v>80615</v>
      </c>
      <c r="W75" s="166">
        <f t="shared" si="29"/>
        <v>4323524.6418516617</v>
      </c>
      <c r="X75" s="76">
        <f>(((((1750905*$D$9+Y75)*47.59%)/13*9)/30*7)+((((1750905*$D$9+Y75)*52.41%)/11*0)/30*0))</f>
        <v>1375017.0135630385</v>
      </c>
      <c r="Y75" s="77">
        <f t="shared" si="11"/>
        <v>9391.6666666666661</v>
      </c>
      <c r="Z75" s="78">
        <f>SUM(X75)*8%</f>
        <v>110001.36108504309</v>
      </c>
      <c r="AA75" s="79">
        <f t="shared" si="6"/>
        <v>1485018.3746480816</v>
      </c>
      <c r="AB75" s="79">
        <f t="shared" si="12"/>
        <v>148502</v>
      </c>
      <c r="AC75" s="79">
        <f t="shared" si="7"/>
        <v>28215</v>
      </c>
      <c r="AD75" s="166">
        <f t="shared" si="13"/>
        <v>1513233.3746480816</v>
      </c>
      <c r="AE75" s="168">
        <f t="shared" si="14"/>
        <v>6701462.9448700752</v>
      </c>
      <c r="AG75" s="171">
        <f t="shared" si="15"/>
        <v>603131.66503830673</v>
      </c>
      <c r="AH75" s="171">
        <f t="shared" si="16"/>
        <v>6098331.2798317689</v>
      </c>
      <c r="AI75" s="171">
        <f t="shared" si="17"/>
        <v>0</v>
      </c>
    </row>
    <row r="76" spans="1:35" customFormat="1" ht="48" x14ac:dyDescent="0.25">
      <c r="A76" s="70" t="s">
        <v>162</v>
      </c>
      <c r="B76" s="82" t="s">
        <v>279</v>
      </c>
      <c r="C76" s="92" t="s">
        <v>277</v>
      </c>
      <c r="D76" s="89" t="s">
        <v>267</v>
      </c>
      <c r="E76" s="90">
        <v>1</v>
      </c>
      <c r="F76" s="74">
        <v>0.09</v>
      </c>
      <c r="G76" s="74">
        <v>0.91</v>
      </c>
      <c r="H76" s="75"/>
      <c r="I76" s="76">
        <f>(((((1750905*$D$9+J76)*47.59%)/13*13)/30*7)+((((1750905*$D$9+J76)*52.41%)/11*11)/30*7))</f>
        <v>4173430.7338888897</v>
      </c>
      <c r="J76" s="77">
        <f t="shared" si="8"/>
        <v>9391.6666666666661</v>
      </c>
      <c r="K76" s="78">
        <f>SUM(I76)*8%</f>
        <v>333874.45871111116</v>
      </c>
      <c r="L76" s="79">
        <f t="shared" si="0"/>
        <v>4507305.1926000006</v>
      </c>
      <c r="M76" s="79">
        <f t="shared" si="18"/>
        <v>450731</v>
      </c>
      <c r="N76" s="79">
        <f t="shared" si="1"/>
        <v>85639</v>
      </c>
      <c r="O76" s="80">
        <f t="shared" si="28"/>
        <v>4592944.1926000006</v>
      </c>
      <c r="P76" s="81"/>
      <c r="Q76" s="76">
        <f>(((((1750905*$D$9+R76)*47.59%)/13*13)/30*30)+((((1750905*$D$9+R76)*52.41%)/11*11)/30*30))</f>
        <v>17886131.716666669</v>
      </c>
      <c r="R76" s="77">
        <f t="shared" si="9"/>
        <v>9391.6666666666661</v>
      </c>
      <c r="S76" s="78">
        <f>SUM(Q76)*8%</f>
        <v>1430890.5373333336</v>
      </c>
      <c r="T76" s="79">
        <f t="shared" si="3"/>
        <v>19317022.254000001</v>
      </c>
      <c r="U76" s="79">
        <f t="shared" si="10"/>
        <v>1931702</v>
      </c>
      <c r="V76" s="79">
        <f t="shared" si="4"/>
        <v>367023</v>
      </c>
      <c r="W76" s="166">
        <f t="shared" si="29"/>
        <v>19684045.254000001</v>
      </c>
      <c r="X76" s="76">
        <f>(((((1750905*$D$9+Y76)*47.59%)/13*13)/30*10)+((((1750905*$D$9+Y76)*52.41%)/11*11)/30*10))</f>
        <v>5962043.9055555565</v>
      </c>
      <c r="Y76" s="77">
        <f t="shared" si="11"/>
        <v>9391.6666666666661</v>
      </c>
      <c r="Z76" s="78">
        <f>SUM(X76)*8%</f>
        <v>476963.51244444452</v>
      </c>
      <c r="AA76" s="79">
        <f t="shared" si="6"/>
        <v>6439007.4180000015</v>
      </c>
      <c r="AB76" s="79">
        <f t="shared" si="12"/>
        <v>643901</v>
      </c>
      <c r="AC76" s="79">
        <f t="shared" si="7"/>
        <v>122341</v>
      </c>
      <c r="AD76" s="166">
        <f t="shared" si="13"/>
        <v>6561348.4180000015</v>
      </c>
      <c r="AE76" s="168">
        <f t="shared" si="14"/>
        <v>30838337.864600003</v>
      </c>
      <c r="AG76" s="171">
        <f t="shared" si="15"/>
        <v>2775450.4078140003</v>
      </c>
      <c r="AH76" s="171">
        <f t="shared" si="16"/>
        <v>28062887.456786003</v>
      </c>
      <c r="AI76" s="171">
        <f t="shared" si="17"/>
        <v>0</v>
      </c>
    </row>
    <row r="77" spans="1:35" customFormat="1" ht="48" x14ac:dyDescent="0.25">
      <c r="A77" s="70" t="s">
        <v>153</v>
      </c>
      <c r="B77" s="106" t="s">
        <v>280</v>
      </c>
      <c r="C77" s="92" t="s">
        <v>277</v>
      </c>
      <c r="D77" s="89" t="s">
        <v>267</v>
      </c>
      <c r="E77" s="104">
        <v>1</v>
      </c>
      <c r="F77" s="74"/>
      <c r="G77" s="74">
        <v>1</v>
      </c>
      <c r="H77" s="75"/>
      <c r="I77" s="76">
        <f>(((((1750905*$D$9+J77)*47.59%)/13*13)/30*7)+((((1750905*$D$9+J77)*52.41%)/11*11)/30*7))</f>
        <v>4173430.7338888897</v>
      </c>
      <c r="J77" s="77">
        <f t="shared" si="8"/>
        <v>9391.6666666666661</v>
      </c>
      <c r="K77" s="78">
        <f t="shared" ref="K77:K78" si="47">SUM(I77)*10%</f>
        <v>417343.07338888897</v>
      </c>
      <c r="L77" s="79">
        <f t="shared" ref="L77:L83" si="48">+I77+K77</f>
        <v>4590773.8072777782</v>
      </c>
      <c r="M77" s="79">
        <f t="shared" si="18"/>
        <v>459077</v>
      </c>
      <c r="N77" s="79">
        <f t="shared" ref="N77:N83" si="49">ROUND(M77*19%,0)</f>
        <v>87225</v>
      </c>
      <c r="O77" s="80">
        <f t="shared" ref="O77:O83" si="50">+(L77+N77)*E77</f>
        <v>4677998.8072777782</v>
      </c>
      <c r="P77" s="81"/>
      <c r="Q77" s="76">
        <f>(((((1750905*$D$9+R77)*47.59%)/13*13)/30*30)+((((1750905*$D$9+R77)*52.41%)/11*11)/30*30))</f>
        <v>17886131.716666669</v>
      </c>
      <c r="R77" s="77">
        <f t="shared" si="9"/>
        <v>9391.6666666666661</v>
      </c>
      <c r="S77" s="78">
        <f t="shared" ref="S77:S78" si="51">SUM(Q77)*10%</f>
        <v>1788613.1716666669</v>
      </c>
      <c r="T77" s="79">
        <f t="shared" ref="T77:T83" si="52">+Q77+S77</f>
        <v>19674744.888333336</v>
      </c>
      <c r="U77" s="79">
        <f t="shared" si="10"/>
        <v>1967474</v>
      </c>
      <c r="V77" s="79">
        <f t="shared" ref="V77:V83" si="53">ROUND(U77*19%,0)</f>
        <v>373820</v>
      </c>
      <c r="W77" s="166">
        <f t="shared" ref="W77:W83" si="54">+(T77+V77)*E77</f>
        <v>20048564.888333336</v>
      </c>
      <c r="X77" s="76">
        <f>(((((1750905*$D$9+Y77)*47.59%)/13*13)/30*10)+((((1750905*$D$9+Y77)*52.41%)/11*11)/30*10))</f>
        <v>5962043.9055555565</v>
      </c>
      <c r="Y77" s="77">
        <f t="shared" si="11"/>
        <v>9391.6666666666661</v>
      </c>
      <c r="Z77" s="78">
        <f t="shared" ref="Z77:Z78" si="55">SUM(X77)*10%</f>
        <v>596204.3905555557</v>
      </c>
      <c r="AA77" s="79">
        <f t="shared" ref="AA77:AA83" si="56">+X77+Z77</f>
        <v>6558248.2961111125</v>
      </c>
      <c r="AB77" s="79">
        <f t="shared" si="12"/>
        <v>655825</v>
      </c>
      <c r="AC77" s="79">
        <f t="shared" ref="AC77:AC83" si="57">ROUND(AB77*19%,0)</f>
        <v>124607</v>
      </c>
      <c r="AD77" s="166">
        <f t="shared" si="13"/>
        <v>6682855.2961111125</v>
      </c>
      <c r="AE77" s="168">
        <f t="shared" si="14"/>
        <v>31409418.991722226</v>
      </c>
      <c r="AG77" s="171">
        <f t="shared" si="15"/>
        <v>0</v>
      </c>
      <c r="AH77" s="171">
        <f t="shared" si="16"/>
        <v>31409418.991722226</v>
      </c>
      <c r="AI77" s="171">
        <f t="shared" si="17"/>
        <v>0</v>
      </c>
    </row>
    <row r="78" spans="1:35" customFormat="1" ht="48" x14ac:dyDescent="0.25">
      <c r="A78" s="103" t="s">
        <v>259</v>
      </c>
      <c r="B78" s="106" t="s">
        <v>281</v>
      </c>
      <c r="C78" s="92" t="s">
        <v>277</v>
      </c>
      <c r="D78" s="89" t="s">
        <v>267</v>
      </c>
      <c r="E78" s="104">
        <v>1</v>
      </c>
      <c r="F78" s="74"/>
      <c r="G78" s="74">
        <v>1</v>
      </c>
      <c r="H78" s="75"/>
      <c r="I78" s="76">
        <f>(((((1750905*$D$9+J78)*47.59%)/13*12)/30*7)+((((1750905*$D$9+J78)*52.41%)/11*0)/30*0))</f>
        <v>1833356.0180840513</v>
      </c>
      <c r="J78" s="77">
        <f t="shared" ref="J78:J83" si="58">+$D$4*3</f>
        <v>9391.6666666666661</v>
      </c>
      <c r="K78" s="78">
        <f t="shared" si="47"/>
        <v>183335.60180840513</v>
      </c>
      <c r="L78" s="79">
        <f t="shared" si="48"/>
        <v>2016691.6198924566</v>
      </c>
      <c r="M78" s="79">
        <f t="shared" si="18"/>
        <v>201669</v>
      </c>
      <c r="N78" s="79">
        <f t="shared" si="49"/>
        <v>38317</v>
      </c>
      <c r="O78" s="80">
        <f t="shared" si="50"/>
        <v>2055008.6198924566</v>
      </c>
      <c r="P78" s="81"/>
      <c r="Q78" s="76">
        <f>(((((1750905*$D$9+R78)*47.59%)/13*12)/30*30)+((((1750905*$D$9+R78)*52.41%)/11*0)/30*0))</f>
        <v>7857240.0775030777</v>
      </c>
      <c r="R78" s="77">
        <f t="shared" ref="R78:R83" si="59">+$D$4*3</f>
        <v>9391.6666666666661</v>
      </c>
      <c r="S78" s="78">
        <f t="shared" si="51"/>
        <v>785724.00775030779</v>
      </c>
      <c r="T78" s="79">
        <f t="shared" si="52"/>
        <v>8642964.0852533858</v>
      </c>
      <c r="U78" s="79">
        <f t="shared" ref="U78:U82" si="60">ROUND(T78*$U$11,0)</f>
        <v>864296</v>
      </c>
      <c r="V78" s="79">
        <f t="shared" si="53"/>
        <v>164216</v>
      </c>
      <c r="W78" s="166">
        <f t="shared" si="54"/>
        <v>8807180.0852533858</v>
      </c>
      <c r="X78" s="76">
        <f>(((((1750905*$D$9+Y78)*47.59%)/13*12)/30*10)+((((1750905*$D$9+Y78)*52.41%)/11*0)/30*0))</f>
        <v>2619080.0258343592</v>
      </c>
      <c r="Y78" s="77">
        <f t="shared" ref="Y78:Y83" si="61">+$D$4*3</f>
        <v>9391.6666666666661</v>
      </c>
      <c r="Z78" s="78">
        <f t="shared" si="55"/>
        <v>261908.00258343594</v>
      </c>
      <c r="AA78" s="79">
        <f t="shared" si="56"/>
        <v>2880988.028417795</v>
      </c>
      <c r="AB78" s="79">
        <f t="shared" ref="AB78:AB82" si="62">ROUND(AA78*$U$11,0)</f>
        <v>288099</v>
      </c>
      <c r="AC78" s="79">
        <f t="shared" si="57"/>
        <v>54739</v>
      </c>
      <c r="AD78" s="166">
        <f t="shared" ref="AD78:AD83" si="63">+(AA78+AC78)*E78</f>
        <v>2935727.028417795</v>
      </c>
      <c r="AE78" s="168">
        <f t="shared" ref="AE78:AE84" si="64">+O78+W78+AD78</f>
        <v>13797915.733563639</v>
      </c>
      <c r="AG78" s="171">
        <f t="shared" ref="AG78:AG84" si="65">+AE78*F78</f>
        <v>0</v>
      </c>
      <c r="AH78" s="171">
        <f t="shared" ref="AH78:AH84" si="66">+AE78*G78</f>
        <v>13797915.733563639</v>
      </c>
      <c r="AI78" s="171">
        <f t="shared" ref="AI78:AI84" si="67">+AE78*H78</f>
        <v>0</v>
      </c>
    </row>
    <row r="79" spans="1:35" customFormat="1" ht="36" x14ac:dyDescent="0.25">
      <c r="A79" s="107" t="s">
        <v>282</v>
      </c>
      <c r="B79" s="106" t="s">
        <v>283</v>
      </c>
      <c r="C79" s="92" t="s">
        <v>277</v>
      </c>
      <c r="D79" s="89" t="s">
        <v>267</v>
      </c>
      <c r="E79" s="104">
        <v>1</v>
      </c>
      <c r="F79" s="74"/>
      <c r="G79" s="74">
        <v>1</v>
      </c>
      <c r="H79" s="75"/>
      <c r="I79" s="76">
        <f>(((((1750905*$D$9+J79)*47.59%)/13*10)/30*7)+((((1750905*$D$9+J79)*52.41%)/11*0)/30*0))</f>
        <v>1527796.6817367096</v>
      </c>
      <c r="J79" s="77">
        <f t="shared" si="58"/>
        <v>9391.6666666666661</v>
      </c>
      <c r="K79" s="78">
        <f>SUM(I79)*8%</f>
        <v>122223.73453893677</v>
      </c>
      <c r="L79" s="79">
        <f t="shared" si="48"/>
        <v>1650020.4162756463</v>
      </c>
      <c r="M79" s="79">
        <f t="shared" ref="M79:M82" si="68">ROUND(L79*$M$11,0)</f>
        <v>165002</v>
      </c>
      <c r="N79" s="79">
        <f t="shared" si="49"/>
        <v>31350</v>
      </c>
      <c r="O79" s="80">
        <f t="shared" si="50"/>
        <v>1681370.4162756463</v>
      </c>
      <c r="P79" s="81"/>
      <c r="Q79" s="76">
        <f>(((((1750905*$D$9+R79)*47.59%)/13*10)/30*30)+((((1750905*$D$9+R79)*52.41%)/11*0)/30*0))</f>
        <v>6547700.0645858981</v>
      </c>
      <c r="R79" s="77">
        <f t="shared" si="59"/>
        <v>9391.6666666666661</v>
      </c>
      <c r="S79" s="78">
        <f>SUM(Q79)*8%</f>
        <v>523816.00516687188</v>
      </c>
      <c r="T79" s="79">
        <f t="shared" si="52"/>
        <v>7071516.0697527695</v>
      </c>
      <c r="U79" s="79">
        <f t="shared" si="60"/>
        <v>707152</v>
      </c>
      <c r="V79" s="79">
        <f t="shared" si="53"/>
        <v>134359</v>
      </c>
      <c r="W79" s="166">
        <f t="shared" si="54"/>
        <v>7205875.0697527695</v>
      </c>
      <c r="X79" s="76">
        <f>(((((1750905*$D$9+Y79)*47.59%)/13*10)/30*10)+((((1750905*$D$9+Y79)*52.41%)/11*0)/30*0))</f>
        <v>2182566.6881952994</v>
      </c>
      <c r="Y79" s="77">
        <f t="shared" si="61"/>
        <v>9391.6666666666661</v>
      </c>
      <c r="Z79" s="78">
        <f>SUM(X79)*8%</f>
        <v>174605.33505562396</v>
      </c>
      <c r="AA79" s="79">
        <f t="shared" si="56"/>
        <v>2357172.0232509235</v>
      </c>
      <c r="AB79" s="79">
        <f t="shared" si="62"/>
        <v>235717</v>
      </c>
      <c r="AC79" s="79">
        <f t="shared" si="57"/>
        <v>44786</v>
      </c>
      <c r="AD79" s="166">
        <f t="shared" si="63"/>
        <v>2401958.0232509235</v>
      </c>
      <c r="AE79" s="168">
        <f t="shared" si="64"/>
        <v>11289203.509279341</v>
      </c>
      <c r="AG79" s="171">
        <f t="shared" si="65"/>
        <v>0</v>
      </c>
      <c r="AH79" s="171">
        <f t="shared" si="66"/>
        <v>11289203.509279341</v>
      </c>
      <c r="AI79" s="171">
        <f t="shared" si="67"/>
        <v>0</v>
      </c>
    </row>
    <row r="80" spans="1:35" customFormat="1" ht="36" x14ac:dyDescent="0.25">
      <c r="A80" s="107" t="s">
        <v>282</v>
      </c>
      <c r="B80" s="82" t="s">
        <v>284</v>
      </c>
      <c r="C80" s="92" t="s">
        <v>271</v>
      </c>
      <c r="D80" s="89" t="s">
        <v>267</v>
      </c>
      <c r="E80" s="104">
        <v>1</v>
      </c>
      <c r="F80" s="74"/>
      <c r="G80" s="74">
        <v>1</v>
      </c>
      <c r="H80" s="75"/>
      <c r="I80" s="76">
        <f>(((((1750905*$D$9+J80)*47.59%)/13*10)/30*7)+((((1750905*$D$9+J80)*52.41%)/11*0)/30*0))</f>
        <v>1527796.6817367096</v>
      </c>
      <c r="J80" s="77">
        <f t="shared" si="58"/>
        <v>9391.6666666666661</v>
      </c>
      <c r="K80" s="78">
        <f>SUM(I80)*8%</f>
        <v>122223.73453893677</v>
      </c>
      <c r="L80" s="79">
        <f t="shared" si="48"/>
        <v>1650020.4162756463</v>
      </c>
      <c r="M80" s="79">
        <f t="shared" si="68"/>
        <v>165002</v>
      </c>
      <c r="N80" s="79">
        <f t="shared" si="49"/>
        <v>31350</v>
      </c>
      <c r="O80" s="80">
        <f t="shared" si="50"/>
        <v>1681370.4162756463</v>
      </c>
      <c r="P80" s="81"/>
      <c r="Q80" s="76">
        <f>(((((1750905*$D$9+R80)*47.59%)/13*10)/30*30)+((((1750905*$D$9+R80)*52.41%)/11*0)/30*0))</f>
        <v>6547700.0645858981</v>
      </c>
      <c r="R80" s="77">
        <f t="shared" si="59"/>
        <v>9391.6666666666661</v>
      </c>
      <c r="S80" s="78">
        <f>SUM(Q80)*8%</f>
        <v>523816.00516687188</v>
      </c>
      <c r="T80" s="79">
        <f t="shared" si="52"/>
        <v>7071516.0697527695</v>
      </c>
      <c r="U80" s="79">
        <f t="shared" si="60"/>
        <v>707152</v>
      </c>
      <c r="V80" s="79">
        <f t="shared" si="53"/>
        <v>134359</v>
      </c>
      <c r="W80" s="166">
        <f t="shared" si="54"/>
        <v>7205875.0697527695</v>
      </c>
      <c r="X80" s="76">
        <f>(((((1750905*$D$9+Y80)*47.59%)/13*10)/30*10)+((((1750905*$D$9+Y80)*52.41%)/11*0)/30*0))</f>
        <v>2182566.6881952994</v>
      </c>
      <c r="Y80" s="77">
        <f t="shared" si="61"/>
        <v>9391.6666666666661</v>
      </c>
      <c r="Z80" s="78">
        <f>SUM(X80)*8%</f>
        <v>174605.33505562396</v>
      </c>
      <c r="AA80" s="79">
        <f t="shared" si="56"/>
        <v>2357172.0232509235</v>
      </c>
      <c r="AB80" s="79">
        <f t="shared" si="62"/>
        <v>235717</v>
      </c>
      <c r="AC80" s="79">
        <f t="shared" si="57"/>
        <v>44786</v>
      </c>
      <c r="AD80" s="166">
        <f t="shared" si="63"/>
        <v>2401958.0232509235</v>
      </c>
      <c r="AE80" s="168">
        <f t="shared" si="64"/>
        <v>11289203.509279341</v>
      </c>
      <c r="AG80" s="171">
        <f t="shared" si="65"/>
        <v>0</v>
      </c>
      <c r="AH80" s="171">
        <f t="shared" si="66"/>
        <v>11289203.509279341</v>
      </c>
      <c r="AI80" s="171">
        <f t="shared" si="67"/>
        <v>0</v>
      </c>
    </row>
    <row r="81" spans="1:35" customFormat="1" ht="36" x14ac:dyDescent="0.25">
      <c r="A81" s="70" t="s">
        <v>285</v>
      </c>
      <c r="B81" s="71" t="s">
        <v>286</v>
      </c>
      <c r="C81" s="72" t="s">
        <v>287</v>
      </c>
      <c r="D81" s="89" t="s">
        <v>267</v>
      </c>
      <c r="E81" s="90">
        <v>1</v>
      </c>
      <c r="F81" s="74"/>
      <c r="G81" s="74">
        <v>1</v>
      </c>
      <c r="H81" s="75"/>
      <c r="I81" s="76">
        <f>(((((1750905*$D$9+J81)*47.59%)/13*8)/30*4)+((((1750905*$D$9+J81)*52.41%)/11*0)/30*0))</f>
        <v>698421.34022249584</v>
      </c>
      <c r="J81" s="77">
        <f t="shared" si="58"/>
        <v>9391.6666666666661</v>
      </c>
      <c r="K81" s="78">
        <f>SUM(I81)*8%</f>
        <v>55873.707217799667</v>
      </c>
      <c r="L81" s="79">
        <f t="shared" si="48"/>
        <v>754295.04744029546</v>
      </c>
      <c r="M81" s="79">
        <f t="shared" si="68"/>
        <v>75430</v>
      </c>
      <c r="N81" s="79">
        <f t="shared" si="49"/>
        <v>14332</v>
      </c>
      <c r="O81" s="80">
        <f t="shared" si="50"/>
        <v>768627.04744029546</v>
      </c>
      <c r="P81" s="81"/>
      <c r="Q81" s="76">
        <f>(((((1750905*$D$9+R81)*47.59%)/13*8)/30*20)+((((1750905*$D$9+R81)*52.41%)/11*0)/30*0))</f>
        <v>3492106.701112479</v>
      </c>
      <c r="R81" s="77">
        <f t="shared" si="59"/>
        <v>9391.6666666666661</v>
      </c>
      <c r="S81" s="78">
        <f>SUM(Q81)*8%</f>
        <v>279368.53608899831</v>
      </c>
      <c r="T81" s="79">
        <f t="shared" si="52"/>
        <v>3771475.2372014774</v>
      </c>
      <c r="U81" s="79">
        <f t="shared" si="60"/>
        <v>377148</v>
      </c>
      <c r="V81" s="79">
        <f t="shared" si="53"/>
        <v>71658</v>
      </c>
      <c r="W81" s="166">
        <f t="shared" si="54"/>
        <v>3843133.2372014774</v>
      </c>
      <c r="X81" s="76">
        <f>(((((1750905*$D$9+Y81)*47.59%)/13*8)/30*7)+((((1750905*$D$9+Y81)*52.41%)/11*0)/30*0))</f>
        <v>1222237.3453893678</v>
      </c>
      <c r="Y81" s="77">
        <f t="shared" si="61"/>
        <v>9391.6666666666661</v>
      </c>
      <c r="Z81" s="78">
        <f>SUM(X81)*8%</f>
        <v>97778.98763114943</v>
      </c>
      <c r="AA81" s="79">
        <f t="shared" si="56"/>
        <v>1320016.3330205171</v>
      </c>
      <c r="AB81" s="79">
        <f t="shared" si="62"/>
        <v>132002</v>
      </c>
      <c r="AC81" s="79">
        <f t="shared" si="57"/>
        <v>25080</v>
      </c>
      <c r="AD81" s="166">
        <f t="shared" si="63"/>
        <v>1345096.3330205171</v>
      </c>
      <c r="AE81" s="168">
        <f t="shared" si="64"/>
        <v>5956856.6176622901</v>
      </c>
      <c r="AG81" s="171">
        <f t="shared" si="65"/>
        <v>0</v>
      </c>
      <c r="AH81" s="171">
        <f t="shared" si="66"/>
        <v>5956856.6176622901</v>
      </c>
      <c r="AI81" s="171">
        <f t="shared" si="67"/>
        <v>0</v>
      </c>
    </row>
    <row r="82" spans="1:35" customFormat="1" ht="36" x14ac:dyDescent="0.25">
      <c r="A82" s="103" t="s">
        <v>288</v>
      </c>
      <c r="B82" s="71" t="s">
        <v>289</v>
      </c>
      <c r="C82" s="72" t="s">
        <v>290</v>
      </c>
      <c r="D82" s="72" t="s">
        <v>291</v>
      </c>
      <c r="E82" s="90">
        <v>1</v>
      </c>
      <c r="F82" s="74"/>
      <c r="G82" s="74">
        <v>1</v>
      </c>
      <c r="H82" s="75"/>
      <c r="I82" s="76">
        <f>(((((1750905*$D$9+J82)*47.59%)/13*10)/30*7)+((((1750905*$D$9+J82)*52.41%)/11*0)/30*0))</f>
        <v>1527796.6817367096</v>
      </c>
      <c r="J82" s="77">
        <f t="shared" si="58"/>
        <v>9391.6666666666661</v>
      </c>
      <c r="K82" s="78">
        <f>SUM(I82)*8%</f>
        <v>122223.73453893677</v>
      </c>
      <c r="L82" s="79">
        <f t="shared" si="48"/>
        <v>1650020.4162756463</v>
      </c>
      <c r="M82" s="79">
        <f t="shared" si="68"/>
        <v>165002</v>
      </c>
      <c r="N82" s="79">
        <f t="shared" si="49"/>
        <v>31350</v>
      </c>
      <c r="O82" s="80">
        <f t="shared" si="50"/>
        <v>1681370.4162756463</v>
      </c>
      <c r="P82" s="81"/>
      <c r="Q82" s="76">
        <f>(((((1750905*$D$9+R82)*47.59%)/13*10)/30*30)+((((1750905*$D$9+R82)*52.41%)/11*0)/30*0))</f>
        <v>6547700.0645858981</v>
      </c>
      <c r="R82" s="77">
        <f t="shared" si="59"/>
        <v>9391.6666666666661</v>
      </c>
      <c r="S82" s="78">
        <f>SUM(Q82)*8%</f>
        <v>523816.00516687188</v>
      </c>
      <c r="T82" s="79">
        <f t="shared" si="52"/>
        <v>7071516.0697527695</v>
      </c>
      <c r="U82" s="79">
        <f t="shared" si="60"/>
        <v>707152</v>
      </c>
      <c r="V82" s="79">
        <f t="shared" si="53"/>
        <v>134359</v>
      </c>
      <c r="W82" s="166">
        <f t="shared" si="54"/>
        <v>7205875.0697527695</v>
      </c>
      <c r="X82" s="76">
        <f>(((((1750905*$D$9+Y82)*47.59%)/13*10)/30*10)+((((1750905*$D$9+Y82)*52.41%)/11*0)/30*0))</f>
        <v>2182566.6881952994</v>
      </c>
      <c r="Y82" s="77">
        <f t="shared" si="61"/>
        <v>9391.6666666666661</v>
      </c>
      <c r="Z82" s="78">
        <f>SUM(X82)*8%</f>
        <v>174605.33505562396</v>
      </c>
      <c r="AA82" s="79">
        <f t="shared" si="56"/>
        <v>2357172.0232509235</v>
      </c>
      <c r="AB82" s="79">
        <f t="shared" si="62"/>
        <v>235717</v>
      </c>
      <c r="AC82" s="79">
        <f t="shared" si="57"/>
        <v>44786</v>
      </c>
      <c r="AD82" s="166">
        <f t="shared" si="63"/>
        <v>2401958.0232509235</v>
      </c>
      <c r="AE82" s="168">
        <f t="shared" si="64"/>
        <v>11289203.509279341</v>
      </c>
      <c r="AG82" s="171">
        <f t="shared" si="65"/>
        <v>0</v>
      </c>
      <c r="AH82" s="171">
        <f t="shared" si="66"/>
        <v>11289203.509279341</v>
      </c>
      <c r="AI82" s="171">
        <f t="shared" si="67"/>
        <v>0</v>
      </c>
    </row>
    <row r="83" spans="1:35" customFormat="1" ht="36" x14ac:dyDescent="0.25">
      <c r="A83" s="125" t="s">
        <v>153</v>
      </c>
      <c r="B83" s="126" t="s">
        <v>296</v>
      </c>
      <c r="C83" s="127" t="s">
        <v>297</v>
      </c>
      <c r="D83" s="127" t="s">
        <v>298</v>
      </c>
      <c r="E83" s="128">
        <v>1</v>
      </c>
      <c r="F83" s="74"/>
      <c r="G83" s="74">
        <v>1</v>
      </c>
      <c r="H83" s="75"/>
      <c r="I83" s="76">
        <f>(((((1750905*$D$9+J83)*47.59%)/13*13)/30*7)+((((1750905*$D$9+J83)*52.41%)/11*11)/30*7))</f>
        <v>4173430.7338888897</v>
      </c>
      <c r="J83" s="77">
        <f t="shared" si="58"/>
        <v>9391.6666666666661</v>
      </c>
      <c r="K83" s="78">
        <f>SUM(I83)*10%</f>
        <v>417343.07338888897</v>
      </c>
      <c r="L83" s="79">
        <f t="shared" si="48"/>
        <v>4590773.8072777782</v>
      </c>
      <c r="M83" s="79">
        <f>ROUND(L83*$M$11,0)</f>
        <v>459077</v>
      </c>
      <c r="N83" s="79">
        <f t="shared" si="49"/>
        <v>87225</v>
      </c>
      <c r="O83" s="80">
        <f t="shared" si="50"/>
        <v>4677998.8072777782</v>
      </c>
      <c r="P83" s="81"/>
      <c r="Q83" s="76">
        <f>(((((1750905*$D$9+R83)*47.59%)/13*13)/30*30)+((((1750905*$D$9+R83)*52.41%)/11*11)/30*30))</f>
        <v>17886131.716666669</v>
      </c>
      <c r="R83" s="77">
        <f t="shared" si="59"/>
        <v>9391.6666666666661</v>
      </c>
      <c r="S83" s="78">
        <f>SUM(Q83)*10%</f>
        <v>1788613.1716666669</v>
      </c>
      <c r="T83" s="79">
        <f t="shared" si="52"/>
        <v>19674744.888333336</v>
      </c>
      <c r="U83" s="79">
        <f>ROUND(T83*$U$11,0)</f>
        <v>1967474</v>
      </c>
      <c r="V83" s="79">
        <f t="shared" si="53"/>
        <v>373820</v>
      </c>
      <c r="W83" s="166">
        <f t="shared" si="54"/>
        <v>20048564.888333336</v>
      </c>
      <c r="X83" s="76">
        <f>(((((1750905*$D$9+Y83)*47.59%)/13*13)/30*10)+((((1750905*$D$9+Y83)*52.41%)/11*11)/30*10))</f>
        <v>5962043.9055555565</v>
      </c>
      <c r="Y83" s="77">
        <f t="shared" si="61"/>
        <v>9391.6666666666661</v>
      </c>
      <c r="Z83" s="78">
        <f>SUM(X83)*10%</f>
        <v>596204.3905555557</v>
      </c>
      <c r="AA83" s="79">
        <f t="shared" si="56"/>
        <v>6558248.2961111125</v>
      </c>
      <c r="AB83" s="79">
        <f>ROUND(AA83*$U$11,0)</f>
        <v>655825</v>
      </c>
      <c r="AC83" s="79">
        <f t="shared" si="57"/>
        <v>124607</v>
      </c>
      <c r="AD83" s="166">
        <f t="shared" si="63"/>
        <v>6682855.2961111125</v>
      </c>
      <c r="AE83" s="168">
        <f t="shared" si="64"/>
        <v>31409418.991722226</v>
      </c>
      <c r="AG83" s="171">
        <f t="shared" si="65"/>
        <v>0</v>
      </c>
      <c r="AH83" s="171">
        <f t="shared" si="66"/>
        <v>31409418.991722226</v>
      </c>
      <c r="AI83" s="171">
        <f t="shared" si="67"/>
        <v>0</v>
      </c>
    </row>
    <row r="84" spans="1:35" customFormat="1" ht="15.75" thickBot="1" x14ac:dyDescent="0.3">
      <c r="A84" s="108" t="s">
        <v>292</v>
      </c>
      <c r="B84" s="109" t="s">
        <v>293</v>
      </c>
      <c r="C84" s="109" t="s">
        <v>294</v>
      </c>
      <c r="D84" s="110"/>
      <c r="E84" s="110">
        <v>1</v>
      </c>
      <c r="F84" s="111">
        <f>SUM(F13:F82)/70</f>
        <v>1.2714285714285716E-2</v>
      </c>
      <c r="G84" s="111">
        <f t="shared" ref="G84:H84" si="69">SUM(G13:G82)/70</f>
        <v>0.98671428571428565</v>
      </c>
      <c r="H84" s="111">
        <f t="shared" si="69"/>
        <v>5.7142857142857147E-4</v>
      </c>
      <c r="I84" s="246">
        <f>+$D$5/30*7</f>
        <v>12667276.799434641</v>
      </c>
      <c r="J84" s="247"/>
      <c r="K84" s="112"/>
      <c r="L84" s="112"/>
      <c r="M84" s="113">
        <f t="shared" ref="M84" si="70">+I84*10%</f>
        <v>1266727.6799434642</v>
      </c>
      <c r="N84" s="113">
        <f t="shared" ref="N84" si="71">+M84*19%</f>
        <v>240678.25918925821</v>
      </c>
      <c r="O84" s="114">
        <f t="shared" ref="O84" si="72">+I84+N84</f>
        <v>12907955.058623899</v>
      </c>
      <c r="P84" s="81"/>
      <c r="Q84" s="246">
        <f>+$D$5/30*30</f>
        <v>54288329.140434176</v>
      </c>
      <c r="R84" s="247"/>
      <c r="S84" s="112"/>
      <c r="T84" s="112"/>
      <c r="U84" s="113">
        <f t="shared" ref="U84" si="73">+Q84*10%</f>
        <v>5428832.9140434181</v>
      </c>
      <c r="V84" s="113">
        <f t="shared" ref="V84" si="74">+U84*19%</f>
        <v>1031478.2536682495</v>
      </c>
      <c r="W84" s="167">
        <f t="shared" ref="W84" si="75">+Q84+V84</f>
        <v>55319807.394102424</v>
      </c>
      <c r="X84" s="246">
        <f>+$D$5/30*10</f>
        <v>18096109.713478059</v>
      </c>
      <c r="Y84" s="247"/>
      <c r="Z84" s="112"/>
      <c r="AA84" s="112"/>
      <c r="AB84" s="113">
        <f t="shared" ref="AB84" si="76">+X84*10%</f>
        <v>1809610.971347806</v>
      </c>
      <c r="AC84" s="113">
        <f t="shared" ref="AC84" si="77">+AB84*19%</f>
        <v>343826.08455608314</v>
      </c>
      <c r="AD84" s="167">
        <f t="shared" ref="AD84" si="78">+X84+AC84</f>
        <v>18439935.798034143</v>
      </c>
      <c r="AE84" s="168">
        <f t="shared" si="64"/>
        <v>86667698.250760466</v>
      </c>
      <c r="AG84" s="171">
        <f t="shared" si="65"/>
        <v>1101917.877759669</v>
      </c>
      <c r="AH84" s="171">
        <f t="shared" si="66"/>
        <v>85516255.974000365</v>
      </c>
      <c r="AI84" s="171">
        <f t="shared" si="67"/>
        <v>49524.399000434554</v>
      </c>
    </row>
    <row r="85" spans="1:35" customFormat="1" ht="60.75" customHeight="1" thickBot="1" x14ac:dyDescent="0.3">
      <c r="A85" s="115"/>
      <c r="B85" s="115"/>
      <c r="C85" s="230" t="s">
        <v>295</v>
      </c>
      <c r="D85" s="230"/>
      <c r="E85" s="116">
        <f>SUM(E13:E83)</f>
        <v>72</v>
      </c>
      <c r="F85" s="115"/>
      <c r="G85" s="115"/>
      <c r="H85" s="115"/>
      <c r="I85" s="115"/>
      <c r="J85" s="115"/>
      <c r="K85" s="115"/>
      <c r="L85" s="227" t="s">
        <v>317</v>
      </c>
      <c r="M85" s="228"/>
      <c r="N85" s="229"/>
      <c r="O85" s="117">
        <f>SUM(O13:O84)</f>
        <v>174449915.9102948</v>
      </c>
      <c r="P85" s="55"/>
      <c r="Q85" s="115"/>
      <c r="R85" s="115"/>
      <c r="S85" s="115"/>
      <c r="T85" s="227" t="s">
        <v>314</v>
      </c>
      <c r="U85" s="228"/>
      <c r="V85" s="229"/>
      <c r="W85" s="170">
        <f>SUM(W13:W84)</f>
        <v>768172702.93428123</v>
      </c>
      <c r="X85" s="115"/>
      <c r="Y85" s="115"/>
      <c r="Z85" s="115"/>
      <c r="AA85" s="227" t="s">
        <v>336</v>
      </c>
      <c r="AB85" s="228"/>
      <c r="AC85" s="229"/>
      <c r="AD85" s="169">
        <f>SUM(AD13:AD84)</f>
        <v>258233787.14915973</v>
      </c>
      <c r="AE85" s="170">
        <f>SUM(AE13:AE84)</f>
        <v>1200856405.9937372</v>
      </c>
      <c r="AG85" s="136">
        <f>SUM(AG13:AG84)</f>
        <v>21733407.395062566</v>
      </c>
      <c r="AH85" s="136">
        <f t="shared" ref="AH85:AI85" si="79">SUM(AH13:AH84)</f>
        <v>1177839940.6850901</v>
      </c>
      <c r="AI85" s="136">
        <f t="shared" si="79"/>
        <v>1283057.9135844349</v>
      </c>
    </row>
    <row r="86" spans="1:35" customFormat="1" ht="15" customHeight="1" x14ac:dyDescent="0.25">
      <c r="A86" s="118"/>
      <c r="B86" s="119"/>
      <c r="C86" s="119"/>
      <c r="D86" s="120"/>
      <c r="E86" s="120"/>
      <c r="F86" s="121"/>
      <c r="G86" s="121"/>
      <c r="H86" s="121"/>
      <c r="O86" s="55"/>
      <c r="AG86" s="225">
        <f>+AG85+AH85+AI85</f>
        <v>1200856405.993737</v>
      </c>
      <c r="AH86" s="226"/>
      <c r="AI86" s="226"/>
    </row>
    <row r="87" spans="1:35" customFormat="1" x14ac:dyDescent="0.25">
      <c r="F87" s="121"/>
      <c r="G87" s="121"/>
      <c r="H87" s="121"/>
    </row>
    <row r="88" spans="1:35" x14ac:dyDescent="0.25">
      <c r="F88" s="122"/>
      <c r="G88" s="122"/>
      <c r="H88" s="122"/>
      <c r="O88" s="54"/>
      <c r="W88" s="54"/>
      <c r="X88" s="54"/>
      <c r="Y88" s="54"/>
      <c r="Z88" s="54"/>
      <c r="AA88" s="54"/>
      <c r="AB88" s="54"/>
      <c r="AC88" s="54"/>
      <c r="AD88" s="54"/>
      <c r="AE88" s="54"/>
    </row>
    <row r="89" spans="1:35" x14ac:dyDescent="0.25">
      <c r="F89" s="122"/>
      <c r="G89" s="122"/>
      <c r="H89" s="122"/>
      <c r="O89" s="54"/>
    </row>
    <row r="90" spans="1:35" x14ac:dyDescent="0.25">
      <c r="F90" s="122"/>
      <c r="G90" s="122"/>
      <c r="H90" s="122"/>
      <c r="O90" s="54"/>
      <c r="R90" s="54"/>
    </row>
    <row r="91" spans="1:35" x14ac:dyDescent="0.25">
      <c r="O91" s="54"/>
      <c r="R91" s="54"/>
    </row>
    <row r="92" spans="1:35" x14ac:dyDescent="0.25">
      <c r="R92" s="54"/>
    </row>
    <row r="93" spans="1:35" x14ac:dyDescent="0.25">
      <c r="O93" s="54"/>
    </row>
  </sheetData>
  <autoFilter ref="A12:H85" xr:uid="{DB892C16-68C4-4F9E-924F-8DDEA33964B4}"/>
  <mergeCells count="25">
    <mergeCell ref="X10:AD10"/>
    <mergeCell ref="X84:Y84"/>
    <mergeCell ref="AA85:AC85"/>
    <mergeCell ref="A7:C7"/>
    <mergeCell ref="D7:H7"/>
    <mergeCell ref="Q10:W10"/>
    <mergeCell ref="I84:J84"/>
    <mergeCell ref="Q84:R84"/>
    <mergeCell ref="I10:O10"/>
    <mergeCell ref="A8:C8"/>
    <mergeCell ref="D8:H8"/>
    <mergeCell ref="A9:C9"/>
    <mergeCell ref="D9:H9"/>
    <mergeCell ref="A10:C10"/>
    <mergeCell ref="D10:H10"/>
    <mergeCell ref="A1:H2"/>
    <mergeCell ref="A4:C4"/>
    <mergeCell ref="D4:H4"/>
    <mergeCell ref="A5:C5"/>
    <mergeCell ref="D5:H5"/>
    <mergeCell ref="AG11:AI11"/>
    <mergeCell ref="AG86:AI86"/>
    <mergeCell ref="L85:N85"/>
    <mergeCell ref="T85:V85"/>
    <mergeCell ref="C85:D85"/>
  </mergeCells>
  <pageMargins left="0.7" right="0.7" top="0.75" bottom="0.75" header="0.3" footer="0.3"/>
  <pageSetup paperSize="14" orientation="portrait" horizontalDpi="4294967294" verticalDpi="4294967294"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41489E-7753-4A4E-817B-D2EBC696F6C4}">
  <dimension ref="A1:H17"/>
  <sheetViews>
    <sheetView tabSelected="1" workbookViewId="0">
      <selection activeCell="C7" sqref="C7"/>
    </sheetView>
  </sheetViews>
  <sheetFormatPr baseColWidth="10" defaultRowHeight="15" x14ac:dyDescent="0.25"/>
  <cols>
    <col min="2" max="2" width="27" customWidth="1"/>
    <col min="3" max="3" width="16.7109375" bestFit="1" customWidth="1"/>
    <col min="4" max="4" width="18.28515625" bestFit="1" customWidth="1"/>
    <col min="5" max="5" width="14.5703125" bestFit="1" customWidth="1"/>
    <col min="6" max="7" width="18.28515625" bestFit="1" customWidth="1"/>
  </cols>
  <sheetData>
    <row r="1" spans="1:8" x14ac:dyDescent="0.25">
      <c r="A1" s="188" t="s">
        <v>339</v>
      </c>
      <c r="B1" s="189"/>
      <c r="C1" s="189"/>
      <c r="D1" s="189"/>
      <c r="E1" s="189"/>
      <c r="F1" s="189"/>
      <c r="G1" s="189"/>
      <c r="H1" s="190"/>
    </row>
    <row r="2" spans="1:8" x14ac:dyDescent="0.25">
      <c r="A2" s="191"/>
      <c r="B2" s="192"/>
      <c r="C2" s="192"/>
      <c r="D2" s="192"/>
      <c r="E2" s="192"/>
      <c r="F2" s="192"/>
      <c r="G2" s="192"/>
      <c r="H2" s="193"/>
    </row>
    <row r="3" spans="1:8" ht="15.75" thickBot="1" x14ac:dyDescent="0.3">
      <c r="A3" s="138"/>
      <c r="B3" s="139"/>
      <c r="C3" s="139"/>
      <c r="D3" s="139"/>
      <c r="E3" s="139"/>
      <c r="F3" s="139"/>
      <c r="G3" s="139"/>
      <c r="H3" s="140"/>
    </row>
    <row r="4" spans="1:8" ht="15.75" x14ac:dyDescent="0.25">
      <c r="A4" s="141"/>
      <c r="B4" s="175" t="s">
        <v>318</v>
      </c>
      <c r="C4" s="176" t="s">
        <v>319</v>
      </c>
      <c r="D4" s="176" t="s">
        <v>320</v>
      </c>
      <c r="E4" s="176" t="s">
        <v>321</v>
      </c>
      <c r="F4" s="177" t="s">
        <v>113</v>
      </c>
      <c r="G4" s="142"/>
      <c r="H4" s="143"/>
    </row>
    <row r="5" spans="1:8" ht="16.5" thickBot="1" x14ac:dyDescent="0.3">
      <c r="A5" s="59"/>
      <c r="B5" s="178" t="s">
        <v>322</v>
      </c>
      <c r="C5" s="144">
        <f>+C6/$F$6*$F$5</f>
        <v>1.8098256287271703E-2</v>
      </c>
      <c r="D5" s="144">
        <f t="shared" ref="D5:E5" si="0">+D6/$F$6*$F$5</f>
        <v>0.98083329123698737</v>
      </c>
      <c r="E5" s="144">
        <f t="shared" si="0"/>
        <v>1.0684524757408839E-3</v>
      </c>
      <c r="F5" s="179">
        <v>1</v>
      </c>
      <c r="G5" s="145"/>
      <c r="H5" s="143"/>
    </row>
    <row r="6" spans="1:8" x14ac:dyDescent="0.25">
      <c r="A6" s="59"/>
      <c r="B6" s="180" t="s">
        <v>323</v>
      </c>
      <c r="C6" s="146">
        <f>+ROUND(CALCULOS!AG85,0)</f>
        <v>21733407</v>
      </c>
      <c r="D6" s="146">
        <f>+ROUND(CALCULOS!AH85,0)</f>
        <v>1177839941</v>
      </c>
      <c r="E6" s="146">
        <f>+ROUND(CALCULOS!AI85,0)</f>
        <v>1283058</v>
      </c>
      <c r="F6" s="181">
        <f>SUM(C6:E6)</f>
        <v>1200856406</v>
      </c>
      <c r="G6" s="173" t="s">
        <v>338</v>
      </c>
      <c r="H6" s="143"/>
    </row>
    <row r="7" spans="1:8" ht="15.75" thickBot="1" x14ac:dyDescent="0.3">
      <c r="A7" s="147"/>
      <c r="B7" s="182" t="s">
        <v>324</v>
      </c>
      <c r="C7" s="183">
        <f>+C6</f>
        <v>21733407</v>
      </c>
      <c r="D7" s="183">
        <f>+D6</f>
        <v>1177839941</v>
      </c>
      <c r="E7" s="183">
        <f>+E6</f>
        <v>1283058</v>
      </c>
      <c r="F7" s="184">
        <f>+F6</f>
        <v>1200856406</v>
      </c>
      <c r="G7" s="174">
        <f>+F6/2</f>
        <v>600428203</v>
      </c>
      <c r="H7" s="143"/>
    </row>
    <row r="8" spans="1:8" x14ac:dyDescent="0.25">
      <c r="A8" s="147"/>
      <c r="C8" s="26"/>
      <c r="D8" s="26"/>
      <c r="E8" s="26"/>
      <c r="F8" s="26"/>
      <c r="H8" s="148"/>
    </row>
    <row r="9" spans="1:8" x14ac:dyDescent="0.25">
      <c r="A9" s="59"/>
      <c r="C9" s="149"/>
      <c r="D9" s="26"/>
      <c r="E9" s="149"/>
      <c r="F9" s="149"/>
      <c r="H9" s="143"/>
    </row>
    <row r="10" spans="1:8" ht="15.75" thickBot="1" x14ac:dyDescent="0.3">
      <c r="A10" s="59"/>
      <c r="H10" s="143"/>
    </row>
    <row r="11" spans="1:8" x14ac:dyDescent="0.25">
      <c r="A11" s="194" t="s">
        <v>325</v>
      </c>
      <c r="B11" s="195"/>
      <c r="C11" s="195"/>
      <c r="D11" s="195"/>
      <c r="E11" s="195"/>
      <c r="F11" s="195"/>
      <c r="G11" s="38"/>
      <c r="H11" s="185"/>
    </row>
    <row r="12" spans="1:8" x14ac:dyDescent="0.25">
      <c r="A12" s="150" t="s">
        <v>326</v>
      </c>
      <c r="B12" s="151" t="s">
        <v>327</v>
      </c>
      <c r="C12" s="152" t="s">
        <v>319</v>
      </c>
      <c r="D12" s="152" t="s">
        <v>320</v>
      </c>
      <c r="E12" s="152" t="s">
        <v>321</v>
      </c>
      <c r="F12" s="153" t="s">
        <v>113</v>
      </c>
      <c r="G12" s="152" t="s">
        <v>328</v>
      </c>
      <c r="H12" s="154" t="s">
        <v>329</v>
      </c>
    </row>
    <row r="13" spans="1:8" x14ac:dyDescent="0.25">
      <c r="A13" s="155">
        <v>1</v>
      </c>
      <c r="B13" s="156" t="s">
        <v>333</v>
      </c>
      <c r="C13" s="157">
        <f>+ROUNDUP(F13*C5,0)</f>
        <v>3157240</v>
      </c>
      <c r="D13" s="157">
        <f>+ROUNDDOWN(F13*D5,0)</f>
        <v>171106285</v>
      </c>
      <c r="E13" s="158">
        <f>+ROUND(F13*E5,0)</f>
        <v>186391</v>
      </c>
      <c r="F13" s="159">
        <f>+ROUND(CALCULOS!O85,0)</f>
        <v>174449916</v>
      </c>
      <c r="G13" s="160">
        <f>SUM(F13*$F$5/$F$7)</f>
        <v>0.14527125402202334</v>
      </c>
      <c r="H13" s="161">
        <v>70</v>
      </c>
    </row>
    <row r="14" spans="1:8" x14ac:dyDescent="0.25">
      <c r="A14" s="155">
        <v>2</v>
      </c>
      <c r="B14" s="156">
        <v>46327</v>
      </c>
      <c r="C14" s="157">
        <f>+ROUND(F14*C5,0)</f>
        <v>13902586</v>
      </c>
      <c r="D14" s="157">
        <f>+ROUND(F14*D5,0)</f>
        <v>753449361</v>
      </c>
      <c r="E14" s="157">
        <f>+ROUND(F14*E5,0)</f>
        <v>820756</v>
      </c>
      <c r="F14" s="159">
        <f>+ROUND(CALCULOS!W85,0)</f>
        <v>768172703</v>
      </c>
      <c r="G14" s="160">
        <f>SUM(F14*$F$5/$F$7)</f>
        <v>0.63968739239918748</v>
      </c>
      <c r="H14" s="161">
        <v>70</v>
      </c>
    </row>
    <row r="15" spans="1:8" x14ac:dyDescent="0.25">
      <c r="A15" s="155">
        <v>3</v>
      </c>
      <c r="B15" s="156" t="s">
        <v>335</v>
      </c>
      <c r="C15" s="157">
        <f>+ROUND(F15*C5,0)</f>
        <v>4673581</v>
      </c>
      <c r="D15" s="157">
        <f>+ROUND(F15*D5,0)</f>
        <v>253284295</v>
      </c>
      <c r="E15" s="157">
        <f>+ROUND(F15*E5,0)</f>
        <v>275911</v>
      </c>
      <c r="F15" s="159">
        <f>+ROUND(CALCULOS!AD85,0)</f>
        <v>258233787</v>
      </c>
      <c r="G15" s="160"/>
      <c r="H15" s="172"/>
    </row>
    <row r="16" spans="1:8" x14ac:dyDescent="0.25">
      <c r="A16" s="196" t="s">
        <v>334</v>
      </c>
      <c r="B16" s="197"/>
      <c r="C16" s="158">
        <f>SUM(C13:C15)</f>
        <v>21733407</v>
      </c>
      <c r="D16" s="158">
        <f t="shared" ref="D16:E16" si="1">SUM(D13:D15)</f>
        <v>1177839941</v>
      </c>
      <c r="E16" s="158">
        <f t="shared" si="1"/>
        <v>1283058</v>
      </c>
      <c r="F16" s="158">
        <f>SUM(F13:F15)</f>
        <v>1200856406</v>
      </c>
      <c r="G16" s="162">
        <f>SUM(G13:G14)</f>
        <v>0.78495864642121083</v>
      </c>
      <c r="H16" s="198" t="s">
        <v>330</v>
      </c>
    </row>
    <row r="17" spans="1:8" ht="15.75" thickBot="1" x14ac:dyDescent="0.3">
      <c r="A17" s="200" t="s">
        <v>331</v>
      </c>
      <c r="B17" s="201"/>
      <c r="C17" s="163">
        <f>+C7-C16</f>
        <v>0</v>
      </c>
      <c r="D17" s="163">
        <f>+D7-D16</f>
        <v>0</v>
      </c>
      <c r="E17" s="163">
        <f>+E7-E16</f>
        <v>0</v>
      </c>
      <c r="F17" s="163">
        <f>+F7-F16</f>
        <v>0</v>
      </c>
      <c r="G17" s="164">
        <f>+F5-G16</f>
        <v>0.21504135357878917</v>
      </c>
      <c r="H17" s="199"/>
    </row>
  </sheetData>
  <mergeCells count="5">
    <mergeCell ref="A1:H2"/>
    <mergeCell ref="A11:F11"/>
    <mergeCell ref="A16:B16"/>
    <mergeCell ref="H16:H17"/>
    <mergeCell ref="A17:B1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ESTUDIOS POLIZAS</vt:lpstr>
      <vt:lpstr>ESTUDIOS MEDIOS TECN</vt:lpstr>
      <vt:lpstr>CALCULOS</vt:lpstr>
      <vt:lpstr>CONTROL PAGOS</vt:lpstr>
    </vt:vector>
  </TitlesOfParts>
  <Company>Rama Judicial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Blanco Rincon</dc:creator>
  <cp:lastModifiedBy>Jessica Alexandra Espinosa Braga</cp:lastModifiedBy>
  <dcterms:created xsi:type="dcterms:W3CDTF">2026-08-04T22:44:39Z</dcterms:created>
  <dcterms:modified xsi:type="dcterms:W3CDTF">2026-09-30T20:02:41Z</dcterms:modified>
</cp:coreProperties>
</file>