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DRIVE\Mi unidad\DOCUMENTOS\3. CÓMBITA\2026\SELECCIÓN ABREVIADA\SAMC 013-2026 MANTENIMIENTO I.E\"/>
    </mc:Choice>
  </mc:AlternateContent>
  <xr:revisionPtr revIDLastSave="0" documentId="13_ncr:1_{A45F6D85-5BD8-41E7-A7C5-A70C0A978592}" xr6:coauthVersionLast="47" xr6:coauthVersionMax="47" xr10:uidLastSave="{00000000-0000-0000-0000-000000000000}"/>
  <bookViews>
    <workbookView xWindow="-108" yWindow="-108" windowWidth="23256" windowHeight="12456" xr2:uid="{00000000-000D-0000-FFFF-FFFF00000000}"/>
  </bookViews>
  <sheets>
    <sheet name="PRESUPUESTO OFICIAL (Entidad)" sheetId="12" r:id="rId1"/>
    <sheet name="Hoja1" sheetId="1" state="hidden" r:id="rId2"/>
    <sheet name="Hoja2" sheetId="3" state="hidden" r:id="rId3"/>
    <sheet name="Hoja3" sheetId="4" state="hidden" r:id="rId4"/>
    <sheet name="Hoja4" sheetId="5" state="hidden" r:id="rId5"/>
    <sheet name="Hoja6" sheetId="7" state="hidden" r:id="rId6"/>
    <sheet name="ESCUELA EL CARMEN" sheetId="2" r:id="rId7"/>
    <sheet name="ESCUELA DE SAN FRANCISCO" sheetId="6" r:id="rId8"/>
    <sheet name="ESCUELA LA ESPERANZA" sheetId="8" r:id="rId9"/>
    <sheet name="ESCUELA EL ROBLE" sheetId="9" r:id="rId10"/>
    <sheet name="ESCUELA INTEGRADA MIXTA" sheetId="10" r:id="rId11"/>
    <sheet name="COLEGIO SANTA BARBARA " sheetId="11"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'PRESUPUESTO OFICIAL (Entidad)'!ERR</definedName>
    <definedName name="\Z">'PRESUPUESTO OFICIAL (Entidad)'!ERR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7" hidden="1">[7]INST!#REF!</definedName>
    <definedName name="_________key2" localSheetId="0" hidden="1">[7]INST!#REF!</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7" hidden="1">[8]INST!#REF!</definedName>
    <definedName name="________key2" localSheetId="0" hidden="1">[8]INST!#REF!</definedName>
    <definedName name="________key2" hidden="1">[8]INST!#REF!</definedName>
    <definedName name="________key3" localSheetId="7" hidden="1">#REF!</definedName>
    <definedName name="________key3" localSheetId="0" hidden="1">#REF!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F4" hidden="1">{"SUMINISTRO E INSTALACIÓN CANALETAS L=7.50"}</definedName>
    <definedName name="___ICP1">[11]Tablas!#REF!</definedName>
    <definedName name="___key2" localSheetId="7" hidden="1">[8]INST!#REF!</definedName>
    <definedName name="___key2" localSheetId="0" hidden="1">[8]INST!#REF!</definedName>
    <definedName name="___key2" hidden="1">[8]INST!#REF!</definedName>
    <definedName name="___key3" localSheetId="7" hidden="1">#REF!</definedName>
    <definedName name="___key3" localSheetId="0" hidden="1">#REF!</definedName>
    <definedName name="___key3" hidden="1">#REF!</definedName>
    <definedName name="___key31" localSheetId="7" hidden="1">#REF!</definedName>
    <definedName name="___key31" localSheetId="0"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localSheetId="7" hidden="1">#REF!</definedName>
    <definedName name="__123Graph_A" localSheetId="0" hidden="1">#REF!</definedName>
    <definedName name="__123Graph_A" hidden="1">#REF!</definedName>
    <definedName name="__123Graph_AMAIN" localSheetId="7" hidden="1">#REF!</definedName>
    <definedName name="__123Graph_AMAIN" hidden="1">#REF!</definedName>
    <definedName name="__123Graph_B" localSheetId="7" hidden="1">#REF!</definedName>
    <definedName name="__123Graph_B" localSheetId="0" hidden="1">#REF!</definedName>
    <definedName name="__123Graph_B" hidden="1">#REF!</definedName>
    <definedName name="__123Graph_BMAIN" localSheetId="7" hidden="1">#REF!</definedName>
    <definedName name="__123Graph_BMAIN" hidden="1">#REF!</definedName>
    <definedName name="__123Graph_XMAIN" localSheetId="7" hidden="1">#REF!</definedName>
    <definedName name="__123Graph_XMAIN"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MU005" localSheetId="7" hidden="1">#REF!</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'PRESUPUESTO OFICIAL (Entidad)'!ERR</definedName>
    <definedName name="__F4" hidden="1">{"SUMINISTRO E INSTALACIÓN CANALETAS L=7.50"}</definedName>
    <definedName name="__FS01">'PRESUPUESTO OFICIAL (Entidad)'!ERR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7" hidden="1">[18]INST!#REF!</definedName>
    <definedName name="__key2" localSheetId="0" hidden="1">[18]INST!#REF!</definedName>
    <definedName name="__key2" hidden="1">[18]INST!#REF!</definedName>
    <definedName name="__key21" localSheetId="7" hidden="1">[8]INST!#REF!</definedName>
    <definedName name="__key21" localSheetId="0" hidden="1">[8]INST!#REF!</definedName>
    <definedName name="__key21" hidden="1">[8]INST!#REF!</definedName>
    <definedName name="__key3" localSheetId="7" hidden="1">#REF!</definedName>
    <definedName name="__key3" localSheetId="0" hidden="1">#REF!</definedName>
    <definedName name="__key3" hidden="1">#REF!</definedName>
    <definedName name="__key31" localSheetId="7" hidden="1">#REF!</definedName>
    <definedName name="__key31" localSheetId="0"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[19]PESOS!#REF!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#REF!</definedName>
    <definedName name="_APU465">[21]!absc</definedName>
    <definedName name="_Atp2">[17]EMPRESA!$F$22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MU005" localSheetId="7" hidden="1">#REF!</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'PRESUPUESTO OFICIAL (Entidad)'!ERR</definedName>
    <definedName name="_F10">#REF!</definedName>
    <definedName name="_F4" hidden="1">{"SUMINISTRO E INSTALACIÓN CANALETAS L=7.50"}</definedName>
    <definedName name="_FC">#REF!</definedName>
    <definedName name="_Fill" localSheetId="7" hidden="1">#REF!</definedName>
    <definedName name="_Fill" localSheetId="0" hidden="1">#REF!</definedName>
    <definedName name="_Fill" hidden="1">#REF!</definedName>
    <definedName name="_xlnm._FilterDatabase" localSheetId="0" hidden="1">'PRESUPUESTO OFICIAL (Entidad)'!$I$11:$I$88</definedName>
    <definedName name="_FS01">'PRESUPUESTO OFICIAL (Entidad)'!ERR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7" hidden="1">#REF!</definedName>
    <definedName name="_Key1" localSheetId="0" hidden="1">#REF!</definedName>
    <definedName name="_Key1" hidden="1">#REF!</definedName>
    <definedName name="_Key11" localSheetId="7" hidden="1">[22]INST!#REF!</definedName>
    <definedName name="_Key11" localSheetId="0" hidden="1">[22]INST!#REF!</definedName>
    <definedName name="_Key11" hidden="1">[22]INST!#REF!</definedName>
    <definedName name="_Key2" localSheetId="7" hidden="1">#REF!</definedName>
    <definedName name="_Key2" localSheetId="0" hidden="1">#REF!</definedName>
    <definedName name="_Key2" hidden="1">#REF!</definedName>
    <definedName name="_Key21" localSheetId="7" hidden="1">#REF!</definedName>
    <definedName name="_Key21" localSheetId="0" hidden="1">#REF!</definedName>
    <definedName name="_Key21" hidden="1">#REF!</definedName>
    <definedName name="_key3" localSheetId="7" hidden="1">#REF!</definedName>
    <definedName name="_key3" localSheetId="0" hidden="1">#REF!</definedName>
    <definedName name="_key3" hidden="1">#REF!</definedName>
    <definedName name="_key31" localSheetId="7" hidden="1">#REF!</definedName>
    <definedName name="_key31" localSheetId="0"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localSheetId="0" hidden="1">255</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7" hidden="1">'[3]7422CW00'!#REF!</definedName>
    <definedName name="_Parse_Out" localSheetId="0" hidden="1">'[3]7422CW00'!#REF!</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#REF!</definedName>
    <definedName name="_Regression_Out" localSheetId="7" hidden="1">#REF!</definedName>
    <definedName name="_Regression_Out" hidden="1">#REF!</definedName>
    <definedName name="_Regression_X" localSheetId="7" hidden="1">#REF!</definedName>
    <definedName name="_Regression_X" hidden="1">#REF!</definedName>
    <definedName name="_Regression_Y" localSheetId="7" hidden="1">#REF!</definedName>
    <definedName name="_Regression_Y"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cenchg1" localSheetId="7" hidden="1">#REF!</definedName>
    <definedName name="_scenchg1" hidden="1">#REF!</definedName>
    <definedName name="_Sort" localSheetId="7" hidden="1">#REF!</definedName>
    <definedName name="_Sort" localSheetId="0" hidden="1">#REF!</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le2_Out" localSheetId="7" hidden="1">#REF!</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7" hidden="1">[8]INST!#REF!</definedName>
    <definedName name="_unj1" localSheetId="0" hidden="1">[8]INST!#REF!</definedName>
    <definedName name="_unj1" hidden="1">[8]INST!#REF!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'PRESUPUESTO OFICIAL (Entidad)'!ERR</definedName>
    <definedName name="AA_1" hidden="1">{#N/A,#N/A,TRUE,"INGENIERIA";#N/A,#N/A,TRUE,"COMPRAS";#N/A,#N/A,TRUE,"DIRECCION";#N/A,#N/A,TRUE,"RESUMEN"}</definedName>
    <definedName name="AAA">'PRESUPUESTO OFICIAL (Entidad)'!ERR</definedName>
    <definedName name="aaaaaa">[25]otros!$C$5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localSheetId="7" hidden="1">#REF!</definedName>
    <definedName name="ABCD" localSheetId="0" hidden="1">#REF!</definedName>
    <definedName name="ABCD" hidden="1">#REF!</definedName>
    <definedName name="ABCDE" localSheetId="7" hidden="1">#REF!</definedName>
    <definedName name="ABCDE" localSheetId="0" hidden="1">#REF!</definedName>
    <definedName name="ABCDE" hidden="1">#REF!</definedName>
    <definedName name="ABG">[6]AASHTO!$A$2:$F$5</definedName>
    <definedName name="absc1">[26]!absc</definedName>
    <definedName name="ac">#REF!</definedName>
    <definedName name="AC_1" hidden="1">{#N/A,#N/A,TRUE,"INGENIERIA";#N/A,#N/A,TRUE,"COMPRAS";#N/A,#N/A,TRUE,"DIRECCION";#N/A,#N/A,TRUE,"RESUMEN"}</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_1" hidden="1">{#N/A,#N/A,TRUE,"INGENIERIA";#N/A,#N/A,TRUE,"COMPRAS";#N/A,#N/A,TRUE,"DIRECCION";#N/A,#N/A,TRUE,"RESUMEN"}</definedName>
    <definedName name="adasd">#REF!</definedName>
    <definedName name="ADFGSDB" localSheetId="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_1" hidden="1">{#N/A,#N/A,TRUE,"INGENIERIA";#N/A,#N/A,TRUE,"COMPRAS";#N/A,#N/A,TRUE,"DIRECCION";#N/A,#N/A,TRUE,"RESUMEN"}</definedName>
    <definedName name="aefa" localSheetId="0"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_1" hidden="1">{#N/A,#N/A,TRUE,"INGENIERIA";#N/A,#N/A,TRUE,"COMPRAS";#N/A,#N/A,TRUE,"DIRECCION";#N/A,#N/A,TRUE,"RESUMEN"}</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0"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H_1" hidden="1">{#N/A,#N/A,TRUE,"INGENIERIA";#N/A,#N/A,TRUE,"COMPRAS";#N/A,#N/A,TRUE,"DIRECCION";#N/A,#N/A,TRUE,"RESUMEN"}</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alyst" localSheetId="7" hidden="1">#REF!</definedName>
    <definedName name="Analyst" hidden="1">#REF!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scount" hidden="1">10</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#REF!</definedName>
    <definedName name="APU221.1">#REF!</definedName>
    <definedName name="APU221.2">#REF!</definedName>
    <definedName name="aq">'PRESUPUESTO OFICIAL (Entidad)'!ERR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7">'ESCUELA DE SAN FRANCISCO'!$B$2:$Q$90</definedName>
    <definedName name="_xlnm.Print_Area" localSheetId="6">'ESCUELA EL CARMEN'!$B$2:$Q$50</definedName>
    <definedName name="_xlnm.Print_Area" localSheetId="1">Hoja1!$A$1:$H$67</definedName>
    <definedName name="_xlnm.Print_Area" localSheetId="0">'PRESUPUESTO OFICIAL (Entidad)'!$A$1:$M$107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g" localSheetId="7" hidden="1">#REF!</definedName>
    <definedName name="arg" hidden="1">#REF!</definedName>
    <definedName name="armuve">'PRESUPUESTO OFICIAL (Entidad)'!ERR</definedName>
    <definedName name="ARP">#REF!</definedName>
    <definedName name="ARS">#REF!</definedName>
    <definedName name="as">'PRESUPUESTO OFICIAL (Entidad)'!ERR</definedName>
    <definedName name="ASB">[6]AASHTO!$A$8:$F$11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'PRESUPUESTO OFICIAL (Entidad)'!ERR</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'PRESUPUESTO OFICIAL (Entidad)'!ERR</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7" hidden="1">#REF!</definedName>
    <definedName name="BLPH1" localSheetId="0" hidden="1">#REF!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localSheetId="7" hidden="1">#REF!</definedName>
    <definedName name="BS_Data_Col" hidden="1">#REF!</definedName>
    <definedName name="bsb" localSheetId="0" hidden="1">{"via1",#N/A,TRUE,"general";"via2",#N/A,TRUE,"general";"via3",#N/A,TRUE,"general"}</definedName>
    <definedName name="bsb" hidden="1">{"via1",#N/A,TRUE,"general";"via2",#N/A,TRUE,"general";"via3",#N/A,TRUE,"general"}</definedName>
    <definedName name="BSpb" localSheetId="7" hidden="1">#REF!</definedName>
    <definedName name="BSpb" hidden="1">#REF!</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ntObraDefinitiva" hidden="1">{"SUMINISTRO E INSTALACIÓN CANALETAS L=7.50"}</definedName>
    <definedName name="CAP">#REF!</definedName>
    <definedName name="CAPAC._HSE">#REF!</definedName>
    <definedName name="Capitalpb" localSheetId="7" hidden="1">#REF!</definedName>
    <definedName name="Capitalpb" hidden="1">#REF!</definedName>
    <definedName name="CapitalStructure" localSheetId="7" hidden="1">#REF!</definedName>
    <definedName name="CapitalStructure" hidden="1">#REF!</definedName>
    <definedName name="CARGA">#REF!</definedName>
    <definedName name="CARGOS">#REF!</definedName>
    <definedName name="carlos">MODULO10.auto_abrir</definedName>
    <definedName name="Cashpb" localSheetId="7" hidden="1">#REF!</definedName>
    <definedName name="Cashpb" hidden="1">#REF!</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localSheetId="0" hidden="1">{"via1",#N/A,TRUE,"general";"via2",#N/A,TRUE,"general";"via3",#N/A,TRUE,"general"}</definedName>
    <definedName name="cdcdc" hidden="1">{"via1",#N/A,TRUE,"general";"via2",#N/A,TRUE,"general";"via3",#N/A,TRUE,"general"}</definedName>
    <definedName name="CDctrl">[35]CDItem!$G$8</definedName>
    <definedName name="CDE">#REF!</definedName>
    <definedName name="cdfgrtfd" localSheetId="7" hidden="1">#REF!</definedName>
    <definedName name="cdfgrtfd" localSheetId="0" hidden="1">#REF!</definedName>
    <definedName name="cdfgrtfd" hidden="1">#REF!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nge_in_Cash" localSheetId="7" hidden="1">#REF!</definedName>
    <definedName name="Change_in_Cash" hidden="1">#REF!</definedName>
    <definedName name="Check_to_Cash" localSheetId="7" hidden="1">#REF!</definedName>
    <definedName name="Check_to_Cash" hidden="1">#REF!</definedName>
    <definedName name="CHK_PU">'[3]7422CW00'!#REF!</definedName>
    <definedName name="CHP">#REF!</definedName>
    <definedName name="CISNEROS">#REF!</definedName>
    <definedName name="cjsa" localSheetId="7" hidden="1">#REF!</definedName>
    <definedName name="cjsa" localSheetId="0" hidden="1">#REF!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'PRESUPUESTO OFICIAL (Entidad)'!ERR</definedName>
    <definedName name="COPIA1">#REF!</definedName>
    <definedName name="COPIA2">#REF!</definedName>
    <definedName name="copiao4">'PRESUPUESTO OFICIAL (Entidad)'!ERR</definedName>
    <definedName name="corri">'PRESUPUESTO OFICIAL (Entidad)'!ERR</definedName>
    <definedName name="COSTO_FRENTE">[56]BITACORA!$E$1:$E$65536</definedName>
    <definedName name="costo2" localSheetId="7" hidden="1">#REF!</definedName>
    <definedName name="costo2" localSheetId="0" hidden="1">#REF!</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'PRESUPUESTO OFICIAL (Entidad)'!ERR</definedName>
    <definedName name="CUBS">#REF!</definedName>
    <definedName name="CUNET" localSheetId="0" hidden="1">{"via1",#N/A,TRUE,"general";"via2",#N/A,TRUE,"general";"via3",#N/A,TRUE,"general"}</definedName>
    <definedName name="CUNET" hidden="1">{"via1",#N/A,TRUE,"general";"via2",#N/A,TRUE,"general";"via3",#N/A,TRUE,"general"}</definedName>
    <definedName name="Customize">[50]!Customize</definedName>
    <definedName name="cv" localSheetId="0">#REF!</definedName>
    <definedName name="cv" hidden="1">{"TAB1",#N/A,TRUE,"GENERAL";"TAB2",#N/A,TRUE,"GENERAL";"TAB3",#N/A,TRUE,"GENERAL";"TAB4",#N/A,TRUE,"GENERAL";"TAB5",#N/A,TRUE,"GENERAL"}</definedName>
    <definedName name="CVa">'[20]Cambio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zz" localSheetId="7" hidden="1">#REF!</definedName>
    <definedName name="czz" hidden="1">#REF!</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localSheetId="0" hidden="1">{"via1",#N/A,TRUE,"general";"via2",#N/A,TRUE,"general";"via3",#N/A,TRUE,"general"}</definedName>
    <definedName name="DCSDCTV" hidden="1">{"via1",#N/A,TRUE,"general";"via2",#N/A,TRUE,"general";"via3",#N/A,TRUE,"general"}</definedName>
    <definedName name="dd">#REF!</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alpb" localSheetId="7" hidden="1">#REF!</definedName>
    <definedName name="Dealpb" hidden="1">#REF!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preciationPB" localSheetId="7" hidden="1">#REF!</definedName>
    <definedName name="DepreciationPB" hidden="1">#REF!</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0" hidden="1">{"via1",#N/A,TRUE,"general";"via2",#N/A,TRUE,"general";"via3",#N/A,TRUE,"general"}</definedName>
    <definedName name="dry" hidden="1">{"via1",#N/A,TRUE,"general";"via2",#N/A,TRUE,"general";"via3",#N/A,TRUE,"general"}</definedName>
    <definedName name="DS">[63]Cronograma!#REF!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DZ.Main" localSheetId="7" hidden="1">#REF!</definedName>
    <definedName name="DZ.Main" hidden="1">#REF!</definedName>
    <definedName name="E">#REF!</definedName>
    <definedName name="e3e33" localSheetId="0"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'PRESUPUESTO OFICIAL (Entidad)'!ERR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'PRESUPUESTO OFICIAL (Entidad)'!ERR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localSheetId="0" hidden="1">{"via1",#N/A,TRUE,"general";"via2",#N/A,TRUE,"general";"via3",#N/A,TRUE,"general"}</definedName>
    <definedName name="eqw" hidden="1">{"via1",#N/A,TRUE,"general";"via2",#N/A,TRUE,"general";"via3",#N/A,TRUE,"general"}</definedName>
    <definedName name="ERE_ART">[45]steel!$B$8:$B$47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 hidden="1">{"TAB1",#N/A,TRUE,"GENERAL";"TAB2",#N/A,TRUE,"GENERAL";"TAB3",#N/A,TRUE,"GENERAL";"TAB4",#N/A,TRUE,"GENERAL";"TAB5",#N/A,TRUE,"GENERAL"}</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'PRESUPUESTO OFICIAL (Entidad)'!ERR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[70]Hoja3!$B$7:$B$15</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7" hidden="1">#REF!</definedName>
    <definedName name="EX" localSheetId="0" hidden="1">#REF!</definedName>
    <definedName name="EX" hidden="1">#REF!</definedName>
    <definedName name="EX_1" localSheetId="7" hidden="1">#REF!</definedName>
    <definedName name="EX_1" localSheetId="0"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ecutivepb" localSheetId="7" hidden="1">#REF!</definedName>
    <definedName name="Executivepb" hidden="1">#REF!</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pb" localSheetId="7" hidden="1">#REF!</definedName>
    <definedName name="Factpb" hidden="1">#REF!</definedName>
    <definedName name="Factpb2" localSheetId="7" hidden="1">#REF!</definedName>
    <definedName name="Factpb2" hidden="1">#REF!</definedName>
    <definedName name="FACTURADO">'[72]Itemes Renovación'!#REF!</definedName>
    <definedName name="FareWellStmnt">[50]!FareWellStmnt</definedName>
    <definedName name="FaseProyecto">#REF!</definedName>
    <definedName name="FD">'PRESUPUESTO OFICIAL (Entidad)'!ERR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localSheetId="0" hidden="1">{"via1",#N/A,TRUE,"general";"via2",#N/A,TRUE,"general";"via3",#N/A,TRUE,"general"}</definedName>
    <definedName name="ferfer" hidden="1">{"via1",#N/A,TRUE,"general";"via2",#N/A,TRUE,"general";"via3",#N/A,TRUE,"general"}</definedName>
    <definedName name="ff">'PRESUPUESTO OFICIAL (Entidad)'!ERR</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'PRESUPUESTO OFICIAL (Entidad)'!ERR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'[74]7422CW00'!#REF!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localSheetId="7" hidden="1">#REF!</definedName>
    <definedName name="fill1" localSheetId="0" hidden="1">#REF!</definedName>
    <definedName name="fill1" hidden="1">#REF!</definedName>
    <definedName name="FILTROS">#REF!</definedName>
    <definedName name="FINANCIACION">'PRESUPUESTO OFICIAL (Entidad)'!ERR</definedName>
    <definedName name="Financialpb" localSheetId="7" hidden="1">#REF!</definedName>
    <definedName name="Financialpb" hidden="1">#REF!</definedName>
    <definedName name="Financialpb2" localSheetId="7" hidden="1">#REF!</definedName>
    <definedName name="Financialpb2" hidden="1">#REF!</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'PRESUPUESTO OFICIAL (Entidad)'!ERR</definedName>
    <definedName name="Full_Print">#REF!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[12]Tablas!#REF!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'PRESUPUESTO OFICIAL (Entidad)'!ERR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'[74]7422CW00'!#REF!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[76]BASE!$C$4:$H$255</definedName>
    <definedName name="GTC">[12]Tablas!#REF!</definedName>
    <definedName name="GTE">[12]Tablas!#REF!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localSheetId="0" hidden="1">{"via1",#N/A,TRUE,"general";"via2",#N/A,TRUE,"general";"via3",#N/A,TRUE,"general"}</definedName>
    <definedName name="hfgh" hidden="1">{"via1",#N/A,TRUE,"general";"via2",#N/A,TRUE,"general";"via3",#N/A,TRUE,"general"}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'PRESUPUESTO OFICIAL (Entidad)'!ERR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isYear_0" localSheetId="7" hidden="1">#REF!</definedName>
    <definedName name="HisYear_0" hidden="1">#REF!</definedName>
    <definedName name="HisYear_1" localSheetId="7" hidden="1">#REF!</definedName>
    <definedName name="HisYear_1" hidden="1">#REF!</definedName>
    <definedName name="HisYear_2" localSheetId="7" hidden="1">#REF!</definedName>
    <definedName name="HisYear_2" hidden="1">#REF!</definedName>
    <definedName name="HisYear_3" localSheetId="7" hidden="1">#REF!</definedName>
    <definedName name="HisYear_3" hidden="1">#REF!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'PRESUPUESTO OFICIAL (Entidad)'!ERR</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localSheetId="7" hidden="1">#REF!,#REF!,#REF!,#REF!,#REF!,#REF!,#REF!,#REF!,#REF!,#REF!</definedName>
    <definedName name="hn.ConvertZero1" hidden="1">#REF!,#REF!,#REF!,#REF!,#REF!,#REF!,#REF!,#REF!,#REF!,#REF!</definedName>
    <definedName name="hn.ConvertZero2" localSheetId="7" hidden="1">#REF!,#REF!,#REF!,#REF!,#REF!,#REF!,#REF!,#REF!</definedName>
    <definedName name="hn.ConvertZero2" hidden="1">#REF!,#REF!,#REF!,#REF!,#REF!,#REF!,#REF!,#REF!</definedName>
    <definedName name="hn.ConvertZero3" localSheetId="7" hidden="1">#REF!,#REF!,#REF!,#REF!,#REF!</definedName>
    <definedName name="hn.ConvertZero3" hidden="1">#REF!,#REF!,#REF!,#REF!,#REF!</definedName>
    <definedName name="hn.ConvertZero4" localSheetId="7" hidden="1">#REF!,#REF!,#REF!,#REF!,#REF!,#REF!,#REF!,#REF!</definedName>
    <definedName name="hn.ConvertZero4" hidden="1">#REF!,#REF!,#REF!,#REF!,#REF!,#REF!,#REF!,#REF!</definedName>
    <definedName name="hn.ConvertZeroUnhide1" localSheetId="7" hidden="1">#REF!,#REF!,#REF!</definedName>
    <definedName name="hn.ConvertZeroUnhide1" hidden="1">#REF!,#REF!,#REF!</definedName>
    <definedName name="hn.Delete015" localSheetId="7" hidden="1">#REF!,#REF!,#REF!,#REF!</definedName>
    <definedName name="hn.Delete015" hidden="1">#REF!,#REF!,#REF!,#REF!</definedName>
    <definedName name="hn.DZ_MultByFXRates" localSheetId="7" hidden="1">#REF!,#REF!,#REF!,#REF!</definedName>
    <definedName name="hn.DZ_MultByFXRates" hidden="1">#REF!,#REF!,#REF!,#REF!</definedName>
    <definedName name="hn.ExtDb" hidden="1">FALSE</definedName>
    <definedName name="hn.LTM_MultByFXRates" localSheetId="7" hidden="1">#REF!,#REF!,#REF!,#REF!,#REF!,#REF!,#REF!</definedName>
    <definedName name="hn.LTM_MultByFXRates" hidden="1">#REF!,#REF!,#REF!,#REF!,#REF!,#REF!,#REF!</definedName>
    <definedName name="hn.ModelType" hidden="1">"DEAL"</definedName>
    <definedName name="hn.ModelVersion" hidden="1">1</definedName>
    <definedName name="hn.MultbyFXRates" localSheetId="7" hidden="1">#REF!,#REF!,#REF!,#REF!,#REF!,#REF!,#REF!</definedName>
    <definedName name="hn.MultbyFXRates" hidden="1">#REF!,#REF!,#REF!,#REF!,#REF!,#REF!,#REF!</definedName>
    <definedName name="hn.MultByFXRates1" localSheetId="7" hidden="1">#REF!,#REF!,#REF!,#REF!,#REF!</definedName>
    <definedName name="hn.MultByFXRates1" hidden="1">#REF!,#REF!,#REF!,#REF!,#REF!</definedName>
    <definedName name="hn.MultByFXRates2" localSheetId="7" hidden="1">#REF!,#REF!,#REF!,#REF!,#REF!</definedName>
    <definedName name="hn.MultByFXRates2" hidden="1">#REF!,#REF!,#REF!,#REF!,#REF!</definedName>
    <definedName name="hn.MultByFXRates3" localSheetId="7" hidden="1">#REF!,#REF!,#REF!,#REF!,#REF!</definedName>
    <definedName name="hn.MultByFXRates3" hidden="1">#REF!,#REF!,#REF!,#REF!,#REF!</definedName>
    <definedName name="hn.MultbyFxrates4" localSheetId="7" hidden="1">#REF!,#REF!,#REF!,#REF!,#REF!,#REF!,#REF!</definedName>
    <definedName name="hn.MultbyFxrates4" hidden="1">#REF!,#REF!,#REF!,#REF!,#REF!,#REF!,#REF!</definedName>
    <definedName name="hn.multbyfxrates5" localSheetId="7" hidden="1">#REF!,#REF!,#REF!,#REF!,#REF!</definedName>
    <definedName name="hn.multbyfxrates5" hidden="1">#REF!,#REF!,#REF!,#REF!,#REF!</definedName>
    <definedName name="hn.multbyfxrates6" localSheetId="7" hidden="1">#REF!,#REF!,#REF!,#REF!,#REF!</definedName>
    <definedName name="hn.multbyfxrates6" hidden="1">#REF!,#REF!,#REF!,#REF!,#REF!</definedName>
    <definedName name="hn.multbyfxrates7" localSheetId="7" hidden="1">#REF!,#REF!,#REF!,#REF!,#REF!</definedName>
    <definedName name="hn.multbyfxrates7" hidden="1">#REF!,#REF!,#REF!,#REF!,#REF!</definedName>
    <definedName name="hn.MultByFXRatesBot1" localSheetId="7" hidden="1">#REF!,#REF!,#REF!,#REF!,#REF!,#REF!,#REF!,#REF!,#REF!,#REF!,#REF!,#REF!</definedName>
    <definedName name="hn.MultByFXRatesBot1" hidden="1">#REF!,#REF!,#REF!,#REF!,#REF!,#REF!,#REF!,#REF!,#REF!,#REF!,#REF!,#REF!</definedName>
    <definedName name="hn.MultByFXRatesBot2" localSheetId="7" hidden="1">#REF!,#REF!,#REF!,#REF!,#REF!,#REF!,#REF!,#REF!,#REF!,#REF!,#REF!,#REF!</definedName>
    <definedName name="hn.MultByFXRatesBot2" hidden="1">#REF!,#REF!,#REF!,#REF!,#REF!,#REF!,#REF!,#REF!,#REF!,#REF!,#REF!,#REF!</definedName>
    <definedName name="hn.MultByFXRatesBot3" localSheetId="7" hidden="1">#REF!,#REF!,#REF!,#REF!,#REF!,#REF!,#REF!,#REF!,#REF!,#REF!,#REF!,#REF!</definedName>
    <definedName name="hn.MultByFXRatesBot3" hidden="1">#REF!,#REF!,#REF!,#REF!,#REF!,#REF!,#REF!,#REF!,#REF!,#REF!,#REF!,#REF!</definedName>
    <definedName name="hn.MultByFXRatesBot4" localSheetId="7" hidden="1">#REF!,#REF!,#REF!,#REF!,#REF!,#REF!,#REF!,#REF!,#REF!,#REF!,#REF!,#REF!,#REF!</definedName>
    <definedName name="hn.MultByFXRatesBot4" hidden="1">#REF!,#REF!,#REF!,#REF!,#REF!,#REF!,#REF!,#REF!,#REF!,#REF!,#REF!,#REF!,#REF!</definedName>
    <definedName name="hn.MultByFXRatesBot5" localSheetId="7" hidden="1">#REF!,#REF!,#REF!,#REF!,#REF!,#REF!,#REF!,#REF!,#REF!,#REF!,#REF!</definedName>
    <definedName name="hn.MultByFXRatesBot5" hidden="1">#REF!,#REF!,#REF!,#REF!,#REF!,#REF!,#REF!,#REF!,#REF!,#REF!,#REF!</definedName>
    <definedName name="hn.MultByFXRatesBot6" localSheetId="7" hidden="1">#REF!,#REF!,#REF!,#REF!,#REF!,#REF!,#REF!,#REF!,#REF!,#REF!,#REF!</definedName>
    <definedName name="hn.MultByFXRatesBot6" hidden="1">#REF!,#REF!,#REF!,#REF!,#REF!,#REF!,#REF!,#REF!,#REF!,#REF!,#REF!</definedName>
    <definedName name="hn.MultByFXRatesBot7" localSheetId="7" hidden="1">#REF!,#REF!,#REF!,#REF!,#REF!,#REF!,#REF!,#REF!,#REF!,#REF!,#REF!</definedName>
    <definedName name="hn.MultByFXRatesBot7" hidden="1">#REF!,#REF!,#REF!,#REF!,#REF!,#REF!,#REF!,#REF!,#REF!,#REF!,#REF!</definedName>
    <definedName name="hn.MultByFXRatesTop1" localSheetId="7" hidden="1">#REF!,#REF!,#REF!,#REF!,#REF!,#REF!,#REF!,#REF!,#REF!,#REF!,#REF!,#REF!</definedName>
    <definedName name="hn.MultByFXRatesTop1" hidden="1">#REF!,#REF!,#REF!,#REF!,#REF!,#REF!,#REF!,#REF!,#REF!,#REF!,#REF!,#REF!</definedName>
    <definedName name="hn.MultByFXRatesTop2" localSheetId="7" hidden="1">#REF!,#REF!,#REF!,#REF!,#REF!,#REF!,#REF!,#REF!,#REF!,#REF!,#REF!,#REF!,#REF!,#REF!,#REF!</definedName>
    <definedName name="hn.MultByFXRatesTop2" hidden="1">#REF!,#REF!,#REF!,#REF!,#REF!,#REF!,#REF!,#REF!,#REF!,#REF!,#REF!,#REF!,#REF!,#REF!,#REF!</definedName>
    <definedName name="hn.MultByFXRatesTop3" localSheetId="7" hidden="1">#REF!,#REF!,#REF!,#REF!,#REF!,#REF!,#REF!,#REF!,#REF!,#REF!,#REF!,#REF!,#REF!,#REF!,#REF!</definedName>
    <definedName name="hn.MultByFXRatesTop3" hidden="1">#REF!,#REF!,#REF!,#REF!,#REF!,#REF!,#REF!,#REF!,#REF!,#REF!,#REF!,#REF!,#REF!,#REF!,#REF!</definedName>
    <definedName name="hn.MultByFXRatesTop4" localSheetId="7" hidden="1">#REF!,#REF!,#REF!,#REF!,#REF!,#REF!,#REF!,#REF!,#REF!,#REF!,#REF!,#REF!,#REF!,#REF!,#REF!</definedName>
    <definedName name="hn.MultByFXRatesTop4" hidden="1">#REF!,#REF!,#REF!,#REF!,#REF!,#REF!,#REF!,#REF!,#REF!,#REF!,#REF!,#REF!,#REF!,#REF!,#REF!</definedName>
    <definedName name="hn.MultByFXRatesTop5" localSheetId="7" hidden="1">#REF!,#REF!,#REF!,#REF!,#REF!,#REF!,#REF!,#REF!,#REF!,#REF!,#REF!,#REF!</definedName>
    <definedName name="hn.MultByFXRatesTop5" hidden="1">#REF!,#REF!,#REF!,#REF!,#REF!,#REF!,#REF!,#REF!,#REF!,#REF!,#REF!,#REF!</definedName>
    <definedName name="hn.MultByFXRatesTop6" localSheetId="7" hidden="1">#REF!,#REF!,#REF!,#REF!,#REF!,#REF!,#REF!,#REF!,#REF!,#REF!,#REF!,#REF!,#REF!,#REF!,#REF!</definedName>
    <definedName name="hn.MultByFXRatesTop6" hidden="1">#REF!,#REF!,#REF!,#REF!,#REF!,#REF!,#REF!,#REF!,#REF!,#REF!,#REF!,#REF!,#REF!,#REF!,#REF!</definedName>
    <definedName name="hn.MultByFXRatesTop7" localSheetId="7" hidden="1">#REF!,#REF!,#REF!,#REF!,#REF!,#REF!,#REF!,#REF!,#REF!,#REF!,#REF!,#REF!,#REF!,#REF!,#REF!</definedName>
    <definedName name="hn.MultByFXRatesTop7" hidden="1">#REF!,#REF!,#REF!,#REF!,#REF!,#REF!,#REF!,#REF!,#REF!,#REF!,#REF!,#REF!,#REF!,#REF!,#REF!</definedName>
    <definedName name="hn.NoUpload" hidden="1">0</definedName>
    <definedName name="hn.YearLabel" localSheetId="7" hidden="1">#REF!</definedName>
    <definedName name="hn.YearLabel" hidden="1">#REF!</definedName>
    <definedName name="HOJA1">#REF!</definedName>
    <definedName name="horat">'[20]Itemes Renovación'!#REF!</definedName>
    <definedName name="Hornos">#REF!</definedName>
    <definedName name="hoy" localSheetId="7" hidden="1">#REF!</definedName>
    <definedName name="hoy" hidden="1">#REF!</definedName>
    <definedName name="HP_stg_Hz">#REF!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'PRESUPUESTO OFICIAL (Entidad)'!ERR</definedName>
    <definedName name="IF">'[51]A. P. U.'!#REF!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omepb" localSheetId="7" hidden="1">#REF!</definedName>
    <definedName name="Incomepb" hidden="1">#REF!</definedName>
    <definedName name="INCR._PRODC.">#REF!</definedName>
    <definedName name="INDICE">#REF!</definedName>
    <definedName name="inf">#REF!</definedName>
    <definedName name="INFORME">[78]TABLAS!$A$1:$A$65536</definedName>
    <definedName name="Informe_semanal">#REF!</definedName>
    <definedName name="INGENIERIA1" localSheetId="7" hidden="1">#REF!</definedName>
    <definedName name="INGENIERIA1" localSheetId="0" hidden="1">#REF!</definedName>
    <definedName name="INGENIERIA1" hidden="1">#REF!</definedName>
    <definedName name="INGENIERIA11" localSheetId="7"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'PRESUPUESTO OFICIAL (Entidad)'!ERR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localSheetId="7" hidden="1">#REF!</definedName>
    <definedName name="irng" localSheetId="0" hidden="1">#REF!</definedName>
    <definedName name="irng" hidden="1">#REF!</definedName>
    <definedName name="IsColHidden" hidden="1">FALSE</definedName>
    <definedName name="IsLTMColHidden" hidden="1">FALSE</definedName>
    <definedName name="Iss">'[40]LIQUIDA-NOMINA'!$AT$4</definedName>
    <definedName name="issafp">[54]Hoja1!$C$19</definedName>
    <definedName name="isscs">[54]Hoja1!$C$21</definedName>
    <definedName name="IsSecureRevolver" localSheetId="7" hidden="1">#REF!</definedName>
    <definedName name="IsSecureRevolver" hidden="1">#REF!</definedName>
    <definedName name="IsSecureSenior1" localSheetId="7" hidden="1">#REF!</definedName>
    <definedName name="IsSecureSenior1" hidden="1">#REF!</definedName>
    <definedName name="IsSecureSenior2" localSheetId="7" hidden="1">#REF!</definedName>
    <definedName name="IsSecureSenior2" hidden="1">#REF!</definedName>
    <definedName name="IsSecureSenior3" localSheetId="7" hidden="1">#REF!</definedName>
    <definedName name="IsSecureSenior3" hidden="1">#REF!</definedName>
    <definedName name="IsSecureSenior4" localSheetId="7" hidden="1">#REF!</definedName>
    <definedName name="IsSecureSenior4" hidden="1">#REF!</definedName>
    <definedName name="IsSecureSenior5" localSheetId="7" hidden="1">#REF!</definedName>
    <definedName name="IsSecureSenior5" hidden="1">#REF!</definedName>
    <definedName name="IsSecureSenior6" localSheetId="7" hidden="1">#REF!</definedName>
    <definedName name="IsSecureSenior6" hidden="1">#REF!</definedName>
    <definedName name="IsSecureSenior7" localSheetId="7" hidden="1">#REF!</definedName>
    <definedName name="IsSecureSenior7" hidden="1">#REF!</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localSheetId="7" hidden="1">#REF!</definedName>
    <definedName name="jfç" localSheetId="0" hidden="1">#REF!</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'PRESUPUESTO OFICIAL (Entidad)'!ERR</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 hidden="1">{"SUMINISTRO E INSTALACIÓN CANALETAS L=7.50"}</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hidden="1">{"TAB1",#N/A,TRUE,"GENERAL";"TAB2",#N/A,TRUE,"GENERAL";"TAB3",#N/A,TRUE,"GENERAL";"TAB4",#N/A,TRUE,"GENERAL";"TAB5",#N/A,TRUE,"GENERAL"}</definedName>
    <definedName name="jklj" localSheetId="7" hidden="1">#REF!</definedName>
    <definedName name="jklj" hidden="1">#REF!</definedName>
    <definedName name="JOHNNY">'PRESUPUESTO OFICIAL (Entidad)'!ERR</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localSheetId="7" hidden="1">#REF!</definedName>
    <definedName name="kdmfm" localSheetId="0" hidden="1">#REF!</definedName>
    <definedName name="kdmfm" hidden="1">#REF!</definedName>
    <definedName name="KEY" localSheetId="7" hidden="1">#REF!</definedName>
    <definedName name="KEY"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'PRESUPUESTO OFICIAL (Entidad)'!ERR</definedName>
    <definedName name="klklk">#REF!</definedName>
    <definedName name="km">#REF!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localSheetId="7" hidden="1">#REF!</definedName>
    <definedName name="lame" localSheetId="0" hidden="1">#REF!</definedName>
    <definedName name="lame" hidden="1">#REF!</definedName>
    <definedName name="LANODO">#REF!</definedName>
    <definedName name="LANODOFT">#REF!</definedName>
    <definedName name="Last_Row">#N/A</definedName>
    <definedName name="lb">#REF!</definedName>
    <definedName name="ld">#REF!</definedName>
    <definedName name="Left_Header" localSheetId="7" hidden="1">#REF!</definedName>
    <definedName name="Left_Header" hidden="1">#REF!</definedName>
    <definedName name="Libro1_Hoja1_Lista">[82]LISTADO!#REF!</definedName>
    <definedName name="LICITACION">#REF!</definedName>
    <definedName name="limcount" hidden="1">1</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[85]tub!$C$1:$J$39</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#REF!</definedName>
    <definedName name="LOCAT1999" hidden="1">{"SUMINISTRO E INSTALACIÓN CANALETAS L=7.50"}</definedName>
    <definedName name="LOGO">'PRESUPUESTO OFICIAL (Entidad)'!ERR</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0" hidden="1">{"via1",#N/A,TRUE,"general";"via2",#N/A,TRUE,"general";"via3",#N/A,TRUE,"general"}</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localSheetId="0" hidden="1">{"via1",#N/A,TRUE,"general";"via2",#N/A,TRUE,"general";"via3",#N/A,TRUE,"general"}</definedName>
    <definedName name="mafdsf" hidden="1">{"via1",#N/A,TRUE,"general";"via2",#N/A,TRUE,"general";"via3",#N/A,TRUE,"general"}</definedName>
    <definedName name="mama" localSheetId="7" hidden="1">#REF!</definedName>
    <definedName name="mama" hidden="1">#REF!</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localSheetId="0" hidden="1">{"via1",#N/A,TRUE,"general";"via2",#N/A,TRUE,"general";"via3",#N/A,TRUE,"general"}</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localSheetId="0" hidden="1">{"via1",#N/A,TRUE,"general";"via2",#N/A,TRUE,"general";"via3",#N/A,TRUE,"general"}</definedName>
    <definedName name="mdd" hidden="1">{"via1",#N/A,TRUE,"general";"via2",#N/A,TRUE,"general";"via3",#N/A,TRUE,"general"}</definedName>
    <definedName name="mediah_reposo_comida">'[88]CCP,LEYES, Y DEC.'!#REF!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localSheetId="0" hidden="1">{#N/A,#N/A,FALSE,"Hoja1";#N/A,#N/A,FALSE,"Hoja2"}</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0" hidden="1">{"via1",#N/A,TRUE,"general";"via2",#N/A,TRUE,"general";"via3",#N/A,TRUE,"general"}</definedName>
    <definedName name="n" hidden="1">{"via1",#N/A,TRUE,"general";"via2",#N/A,TRUE,"general";"via3",#N/A,TRUE,"general"}</definedName>
    <definedName name="Nada">[50]!Nada</definedName>
    <definedName name="Nafta_2">'[90] ASR+Nafta'!$K$19:$AS$19</definedName>
    <definedName name="Nafta2">'[90] ASR+Nafta'!$K$19:$AS$19</definedName>
    <definedName name="Nafta3">'[90]Todos+Nafta'!$K$19:$AS$19</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'PRESUPUESTO OFICIAL (Entidad)'!ERR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#REF!</definedName>
    <definedName name="o9o9" localSheetId="0" hidden="1">{"via1",#N/A,TRUE,"general";"via2",#N/A,TRUE,"general";"via3",#N/A,TRUE,"general"}</definedName>
    <definedName name="o9o9" hidden="1">{"via1",#N/A,TRUE,"general";"via2",#N/A,TRUE,"general";"via3",#N/A,TRUE,"general"}</definedName>
    <definedName name="OBJ">[25]PRESUPUESTO!$C$10</definedName>
    <definedName name="ObjetivoProyecto">#REF!</definedName>
    <definedName name="Obra">#REF!</definedName>
    <definedName name="obras" localSheetId="7" hidden="1">#REF!</definedName>
    <definedName name="obras" localSheetId="0" hidden="1">#REF!</definedName>
    <definedName name="obras" hidden="1">#REF!</definedName>
    <definedName name="obras1">DATE(YEAR([91]!Loan_Start),MONTH([91]!Loan_Start)+Payment_Number,DAY([91]!Loan_Start))</definedName>
    <definedName name="obras11" localSheetId="7" hidden="1">#REF!</definedName>
    <definedName name="obras11" localSheetId="0" hidden="1">#REF!</definedName>
    <definedName name="obras11" hidden="1">#REF!</definedName>
    <definedName name="obras111">DATE(YEAR([92]!Loan_Start),MONTH([92]!Loan_Start)+Payment_Number,DAY([92]!Loan_Start))</definedName>
    <definedName name="OBS_Data_Col" localSheetId="7" hidden="1">#REF!</definedName>
    <definedName name="OBS_Data_Col" hidden="1">#REF!</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ningpb" localSheetId="7" hidden="1">#REF!</definedName>
    <definedName name="Openingpb" hidden="1">#REF!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7" hidden="1">[7]INST!#REF!</definedName>
    <definedName name="OROZCO" localSheetId="0" hidden="1">[7]INST!#REF!</definedName>
    <definedName name="OROZCO" hidden="1">[7]INST!#REF!</definedName>
    <definedName name="otros">[68]otros!$A$6:$A$1235</definedName>
    <definedName name="OTROS1">#REF!</definedName>
    <definedName name="OUT">#REF!</definedName>
    <definedName name="OWNER" localSheetId="7" hidden="1">#REF!</definedName>
    <definedName name="OWNER" hidden="1">#REF!</definedName>
    <definedName name="P">#REF!</definedName>
    <definedName name="p.BS" localSheetId="7" hidden="1">#REF!</definedName>
    <definedName name="p.BS" hidden="1">#REF!</definedName>
    <definedName name="p.BSAssumptions" localSheetId="7" hidden="1">#REF!</definedName>
    <definedName name="p.BSAssumptions" hidden="1">#REF!</definedName>
    <definedName name="p.CapStructure" localSheetId="7" hidden="1">#REF!</definedName>
    <definedName name="p.CapStructure" hidden="1">#REF!</definedName>
    <definedName name="p.CashFlow" localSheetId="7" hidden="1">#REF!</definedName>
    <definedName name="p.CashFlow" hidden="1">#REF!</definedName>
    <definedName name="p.Cover" localSheetId="7" hidden="1">#REF!</definedName>
    <definedName name="p.Cover" hidden="1">#REF!</definedName>
    <definedName name="p.Depreciation" localSheetId="7" hidden="1">#REF!</definedName>
    <definedName name="p.Depreciation" hidden="1">#REF!</definedName>
    <definedName name="p.Executive" localSheetId="7" hidden="1">#REF!</definedName>
    <definedName name="p.Executive" hidden="1">#REF!</definedName>
    <definedName name="p.FactSheet" localSheetId="7" hidden="1">#REF!</definedName>
    <definedName name="p.FactSheet" hidden="1">#REF!</definedName>
    <definedName name="p.IS" localSheetId="7" hidden="1">#REF!</definedName>
    <definedName name="p.IS" hidden="1">#REF!</definedName>
    <definedName name="p.ISAssumptions" localSheetId="7" hidden="1">#REF!</definedName>
    <definedName name="p.ISAssumptions" hidden="1">#REF!</definedName>
    <definedName name="p.OpeningBS" localSheetId="7" hidden="1">#REF!</definedName>
    <definedName name="p.OpeningBS" hidden="1">#REF!</definedName>
    <definedName name="p.TaxCalculation" localSheetId="7" hidden="1">#REF!</definedName>
    <definedName name="p.TaxCalculation" hidden="1">#REF!</definedName>
    <definedName name="P_Yacimiento">#REF!</definedName>
    <definedName name="p0p0" localSheetId="0" hidden="1">{"via1",#N/A,TRUE,"general";"via2",#N/A,TRUE,"general";"via3",#N/A,TRUE,"general"}</definedName>
    <definedName name="p0p0" hidden="1">{"via1",#N/A,TRUE,"general";"via2",#N/A,TRUE,"general";"via3",#N/A,TRUE,"general"}</definedName>
    <definedName name="Page____1____of____2">#REF!</definedName>
    <definedName name="Parametro_Peso">[56]Tablas!$A$1:$A$65536</definedName>
    <definedName name="PASO" hidden="1">{#N/A,#N/A,TRUE,"INGENIERIA";#N/A,#N/A,TRUE,"COMPRAS";#N/A,#N/A,TRUE,"DIRECCION";#N/A,#N/A,TRUE,"RESUMEN"}</definedName>
    <definedName name="PASO_1" hidden="1">{#N/A,#N/A,TRUE,"INGENIERIA";#N/A,#N/A,TRUE,"COMPRAS";#N/A,#N/A,TRUE,"DIRECCION";#N/A,#N/A,TRUE,"RESUMEN"}</definedName>
    <definedName name="PASS" hidden="1">{#N/A,#N/A,TRUE,"INGENIERIA";#N/A,#N/A,TRUE,"COMPRAS";#N/A,#N/A,TRUE,"DIRECCION";#N/A,#N/A,TRUE,"RESUMEN"}</definedName>
    <definedName name="PASS_1"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DATE(YEAR([92]!Loan_Start),MONTH([92]!Loan_Start)+Payment_Number,DAY([92]!Loan_Start))</definedName>
    <definedName name="Payment_Needed">"Pago necesario"</definedName>
    <definedName name="Pb">#REF!</definedName>
    <definedName name="Pd">#REF!</definedName>
    <definedName name="PEPE">'PRESUPUESTO OFICIAL (Entidad)'!ERR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A" localSheetId="7" hidden="1">#REF!</definedName>
    <definedName name="PIA" hidden="1">#REF!</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G" localSheetId="7" hidden="1">#REF!</definedName>
    <definedName name="PLUG" hidden="1">#REF!</definedName>
    <definedName name="PMP">#REF!</definedName>
    <definedName name="POCETAS">#REF!</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localSheetId="0" hidden="1">{"via1",#N/A,TRUE,"general";"via2",#N/A,TRUE,"general";"via3",#N/A,TRUE,"general"}</definedName>
    <definedName name="pouig" hidden="1">{"via1",#N/A,TRUE,"general";"via2",#N/A,TRUE,"general";"via3",#N/A,TRUE,"general"}</definedName>
    <definedName name="POZO">[56]Tablas!$C$1:$C$65536</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localSheetId="0" hidden="1">{"via1",#N/A,TRUE,"general";"via2",#N/A,TRUE,"general";"via3",#N/A,TRUE,"general"}</definedName>
    <definedName name="PRIMER" hidden="1">{"via1",#N/A,TRUE,"general";"via2",#N/A,TRUE,"general";"via3",#N/A,TRUE,"general"}</definedName>
    <definedName name="PRIMERO">'[86]Informe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ntEnd" localSheetId="7" hidden="1">#REF!</definedName>
    <definedName name="PrintEnd" hidden="1">#REF!</definedName>
    <definedName name="PrintStart" localSheetId="7" hidden="1">#REF!</definedName>
    <definedName name="PrintStart" hidden="1">#REF!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'PRESUPUESTO OFICIAL (Entidad)'!ERR</definedName>
    <definedName name="Proponente">#REF!</definedName>
    <definedName name="PRUEBA">[95]!absc</definedName>
    <definedName name="prueba1">[95]!absc</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TTTT_1" hidden="1">{#N/A,#N/A,TRUE,"INGENIERIA";#N/A,#N/A,TRUE,"COMPRAS";#N/A,#N/A,TRUE,"DIRECCION";#N/A,#N/A,TRUE,"RESUMEN"}</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[46]medelo!$B$63</definedName>
    <definedName name="qqqqqw" localSheetId="0" hidden="1">{"via1",#N/A,TRUE,"general";"via2",#N/A,TRUE,"general";"via3",#N/A,TRUE,"general"}</definedName>
    <definedName name="qqqqqw" hidden="1">{"via1",#N/A,TRUE,"general";"via2",#N/A,TRUE,"general";"via3",#N/A,TRUE,"general"}</definedName>
    <definedName name="QS">#REF!</definedName>
    <definedName name="Qt">'[96]ORITO 02 '!$E$9</definedName>
    <definedName name="QTIES">#REF!</definedName>
    <definedName name="QTY">#REF!</definedName>
    <definedName name="qw" localSheetId="7" hidden="1">#REF!</definedName>
    <definedName name="qw" localSheetId="0" hidden="1">{"via1",#N/A,TRUE,"general";"via2",#N/A,TRUE,"general";"via3",#N/A,TRUE,"general"}</definedName>
    <definedName name="qw" hidden="1">#REF!</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'PRESUPUESTO OFICIAL (Entidad)'!ERR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localSheetId="7" hidden="1">#REF!</definedName>
    <definedName name="r.CashFlow" hidden="1">#REF!</definedName>
    <definedName name="r.Leverage" localSheetId="7" hidden="1">#REF!</definedName>
    <definedName name="r.Leverage" hidden="1">#REF!</definedName>
    <definedName name="r.Liquidity" localSheetId="7" hidden="1">#REF!</definedName>
    <definedName name="r.Liquidity" hidden="1">#REF!</definedName>
    <definedName name="r.Market" localSheetId="7" hidden="1">#REF!</definedName>
    <definedName name="r.Market" hidden="1">#REF!</definedName>
    <definedName name="r.Profitability" localSheetId="7" hidden="1">#REF!</definedName>
    <definedName name="r.Profitability" hidden="1">#REF!</definedName>
    <definedName name="r.Summary" localSheetId="7"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'PRESUPUESTO OFICIAL (Entidad)'!ERR</definedName>
    <definedName name="Reimbursement">"Reembolso"</definedName>
    <definedName name="reinicio">'PRESUPUESTO OFICIAL (Entidad)'!ERR</definedName>
    <definedName name="REJHE" localSheetId="0" hidden="1">{"via1",#N/A,TRUE,"general";"via2",#N/A,TRUE,"general";"via3",#N/A,TRUE,"general"}</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[54]Datos!$D$12</definedName>
    <definedName name="Ro">#REF!,#REF!,#REF!</definedName>
    <definedName name="Rows2Unhide" localSheetId="7" hidden="1">#REF!</definedName>
    <definedName name="Rows2Unhide" hidden="1">#REF!</definedName>
    <definedName name="rr">'PRESUPUESTO OFICIAL (Entidad)'!ERR</definedName>
    <definedName name="rrr" localSheetId="0" hidden="1">{"via1",#N/A,TRUE,"general";"via2",#N/A,TRUE,"general";"via3",#N/A,TRUE,"general"}</definedName>
    <definedName name="rrr" hidden="1">{"via1",#N/A,TRUE,"general";"via2",#N/A,TRUE,"general";"via3",#N/A,TRUE,"general"}</definedName>
    <definedName name="rrrr">'[99]Form5 _Pág_ 1'!#REF!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'PRESUPUESTO OFICIAL (Entidad)'!ERR</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'PRESUPUESTO OFICIAL (Entidad)'!ERR</definedName>
    <definedName name="SalConv">'[10]DATOS CONTRATO'!$G$14</definedName>
    <definedName name="SALID1">#REF!</definedName>
    <definedName name="SalMinimo">[35]BASES!$E$41</definedName>
    <definedName name="sbgfbgdr" localSheetId="0" hidden="1">{"via1",#N/A,TRUE,"general";"via2",#N/A,TRUE,"general";"via3",#N/A,TRUE,"general"}</definedName>
    <definedName name="sbgfbgdr" hidden="1">{"via1",#N/A,TRUE,"general";"via2",#N/A,TRUE,"general";"via3",#N/A,TRUE,"general"}</definedName>
    <definedName name="SBS">#REF!</definedName>
    <definedName name="scen_change" localSheetId="7" hidden="1">#REF!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CTOR">#REF!</definedName>
    <definedName name="SEMANA_C3">#REF!</definedName>
    <definedName name="sena">[54]Hoja1!$C$14</definedName>
    <definedName name="sencount" hidden="1">1</definedName>
    <definedName name="SERO">'PRESUPUESTO OFICIAL (Entidad)'!ERR</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[54]Hoja1!$C$12</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'PRESUPUESTO OFICIAL (Entidad)'!ERR</definedName>
    <definedName name="SINGOLO">'[3]7422CW00'!#REF!</definedName>
    <definedName name="SISISIS">'PRESUPUESTO OFICIAL (Entidad)'!ERR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'PRESUPUESTO OFICIAL (Entidad)'!$K$90</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(Entidad)'!$K$102</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(Entidad)'!$K$102</definedName>
    <definedName name="solver_pre" localSheetId="0" hidden="1">0.000001</definedName>
    <definedName name="solver_rel1" localSheetId="0" hidden="1">2</definedName>
    <definedName name="solver_rhs1" localSheetId="0" hidden="1">'PRESUPUESTO OFICIAL (Entidad)'!$K$103</definedName>
    <definedName name="solver_sc¸" hidden="1">0</definedName>
    <definedName name="solver_scl" localSheetId="0" hidden="1">2</definedName>
    <definedName name="solver_sho" localSheetId="0" hidden="1">2</definedName>
    <definedName name="solver_shÞ" hidden="1">0</definedName>
    <definedName name="solver_tim" localSheetId="0" hidden="1">100</definedName>
    <definedName name="solver_tol" localSheetId="0" hidden="1">0.05</definedName>
    <definedName name="solver_toV" hidden="1">0.05</definedName>
    <definedName name="solver_typ" localSheetId="0" hidden="1">3</definedName>
    <definedName name="solver_val" localSheetId="0" hidden="1">63899000000</definedName>
    <definedName name="SOSO" localSheetId="7" hidden="1">#REF!</definedName>
    <definedName name="SOSO" hidden="1">#REF!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MODULO10.auto_abrir</definedName>
    <definedName name="SSSS">'PRESUPUESTO OFICIAL (Entidad)'!ERR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localSheetId="0" hidden="1">{"via1",#N/A,TRUE,"general";"via2",#N/A,TRUE,"general";"via3",#N/A,TRUE,"general"}</definedName>
    <definedName name="stt" hidden="1">{"via1",#N/A,TRUE,"general";"via2",#N/A,TRUE,"general";"via3",#N/A,TRUE,"general"}</definedName>
    <definedName name="Stub" localSheetId="7" hidden="1">#REF!</definedName>
    <definedName name="Stub" hidden="1">#REF!</definedName>
    <definedName name="Stub_Header1" localSheetId="7" hidden="1">#REF!</definedName>
    <definedName name="Stub_Header1" hidden="1">#REF!</definedName>
    <definedName name="Stub_Header2" localSheetId="7" hidden="1">#REF!</definedName>
    <definedName name="Stub_Header2" hidden="1">#REF!</definedName>
    <definedName name="Stub_Header3" localSheetId="7" hidden="1">#REF!</definedName>
    <definedName name="Stub_Header3" hidden="1">#REF!</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upervía" hidden="1">{#N/A,#N/A,TRUE,"0001";#N/A,#N/A,TRUE,"0002";#N/A,#N/A,TRUE,"0003";#N/A,#N/A,TRUE,"0004";#N/A,#N/A,TRUE,"0005";#N/A,#N/A,TRUE,"0006";#N/A,#N/A,TRUE,"0007";#N/A,#N/A,TRUE,"0008";#N/A,#N/A,TRUE,"0009";#N/A,#N/A,TRUE,"0010"}</definedName>
    <definedName name="Supervía_1" hidden="1">{#N/A,#N/A,TRUE,"0001";#N/A,#N/A,TRUE,"0002";#N/A,#N/A,TRUE,"0003";#N/A,#N/A,TRUE,"0004";#N/A,#N/A,TRUE,"0005";#N/A,#N/A,TRUE,"0006";#N/A,#N/A,TRUE,"0007";#N/A,#N/A,TRUE,"0008";#N/A,#N/A,TRUE,"0009";#N/A,#N/A,TRUE,"0010"}</definedName>
    <definedName name="sw">'PRESUPUESTO OFICIAL (Entidad)'!ERR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axpb" localSheetId="7" hidden="1">#REF!</definedName>
    <definedName name="Taxpb" hidden="1">#REF!</definedName>
    <definedName name="TB_EVENTOS_OTS_ANUAL">#REF!</definedName>
    <definedName name="t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'PRESUPUESTO OFICIAL (Entidad)'!ERR</definedName>
    <definedName name="TERM">'PRESUPUESTO OFICIAL (Entidad)'!ERR</definedName>
    <definedName name="TÉRMINOS">'PRESUPUESTO OFICIAL (Entidad)'!ERR</definedName>
    <definedName name="TERR">[25]PRESUPUESTO!$I$7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lepb" localSheetId="7" hidden="1">#REF!</definedName>
    <definedName name="Titlepb" hidden="1">#REF!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localSheetId="7" hidden="1">[22]INST!#REF!</definedName>
    <definedName name="TK_1" localSheetId="0" hidden="1">[22]INST!#REF!</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I_1" hidden="1">{#N/A,#N/A,TRUE,"INGENIERIA";#N/A,#N/A,TRUE,"COMPRAS";#N/A,#N/A,TRUE,"DIRECCION";#N/A,#N/A,TRUE,"RESUMEN"}</definedName>
    <definedName name="Transporte">'[10]DATOS CONTRATO'!$E$16</definedName>
    <definedName name="TRANSPORTE_1" hidden="1">{#N/A,#N/A,TRUE,"INGENIERIA";#N/A,#N/A,TRUE,"COMPRAS";#N/A,#N/A,TRUE,"DIRECCION";#N/A,#N/A,TRUE,"RESUMEN"}</definedName>
    <definedName name="TRAT">[104]desmonte!$E$48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M">[105]Tablas!$B$2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ERIA" localSheetId="7" hidden="1">#REF!</definedName>
    <definedName name="TUBERIA" localSheetId="0" hidden="1">#REF!</definedName>
    <definedName name="TUBERIA" hidden="1">#REF!</definedName>
    <definedName name="Tubería">#REF!</definedName>
    <definedName name="TUBERIA1" localSheetId="7" hidden="1">#REF!</definedName>
    <definedName name="TUBERIA1" localSheetId="0" hidden="1">#REF!</definedName>
    <definedName name="TUBERIA1" hidden="1">#REF!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[12]Tablas!#REF!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localSheetId="7" hidden="1">[18]INST!#REF!</definedName>
    <definedName name="unj" localSheetId="0" hidden="1">[18]INST!#REF!</definedName>
    <definedName name="unj" hidden="1">[18]INST!#REF!</definedName>
    <definedName name="uno">'PRESUPUESTO OFICIAL (Entidad)'!ERR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'PRESUPUESTO OFICIAL (Entidad)'!ERR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'[77]1'!$N$42</definedName>
    <definedName name="UTL">[25]otros!$C$4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 localSheetId="7" hidden="1">#REF!</definedName>
    <definedName name="uuuu" hidden="1">#REF!</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0" hidden="1">{"via1",#N/A,TRUE,"general";"via2",#N/A,TRUE,"general";"via3",#N/A,TRUE,"general"}</definedName>
    <definedName name="vfbgnhyt" hidden="1">{"via1",#N/A,TRUE,"general";"via2",#N/A,TRUE,"general";"via3",#N/A,TRUE,"general"}</definedName>
    <definedName name="vfh">'[74]7422CW00'!#REF!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7" hidden="1">#REF!</definedName>
    <definedName name="VIA" localSheetId="0">#REF!</definedName>
    <definedName name="VIA" hidden="1">#REF!</definedName>
    <definedName name="via_1" hidden="1">{"via1",#N/A,TRUE,"general";"via2",#N/A,TRUE,"general";"via3",#N/A,TRUE,"general"}</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'[37]Res-Accide-10'!#REF!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_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_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tructuring._.Summaries." hidden="1">{#N/A,#N/A,TRUE,"Transaction Summary";#N/A,#N/A,TRUE,"Restructuring Sensitivities";#N/A,#N/A,TRUE,"DCF";#N/A,#N/A,TRUE,"IRR";#N/A,#N/A,TRUE,"Debt Capacity"}</definedName>
    <definedName name="wrn.Restructuring._.Summaries._1" hidden="1">{#N/A,#N/A,TRUE,"Transaction Summary";#N/A,#N/A,TRUE,"Restructuring Sensitivities";#N/A,#N/A,TRUE,"DCF";#N/A,#N/A,TRUE,"IRR";#N/A,#N/A,TRUE,"Debt Capacity"}</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n.via._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hidden="1">{"via1",#N/A,TRUE,"general";"via2",#N/A,TRUE,"general";"via3",#N/A,TRUE,"general"}</definedName>
    <definedName name="XXXX" localSheetId="7" hidden="1">#REF!</definedName>
    <definedName name="XXXX" localSheetId="0" hidden="1">#REF!</definedName>
    <definedName name="XXXX" hidden="1">#REF!</definedName>
    <definedName name="xxxxx">[110]!absc</definedName>
    <definedName name="XXXXX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_1" hidden="1">{#N/A,#N/A,TRUE,"INGENIERIA";#N/A,#N/A,TRUE,"COMPRAS";#N/A,#N/A,TRUE,"DIRECCION";#N/A,#N/A,TRUE,"RESUMEN"}</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yz" localSheetId="7" hidden="1">#REF!</definedName>
    <definedName name="xyz" hidden="1">#REF!</definedName>
    <definedName name="XZS" localSheetId="7" hidden="1">#REF!</definedName>
    <definedName name="XZS" localSheetId="0" hidden="1">#REF!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[26]!absc</definedName>
    <definedName name="y"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'[111]AISLAMIENTO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yyyyyy" localSheetId="7" hidden="1">#REF!</definedName>
    <definedName name="yyyyyy" hidden="1">#REF!</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'PRESUPUESTO OFICIAL (Entidad)'!ERR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4" i="12" l="1"/>
  <c r="C85" i="12"/>
  <c r="C81" i="12"/>
  <c r="C78" i="12"/>
  <c r="C74" i="12"/>
  <c r="C66" i="12"/>
  <c r="C59" i="12"/>
  <c r="C53" i="12"/>
  <c r="C50" i="12"/>
  <c r="C45" i="12"/>
  <c r="C40" i="12"/>
  <c r="C32" i="12"/>
  <c r="C25" i="12"/>
  <c r="C22" i="12"/>
  <c r="C17" i="12"/>
  <c r="C13" i="12"/>
  <c r="J86" i="12"/>
  <c r="K86" i="12" s="1"/>
  <c r="K87" i="12" s="1"/>
  <c r="J83" i="12"/>
  <c r="K83" i="12" s="1"/>
  <c r="J82" i="12"/>
  <c r="K82" i="12" s="1"/>
  <c r="K84" i="12" s="1"/>
  <c r="J79" i="12"/>
  <c r="K79" i="12" s="1"/>
  <c r="K80" i="12" s="1"/>
  <c r="J76" i="12"/>
  <c r="K76" i="12" s="1"/>
  <c r="J75" i="12"/>
  <c r="K75" i="12" s="1"/>
  <c r="K77" i="12" s="1"/>
  <c r="J68" i="12"/>
  <c r="J69" i="12"/>
  <c r="K69" i="12" s="1"/>
  <c r="J70" i="12"/>
  <c r="K70" i="12" s="1"/>
  <c r="J71" i="12"/>
  <c r="K71" i="12" s="1"/>
  <c r="J72" i="12"/>
  <c r="K72" i="12" s="1"/>
  <c r="J67" i="12"/>
  <c r="K67" i="12" s="1"/>
  <c r="K64" i="12"/>
  <c r="K60" i="12"/>
  <c r="J61" i="12"/>
  <c r="K61" i="12" s="1"/>
  <c r="J62" i="12"/>
  <c r="K62" i="12" s="1"/>
  <c r="J63" i="12"/>
  <c r="K63" i="12" s="1"/>
  <c r="J64" i="12"/>
  <c r="J60" i="12"/>
  <c r="J55" i="12"/>
  <c r="K55" i="12" s="1"/>
  <c r="J56" i="12"/>
  <c r="J57" i="12"/>
  <c r="J54" i="12"/>
  <c r="K54" i="12" s="1"/>
  <c r="J51" i="12"/>
  <c r="K51" i="12" s="1"/>
  <c r="K52" i="12" s="1"/>
  <c r="J47" i="12"/>
  <c r="J48" i="12"/>
  <c r="K48" i="12" s="1"/>
  <c r="J46" i="12"/>
  <c r="K46" i="12" s="1"/>
  <c r="K49" i="12" s="1"/>
  <c r="J42" i="12"/>
  <c r="K42" i="12" s="1"/>
  <c r="J43" i="12"/>
  <c r="J41" i="12"/>
  <c r="J34" i="12"/>
  <c r="K34" i="12" s="1"/>
  <c r="J35" i="12"/>
  <c r="K35" i="12" s="1"/>
  <c r="J36" i="12"/>
  <c r="K36" i="12" s="1"/>
  <c r="J37" i="12"/>
  <c r="J38" i="12"/>
  <c r="J33" i="12"/>
  <c r="K33" i="12" s="1"/>
  <c r="J27" i="12"/>
  <c r="J28" i="12"/>
  <c r="K28" i="12" s="1"/>
  <c r="J29" i="12"/>
  <c r="K29" i="12" s="1"/>
  <c r="J30" i="12"/>
  <c r="K30" i="12" s="1"/>
  <c r="J26" i="12"/>
  <c r="K26" i="12" s="1"/>
  <c r="K31" i="12" s="1"/>
  <c r="J23" i="12"/>
  <c r="K23" i="12" s="1"/>
  <c r="K24" i="12" s="1"/>
  <c r="J19" i="12"/>
  <c r="K19" i="12" s="1"/>
  <c r="J20" i="12"/>
  <c r="K20" i="12" s="1"/>
  <c r="J18" i="12"/>
  <c r="K18" i="12" s="1"/>
  <c r="K21" i="12" s="1"/>
  <c r="J6" i="1"/>
  <c r="J10" i="1"/>
  <c r="J12" i="1"/>
  <c r="J18" i="1"/>
  <c r="J25" i="1"/>
  <c r="J29" i="1"/>
  <c r="J33" i="1"/>
  <c r="J35" i="1"/>
  <c r="J40" i="1"/>
  <c r="J46" i="1"/>
  <c r="J53" i="1"/>
  <c r="J56" i="1"/>
  <c r="J58" i="1"/>
  <c r="J61" i="1"/>
  <c r="J15" i="12"/>
  <c r="I86" i="12"/>
  <c r="I83" i="12"/>
  <c r="I82" i="12"/>
  <c r="I79" i="12"/>
  <c r="I76" i="12"/>
  <c r="I75" i="12"/>
  <c r="I68" i="12"/>
  <c r="K68" i="12" s="1"/>
  <c r="I69" i="12"/>
  <c r="I70" i="12"/>
  <c r="I71" i="12"/>
  <c r="I72" i="12"/>
  <c r="I67" i="12"/>
  <c r="I61" i="12"/>
  <c r="I62" i="12"/>
  <c r="I63" i="12"/>
  <c r="I60" i="12"/>
  <c r="I55" i="12"/>
  <c r="I56" i="12"/>
  <c r="K56" i="12" s="1"/>
  <c r="I57" i="12"/>
  <c r="K57" i="12" s="1"/>
  <c r="I54" i="12"/>
  <c r="I51" i="12"/>
  <c r="H47" i="12"/>
  <c r="I47" i="12"/>
  <c r="K47" i="12" s="1"/>
  <c r="H48" i="12"/>
  <c r="I48" i="12"/>
  <c r="I46" i="12"/>
  <c r="I42" i="12"/>
  <c r="I43" i="12"/>
  <c r="K43" i="12" s="1"/>
  <c r="I41" i="12"/>
  <c r="K41" i="12" s="1"/>
  <c r="K44" i="12" s="1"/>
  <c r="I34" i="12"/>
  <c r="I35" i="12"/>
  <c r="I36" i="12"/>
  <c r="I37" i="12"/>
  <c r="K37" i="12" s="1"/>
  <c r="I38" i="12"/>
  <c r="K38" i="12" s="1"/>
  <c r="I33" i="12"/>
  <c r="I27" i="12"/>
  <c r="K27" i="12" s="1"/>
  <c r="I28" i="12"/>
  <c r="I29" i="12"/>
  <c r="I30" i="12"/>
  <c r="H27" i="12"/>
  <c r="H28" i="12"/>
  <c r="H29" i="12"/>
  <c r="H30" i="12"/>
  <c r="I26" i="12"/>
  <c r="I23" i="12"/>
  <c r="I19" i="12"/>
  <c r="I20" i="12"/>
  <c r="H19" i="12"/>
  <c r="H20" i="12"/>
  <c r="I18" i="12"/>
  <c r="H86" i="12"/>
  <c r="H83" i="12"/>
  <c r="H82" i="12"/>
  <c r="H79" i="12"/>
  <c r="H76" i="12"/>
  <c r="H75" i="12"/>
  <c r="H68" i="12"/>
  <c r="H69" i="12"/>
  <c r="H70" i="12"/>
  <c r="H71" i="12"/>
  <c r="H72" i="12"/>
  <c r="H67" i="12"/>
  <c r="H61" i="12"/>
  <c r="H62" i="12"/>
  <c r="H63" i="12"/>
  <c r="H64" i="12"/>
  <c r="H60" i="12"/>
  <c r="G55" i="12"/>
  <c r="H55" i="12"/>
  <c r="G56" i="12"/>
  <c r="H56" i="12"/>
  <c r="G57" i="12"/>
  <c r="H57" i="12"/>
  <c r="H54" i="12"/>
  <c r="H51" i="12"/>
  <c r="H46" i="12"/>
  <c r="H42" i="12"/>
  <c r="H43" i="12"/>
  <c r="G42" i="12"/>
  <c r="G43" i="12"/>
  <c r="H41" i="12"/>
  <c r="H34" i="12"/>
  <c r="H35" i="12"/>
  <c r="H36" i="12"/>
  <c r="H37" i="12"/>
  <c r="H38" i="12"/>
  <c r="H33" i="12"/>
  <c r="H26" i="12"/>
  <c r="H23" i="12"/>
  <c r="H18" i="12"/>
  <c r="G86" i="12"/>
  <c r="G83" i="12"/>
  <c r="G82" i="12"/>
  <c r="G79" i="12"/>
  <c r="G76" i="12"/>
  <c r="G75" i="12"/>
  <c r="G68" i="12"/>
  <c r="G69" i="12"/>
  <c r="G70" i="12"/>
  <c r="G71" i="12"/>
  <c r="G72" i="12"/>
  <c r="G67" i="12"/>
  <c r="G61" i="12"/>
  <c r="G62" i="12"/>
  <c r="G63" i="12"/>
  <c r="G64" i="12"/>
  <c r="G60" i="12"/>
  <c r="G54" i="12"/>
  <c r="G51" i="12"/>
  <c r="G47" i="12"/>
  <c r="G48" i="12"/>
  <c r="G46" i="12"/>
  <c r="G41" i="12"/>
  <c r="G34" i="12"/>
  <c r="G35" i="12"/>
  <c r="G36" i="12"/>
  <c r="G37" i="12"/>
  <c r="G38" i="12"/>
  <c r="G33" i="12"/>
  <c r="G27" i="12"/>
  <c r="G28" i="12"/>
  <c r="G29" i="12"/>
  <c r="G30" i="12"/>
  <c r="G26" i="12"/>
  <c r="G23" i="12"/>
  <c r="G19" i="12"/>
  <c r="G20" i="12"/>
  <c r="G18" i="12"/>
  <c r="D86" i="12"/>
  <c r="D83" i="12"/>
  <c r="D82" i="12"/>
  <c r="D79" i="12"/>
  <c r="D76" i="12"/>
  <c r="D75" i="12"/>
  <c r="D68" i="12"/>
  <c r="D69" i="12"/>
  <c r="D70" i="12"/>
  <c r="D71" i="12"/>
  <c r="D72" i="12"/>
  <c r="D67" i="12"/>
  <c r="D61" i="12"/>
  <c r="D62" i="12"/>
  <c r="D63" i="12"/>
  <c r="D64" i="12"/>
  <c r="D60" i="12"/>
  <c r="D55" i="12"/>
  <c r="D56" i="12"/>
  <c r="D57" i="12"/>
  <c r="D54" i="12"/>
  <c r="D51" i="12"/>
  <c r="D47" i="12"/>
  <c r="D48" i="12"/>
  <c r="D46" i="12"/>
  <c r="D42" i="12"/>
  <c r="D43" i="12"/>
  <c r="D41" i="12"/>
  <c r="D34" i="12"/>
  <c r="D35" i="12"/>
  <c r="D36" i="12"/>
  <c r="D37" i="12"/>
  <c r="D38" i="12"/>
  <c r="D33" i="12"/>
  <c r="D27" i="12"/>
  <c r="D28" i="12"/>
  <c r="D29" i="12"/>
  <c r="D30" i="12"/>
  <c r="D26" i="12"/>
  <c r="D23" i="12"/>
  <c r="D19" i="12"/>
  <c r="D20" i="12"/>
  <c r="D18" i="12"/>
  <c r="K58" i="12" l="1"/>
  <c r="K39" i="12"/>
  <c r="K73" i="12"/>
  <c r="K65" i="12"/>
  <c r="J14" i="12"/>
  <c r="I15" i="12"/>
  <c r="K15" i="12" s="1"/>
  <c r="I14" i="12"/>
  <c r="H15" i="12"/>
  <c r="H14" i="12"/>
  <c r="G15" i="12"/>
  <c r="G14" i="12"/>
  <c r="D15" i="12"/>
  <c r="D14" i="12"/>
  <c r="K14" i="12" l="1"/>
  <c r="K16" i="12" s="1"/>
  <c r="K88" i="12" s="1"/>
  <c r="K93" i="12" s="1"/>
  <c r="K97" i="12" s="1"/>
  <c r="H4" i="1"/>
  <c r="J4" i="1" s="1"/>
  <c r="H45" i="1" l="1"/>
  <c r="J45" i="1" s="1"/>
  <c r="H62" i="1"/>
  <c r="J62" i="1" s="1"/>
  <c r="H9" i="1"/>
  <c r="J9" i="1" s="1"/>
  <c r="H60" i="1"/>
  <c r="J60" i="1" s="1"/>
  <c r="H59" i="1"/>
  <c r="J59" i="1" s="1"/>
  <c r="H57" i="1"/>
  <c r="J57" i="1" s="1"/>
  <c r="H55" i="1"/>
  <c r="J55" i="1" s="1"/>
  <c r="H54" i="1"/>
  <c r="J54" i="1" s="1"/>
  <c r="I11" i="1" l="1"/>
  <c r="Y11" i="1" s="1"/>
  <c r="O30" i="11"/>
  <c r="O29" i="11"/>
  <c r="F30" i="11"/>
  <c r="F29" i="11"/>
  <c r="I28" i="1"/>
  <c r="H28" i="1"/>
  <c r="J28" i="1" s="1"/>
  <c r="O28" i="11"/>
  <c r="P28" i="11" s="1"/>
  <c r="F28" i="11"/>
  <c r="I13" i="1"/>
  <c r="W13" i="1" s="1"/>
  <c r="I14" i="1"/>
  <c r="Q14" i="1" s="1"/>
  <c r="I15" i="1"/>
  <c r="Y15" i="1" s="1"/>
  <c r="I16" i="1"/>
  <c r="W16" i="1" s="1"/>
  <c r="I17" i="1"/>
  <c r="Q17" i="1" s="1"/>
  <c r="I19" i="1"/>
  <c r="Y19" i="1" s="1"/>
  <c r="I20" i="1"/>
  <c r="Y20" i="1" s="1"/>
  <c r="I21" i="1"/>
  <c r="Y21" i="1" s="1"/>
  <c r="I22" i="1"/>
  <c r="W22" i="1" s="1"/>
  <c r="I23" i="1"/>
  <c r="W23" i="1" s="1"/>
  <c r="I24" i="1"/>
  <c r="S24" i="1" s="1"/>
  <c r="I26" i="1"/>
  <c r="Y26" i="1" s="1"/>
  <c r="I27" i="1"/>
  <c r="Y27" i="1" s="1"/>
  <c r="I30" i="1"/>
  <c r="U30" i="1" s="1"/>
  <c r="I31" i="1"/>
  <c r="W31" i="1" s="1"/>
  <c r="I32" i="1"/>
  <c r="W32" i="1" s="1"/>
  <c r="I34" i="1"/>
  <c r="Y34" i="1" s="1"/>
  <c r="I36" i="1"/>
  <c r="U36" i="1" s="1"/>
  <c r="I37" i="1"/>
  <c r="Q37" i="1" s="1"/>
  <c r="I38" i="1"/>
  <c r="Y38" i="1" s="1"/>
  <c r="I39" i="1"/>
  <c r="W39" i="1" s="1"/>
  <c r="I41" i="1"/>
  <c r="U41" i="1" s="1"/>
  <c r="I42" i="1"/>
  <c r="W42" i="1" s="1"/>
  <c r="I43" i="1"/>
  <c r="Y43" i="1" s="1"/>
  <c r="I44" i="1"/>
  <c r="Y44" i="1" s="1"/>
  <c r="I47" i="1"/>
  <c r="I48" i="1"/>
  <c r="W48" i="1" s="1"/>
  <c r="I49" i="1"/>
  <c r="W49" i="1" s="1"/>
  <c r="I50" i="1"/>
  <c r="U50" i="1" s="1"/>
  <c r="I51" i="1"/>
  <c r="S51" i="1" s="1"/>
  <c r="I52" i="1"/>
  <c r="Q52" i="1" s="1"/>
  <c r="I7" i="1"/>
  <c r="W7" i="1" s="1"/>
  <c r="I8" i="1"/>
  <c r="Y8" i="1" s="1"/>
  <c r="I4" i="1"/>
  <c r="Y4" i="1" s="1"/>
  <c r="I5" i="1"/>
  <c r="Y5" i="1" s="1"/>
  <c r="Y65" i="1"/>
  <c r="W65" i="1"/>
  <c r="U65" i="1"/>
  <c r="S65" i="1"/>
  <c r="S34" i="11"/>
  <c r="R34" i="11"/>
  <c r="S27" i="11"/>
  <c r="O27" i="11"/>
  <c r="R27" i="11" s="1"/>
  <c r="F27" i="11"/>
  <c r="S26" i="11"/>
  <c r="O26" i="11"/>
  <c r="F26" i="11"/>
  <c r="S25" i="11"/>
  <c r="O25" i="11"/>
  <c r="F25" i="11"/>
  <c r="O24" i="11"/>
  <c r="R24" i="11" s="1"/>
  <c r="F24" i="11"/>
  <c r="O23" i="11"/>
  <c r="F23" i="11"/>
  <c r="O21" i="11"/>
  <c r="R21" i="11" s="1"/>
  <c r="N20" i="11"/>
  <c r="O20" i="11" s="1"/>
  <c r="O19" i="11"/>
  <c r="R19" i="11" s="1"/>
  <c r="O18" i="11"/>
  <c r="R18" i="11" s="1"/>
  <c r="F18" i="11"/>
  <c r="S17" i="11"/>
  <c r="K17" i="11"/>
  <c r="O17" i="11" s="1"/>
  <c r="F17" i="11"/>
  <c r="S16" i="11"/>
  <c r="K16" i="11"/>
  <c r="O16" i="11" s="1"/>
  <c r="F16" i="11"/>
  <c r="S15" i="11"/>
  <c r="K15" i="11"/>
  <c r="O15" i="11" s="1"/>
  <c r="F15" i="11"/>
  <c r="S14" i="11"/>
  <c r="K14" i="11"/>
  <c r="O14" i="11" s="1"/>
  <c r="F14" i="11"/>
  <c r="Q65" i="1"/>
  <c r="S29" i="10"/>
  <c r="R29" i="10"/>
  <c r="S28" i="10"/>
  <c r="S27" i="10"/>
  <c r="K27" i="10"/>
  <c r="O27" i="10" s="1"/>
  <c r="R27" i="10" s="1"/>
  <c r="S26" i="10"/>
  <c r="R26" i="10"/>
  <c r="S25" i="10"/>
  <c r="K25" i="10"/>
  <c r="O25" i="10" s="1"/>
  <c r="S24" i="10"/>
  <c r="R24" i="10"/>
  <c r="F24" i="10"/>
  <c r="S23" i="10"/>
  <c r="K22" i="10"/>
  <c r="O22" i="10" s="1"/>
  <c r="R22" i="10" s="1"/>
  <c r="R21" i="10"/>
  <c r="S20" i="10"/>
  <c r="K20" i="10"/>
  <c r="O20" i="10" s="1"/>
  <c r="S19" i="10"/>
  <c r="R19" i="10"/>
  <c r="F19" i="10"/>
  <c r="S18" i="10"/>
  <c r="S17" i="10"/>
  <c r="K17" i="10"/>
  <c r="O17" i="10" s="1"/>
  <c r="R17" i="10" s="1"/>
  <c r="R16" i="10"/>
  <c r="S15" i="10"/>
  <c r="K15" i="10"/>
  <c r="O15" i="10" s="1"/>
  <c r="R15" i="10" s="1"/>
  <c r="S14" i="10"/>
  <c r="R14" i="10"/>
  <c r="F14" i="10"/>
  <c r="R32" i="9"/>
  <c r="S32" i="9"/>
  <c r="S33" i="9"/>
  <c r="R34" i="9"/>
  <c r="S34" i="9"/>
  <c r="S35" i="9"/>
  <c r="S36" i="9"/>
  <c r="R37" i="9"/>
  <c r="S37" i="9"/>
  <c r="K35" i="9"/>
  <c r="O35" i="9" s="1"/>
  <c r="R35" i="9" s="1"/>
  <c r="K33" i="9"/>
  <c r="O33" i="9" s="1"/>
  <c r="R33" i="9" s="1"/>
  <c r="F32" i="9"/>
  <c r="S15" i="9"/>
  <c r="S16" i="9"/>
  <c r="R17" i="9"/>
  <c r="S17" i="9"/>
  <c r="S18" i="9"/>
  <c r="R19" i="9"/>
  <c r="S20" i="9"/>
  <c r="S21" i="9"/>
  <c r="R22" i="9"/>
  <c r="S22" i="9"/>
  <c r="S23" i="9"/>
  <c r="R24" i="9"/>
  <c r="S25" i="9"/>
  <c r="S26" i="9"/>
  <c r="R27" i="9"/>
  <c r="S27" i="9"/>
  <c r="S28" i="9"/>
  <c r="R29" i="9"/>
  <c r="S31" i="9"/>
  <c r="F27" i="9"/>
  <c r="K30" i="9"/>
  <c r="O30" i="9" s="1"/>
  <c r="R30" i="9" s="1"/>
  <c r="K28" i="9"/>
  <c r="O28" i="9" s="1"/>
  <c r="R28" i="9" s="1"/>
  <c r="K25" i="9"/>
  <c r="O25" i="9" s="1"/>
  <c r="R25" i="9" s="1"/>
  <c r="K23" i="9"/>
  <c r="O23" i="9" s="1"/>
  <c r="R23" i="9" s="1"/>
  <c r="F22" i="9"/>
  <c r="K15" i="9"/>
  <c r="O15" i="9" s="1"/>
  <c r="R15" i="9" s="1"/>
  <c r="K20" i="9"/>
  <c r="O20" i="9" s="1"/>
  <c r="R20" i="9" s="1"/>
  <c r="K18" i="9"/>
  <c r="O18" i="9" s="1"/>
  <c r="R18" i="9" s="1"/>
  <c r="F17" i="9"/>
  <c r="K14" i="9"/>
  <c r="O14" i="9" s="1"/>
  <c r="F14" i="9"/>
  <c r="S45" i="8"/>
  <c r="R46" i="8"/>
  <c r="S46" i="8"/>
  <c r="K45" i="8"/>
  <c r="O45" i="8" s="1"/>
  <c r="T34" i="1" s="1"/>
  <c r="F45" i="8"/>
  <c r="S15" i="8"/>
  <c r="S16" i="8"/>
  <c r="S17" i="8"/>
  <c r="S18" i="8"/>
  <c r="R19" i="8"/>
  <c r="S19" i="8"/>
  <c r="S20" i="8"/>
  <c r="S21" i="8"/>
  <c r="S22" i="8"/>
  <c r="S23" i="8"/>
  <c r="R24" i="8"/>
  <c r="S24" i="8"/>
  <c r="S31" i="8"/>
  <c r="S32" i="8"/>
  <c r="S33" i="8"/>
  <c r="S34" i="8"/>
  <c r="S42" i="8"/>
  <c r="S43" i="8"/>
  <c r="S44" i="8"/>
  <c r="F40" i="8"/>
  <c r="K28" i="8"/>
  <c r="O28" i="8" s="1"/>
  <c r="R28" i="8" s="1"/>
  <c r="K27" i="8"/>
  <c r="O27" i="8" s="1"/>
  <c r="R27" i="8" s="1"/>
  <c r="K26" i="8"/>
  <c r="O26" i="8" s="1"/>
  <c r="R26" i="8" s="1"/>
  <c r="K25" i="8"/>
  <c r="O25" i="8" s="1"/>
  <c r="R25" i="8" s="1"/>
  <c r="F30" i="8"/>
  <c r="K17" i="8"/>
  <c r="O17" i="8" s="1"/>
  <c r="R17" i="8" s="1"/>
  <c r="K16" i="8"/>
  <c r="O16" i="8" s="1"/>
  <c r="R16" i="8" s="1"/>
  <c r="F14" i="8"/>
  <c r="O44" i="8"/>
  <c r="P44" i="8" s="1"/>
  <c r="S40" i="8" s="1"/>
  <c r="F44" i="8"/>
  <c r="O43" i="8"/>
  <c r="R43" i="8" s="1"/>
  <c r="F43" i="8"/>
  <c r="O42" i="8"/>
  <c r="R42" i="8" s="1"/>
  <c r="F42" i="8"/>
  <c r="O41" i="8"/>
  <c r="R41" i="8" s="1"/>
  <c r="F41" i="8"/>
  <c r="O40" i="8"/>
  <c r="T24" i="1" s="1"/>
  <c r="O38" i="8"/>
  <c r="R38" i="8" s="1"/>
  <c r="N37" i="8"/>
  <c r="O37" i="8" s="1"/>
  <c r="R37" i="8" s="1"/>
  <c r="O36" i="8"/>
  <c r="R36" i="8" s="1"/>
  <c r="O35" i="8"/>
  <c r="R35" i="8" s="1"/>
  <c r="F35" i="8"/>
  <c r="K34" i="8"/>
  <c r="O34" i="8" s="1"/>
  <c r="R34" i="8" s="1"/>
  <c r="F34" i="8"/>
  <c r="K33" i="8"/>
  <c r="O33" i="8" s="1"/>
  <c r="R33" i="8" s="1"/>
  <c r="F33" i="8"/>
  <c r="K32" i="8"/>
  <c r="O32" i="8" s="1"/>
  <c r="R32" i="8" s="1"/>
  <c r="F32" i="8"/>
  <c r="K31" i="8"/>
  <c r="O31" i="8" s="1"/>
  <c r="R31" i="8" s="1"/>
  <c r="F31" i="8"/>
  <c r="O30" i="8"/>
  <c r="R30" i="8" s="1"/>
  <c r="K23" i="8"/>
  <c r="O23" i="8" s="1"/>
  <c r="R23" i="8" s="1"/>
  <c r="K22" i="8"/>
  <c r="O22" i="8" s="1"/>
  <c r="R22" i="8" s="1"/>
  <c r="K21" i="8"/>
  <c r="O21" i="8" s="1"/>
  <c r="R21" i="8" s="1"/>
  <c r="K20" i="8"/>
  <c r="O20" i="8" s="1"/>
  <c r="R20" i="8" s="1"/>
  <c r="F19" i="8"/>
  <c r="K15" i="8"/>
  <c r="O15" i="8" s="1"/>
  <c r="R15" i="8" s="1"/>
  <c r="K14" i="8"/>
  <c r="O14" i="8" s="1"/>
  <c r="S89" i="6"/>
  <c r="R90" i="6"/>
  <c r="S90" i="6"/>
  <c r="S15" i="6"/>
  <c r="S16" i="6"/>
  <c r="R17" i="6"/>
  <c r="S17" i="6"/>
  <c r="S18" i="6"/>
  <c r="S19" i="6"/>
  <c r="S20" i="6"/>
  <c r="S22" i="6"/>
  <c r="S23" i="6"/>
  <c r="R24" i="6"/>
  <c r="S24" i="6"/>
  <c r="S25" i="6"/>
  <c r="S27" i="6"/>
  <c r="S28" i="6"/>
  <c r="R29" i="6"/>
  <c r="S29" i="6"/>
  <c r="S30" i="6"/>
  <c r="S31" i="6"/>
  <c r="S32" i="6"/>
  <c r="S38" i="6"/>
  <c r="S39" i="6"/>
  <c r="R40" i="6"/>
  <c r="S40" i="6"/>
  <c r="S41" i="6"/>
  <c r="S42" i="6"/>
  <c r="S43" i="6"/>
  <c r="S50" i="6"/>
  <c r="S51" i="6"/>
  <c r="S52" i="6"/>
  <c r="S53" i="6"/>
  <c r="R58" i="6"/>
  <c r="S60" i="6"/>
  <c r="S61" i="6"/>
  <c r="S62" i="6"/>
  <c r="S63" i="6"/>
  <c r="S69" i="6"/>
  <c r="S70" i="6"/>
  <c r="S71" i="6"/>
  <c r="S72" i="6"/>
  <c r="S73" i="6"/>
  <c r="S78" i="6"/>
  <c r="S79" i="6"/>
  <c r="R80" i="6"/>
  <c r="S81" i="6"/>
  <c r="S82" i="6"/>
  <c r="R83" i="6"/>
  <c r="S83" i="6"/>
  <c r="R84" i="6"/>
  <c r="O89" i="6"/>
  <c r="R89" i="6" s="1"/>
  <c r="F89" i="6"/>
  <c r="F88" i="6"/>
  <c r="K88" i="6"/>
  <c r="O88" i="6" s="1"/>
  <c r="R52" i="1" s="1"/>
  <c r="K75" i="6"/>
  <c r="O75" i="6" s="1"/>
  <c r="R75" i="6" s="1"/>
  <c r="F87" i="6"/>
  <c r="K87" i="6"/>
  <c r="O87" i="6" s="1"/>
  <c r="P87" i="6" s="1"/>
  <c r="S85" i="6" s="1"/>
  <c r="K85" i="6"/>
  <c r="O85" i="6" s="1"/>
  <c r="R85" i="6" s="1"/>
  <c r="F80" i="6"/>
  <c r="F83" i="6"/>
  <c r="K81" i="6"/>
  <c r="F79" i="6"/>
  <c r="O79" i="6"/>
  <c r="R79" i="6" s="1"/>
  <c r="O78" i="6"/>
  <c r="R78" i="6" s="1"/>
  <c r="F78" i="6"/>
  <c r="K15" i="6"/>
  <c r="O15" i="6" s="1"/>
  <c r="R15" i="6" s="1"/>
  <c r="O22" i="6"/>
  <c r="R22" i="6" s="1"/>
  <c r="K34" i="6"/>
  <c r="O34" i="6" s="1"/>
  <c r="R34" i="6" s="1"/>
  <c r="O77" i="6"/>
  <c r="R77" i="6" s="1"/>
  <c r="F77" i="6"/>
  <c r="K74" i="6"/>
  <c r="O74" i="6" s="1"/>
  <c r="R74" i="6" s="1"/>
  <c r="K73" i="6"/>
  <c r="O73" i="6" s="1"/>
  <c r="R73" i="6" s="1"/>
  <c r="K72" i="6"/>
  <c r="O72" i="6" s="1"/>
  <c r="R72" i="6" s="1"/>
  <c r="K71" i="6"/>
  <c r="O71" i="6" s="1"/>
  <c r="R71" i="6" s="1"/>
  <c r="F71" i="6"/>
  <c r="K45" i="6"/>
  <c r="O45" i="6" s="1"/>
  <c r="R45" i="6" s="1"/>
  <c r="K44" i="6"/>
  <c r="O44" i="6" s="1"/>
  <c r="R44" i="6" s="1"/>
  <c r="O70" i="6"/>
  <c r="R70" i="6" s="1"/>
  <c r="F70" i="6"/>
  <c r="F69" i="6"/>
  <c r="K69" i="6"/>
  <c r="O69" i="6" s="1"/>
  <c r="R69" i="6" s="1"/>
  <c r="K68" i="6"/>
  <c r="O68" i="6" s="1"/>
  <c r="R68" i="6" s="1"/>
  <c r="F68" i="6"/>
  <c r="O67" i="6"/>
  <c r="R67" i="6" s="1"/>
  <c r="F67" i="6"/>
  <c r="K65" i="6"/>
  <c r="O65" i="6" s="1"/>
  <c r="R65" i="6" s="1"/>
  <c r="K64" i="6"/>
  <c r="O64" i="6" s="1"/>
  <c r="R64" i="6" s="1"/>
  <c r="K63" i="6"/>
  <c r="O63" i="6" s="1"/>
  <c r="R63" i="6" s="1"/>
  <c r="F62" i="6"/>
  <c r="K62" i="6"/>
  <c r="O62" i="6" s="1"/>
  <c r="R62" i="6" s="1"/>
  <c r="O61" i="6"/>
  <c r="R61" i="6" s="1"/>
  <c r="F61" i="6"/>
  <c r="O60" i="6"/>
  <c r="R60" i="6" s="1"/>
  <c r="F60" i="6"/>
  <c r="O59" i="6"/>
  <c r="R59" i="6" s="1"/>
  <c r="O58" i="6"/>
  <c r="R23" i="1" s="1"/>
  <c r="O57" i="6"/>
  <c r="R57" i="6" s="1"/>
  <c r="F57" i="6"/>
  <c r="O55" i="6"/>
  <c r="R55" i="6" s="1"/>
  <c r="O53" i="6"/>
  <c r="R53" i="6" s="1"/>
  <c r="O52" i="6"/>
  <c r="R52" i="6" s="1"/>
  <c r="F51" i="6"/>
  <c r="K50" i="6"/>
  <c r="O50" i="6" s="1"/>
  <c r="R50" i="6" s="1"/>
  <c r="F50" i="6"/>
  <c r="F49" i="6"/>
  <c r="F59" i="6"/>
  <c r="F58" i="6"/>
  <c r="N54" i="6"/>
  <c r="O54" i="6" s="1"/>
  <c r="R54" i="6" s="1"/>
  <c r="F52" i="6"/>
  <c r="K51" i="6"/>
  <c r="O51" i="6" s="1"/>
  <c r="K49" i="6"/>
  <c r="O49" i="6" s="1"/>
  <c r="R49" i="6" s="1"/>
  <c r="K48" i="6"/>
  <c r="O48" i="6" s="1"/>
  <c r="R48" i="6" s="1"/>
  <c r="F48" i="6"/>
  <c r="O47" i="6"/>
  <c r="R38" i="1" s="1"/>
  <c r="H38" i="1" s="1"/>
  <c r="J38" i="1" s="1"/>
  <c r="F47" i="6"/>
  <c r="K43" i="6"/>
  <c r="O43" i="6" s="1"/>
  <c r="R43" i="6" s="1"/>
  <c r="K42" i="6"/>
  <c r="O42" i="6" s="1"/>
  <c r="R42" i="6" s="1"/>
  <c r="K41" i="6"/>
  <c r="O41" i="6" s="1"/>
  <c r="R41" i="6" s="1"/>
  <c r="K33" i="6"/>
  <c r="O33" i="6" s="1"/>
  <c r="R33" i="6" s="1"/>
  <c r="K32" i="6"/>
  <c r="O32" i="6" s="1"/>
  <c r="R32" i="6" s="1"/>
  <c r="K31" i="6"/>
  <c r="O31" i="6" s="1"/>
  <c r="R31" i="6" s="1"/>
  <c r="K30" i="6"/>
  <c r="O30" i="6" s="1"/>
  <c r="R30" i="6" s="1"/>
  <c r="F29" i="6"/>
  <c r="K27" i="6"/>
  <c r="O27" i="6" s="1"/>
  <c r="R27" i="6" s="1"/>
  <c r="K26" i="6"/>
  <c r="O26" i="6" s="1"/>
  <c r="R26" i="6" s="1"/>
  <c r="K25" i="6"/>
  <c r="O25" i="6" s="1"/>
  <c r="R25" i="6" s="1"/>
  <c r="F24" i="6"/>
  <c r="K21" i="6"/>
  <c r="O21" i="6" s="1"/>
  <c r="R21" i="6" s="1"/>
  <c r="F17" i="6"/>
  <c r="K20" i="6"/>
  <c r="O20" i="6" s="1"/>
  <c r="R20" i="6" s="1"/>
  <c r="K19" i="6"/>
  <c r="O19" i="6" s="1"/>
  <c r="R19" i="6" s="1"/>
  <c r="K18" i="6"/>
  <c r="O18" i="6" s="1"/>
  <c r="R18" i="6" s="1"/>
  <c r="F14" i="6"/>
  <c r="O68" i="7"/>
  <c r="O52" i="7"/>
  <c r="O56" i="7" s="1"/>
  <c r="O47" i="7"/>
  <c r="O39" i="7"/>
  <c r="O34" i="7"/>
  <c r="O26" i="7"/>
  <c r="F40" i="6"/>
  <c r="O39" i="6"/>
  <c r="R39" i="6" s="1"/>
  <c r="F39" i="6"/>
  <c r="O38" i="6"/>
  <c r="R38" i="6" s="1"/>
  <c r="F38" i="6"/>
  <c r="O37" i="6"/>
  <c r="R37" i="6" s="1"/>
  <c r="F37" i="6"/>
  <c r="O36" i="6"/>
  <c r="R36" i="6" s="1"/>
  <c r="F36" i="6"/>
  <c r="K14" i="6"/>
  <c r="O14" i="6" s="1"/>
  <c r="S15" i="2"/>
  <c r="S16" i="2"/>
  <c r="S17" i="2"/>
  <c r="R18" i="2"/>
  <c r="S18" i="2"/>
  <c r="S20" i="2"/>
  <c r="S21" i="2"/>
  <c r="S22" i="2"/>
  <c r="R23" i="2"/>
  <c r="S23" i="2"/>
  <c r="S24" i="2"/>
  <c r="S30" i="2"/>
  <c r="S31" i="2"/>
  <c r="S33" i="2"/>
  <c r="S34" i="2"/>
  <c r="S35" i="2"/>
  <c r="R36" i="2"/>
  <c r="S36" i="2"/>
  <c r="S37" i="2"/>
  <c r="S38" i="2"/>
  <c r="S41" i="2"/>
  <c r="S42" i="2"/>
  <c r="R43" i="2"/>
  <c r="S43" i="2"/>
  <c r="K41" i="2"/>
  <c r="O41" i="2" s="1"/>
  <c r="R41" i="2" s="1"/>
  <c r="K40" i="2"/>
  <c r="O40" i="2" s="1"/>
  <c r="R40" i="2" s="1"/>
  <c r="K34" i="2"/>
  <c r="O34" i="2" s="1"/>
  <c r="R34" i="2" s="1"/>
  <c r="K39" i="2"/>
  <c r="O39" i="2" s="1"/>
  <c r="R39" i="2" s="1"/>
  <c r="K38" i="2"/>
  <c r="O38" i="2" s="1"/>
  <c r="K37" i="2"/>
  <c r="O37" i="2" s="1"/>
  <c r="R37" i="2" s="1"/>
  <c r="F36" i="2"/>
  <c r="O68" i="5"/>
  <c r="O52" i="5"/>
  <c r="O56" i="5" s="1"/>
  <c r="O47" i="5"/>
  <c r="O39" i="5"/>
  <c r="O36" i="5"/>
  <c r="O35" i="5"/>
  <c r="O34" i="5"/>
  <c r="K33" i="2"/>
  <c r="O33" i="2" s="1"/>
  <c r="R33" i="2" s="1"/>
  <c r="F33" i="2"/>
  <c r="O32" i="2"/>
  <c r="R32" i="2" s="1"/>
  <c r="F32" i="2"/>
  <c r="F31" i="2"/>
  <c r="F30" i="2"/>
  <c r="O68" i="4"/>
  <c r="O52" i="4"/>
  <c r="O56" i="4" s="1"/>
  <c r="O45" i="4"/>
  <c r="O47" i="4" s="1"/>
  <c r="O39" i="4"/>
  <c r="O35" i="4"/>
  <c r="O34" i="4"/>
  <c r="O26" i="4"/>
  <c r="O68" i="3"/>
  <c r="O52" i="3"/>
  <c r="O56" i="3" s="1"/>
  <c r="O45" i="3"/>
  <c r="O47" i="3" s="1"/>
  <c r="O39" i="3"/>
  <c r="O35" i="3"/>
  <c r="O34" i="3"/>
  <c r="O26" i="3"/>
  <c r="R45" i="8" l="1"/>
  <c r="T23" i="1"/>
  <c r="R40" i="8"/>
  <c r="R50" i="1"/>
  <c r="R36" i="1"/>
  <c r="R19" i="1"/>
  <c r="S19" i="1" s="1"/>
  <c r="R47" i="6"/>
  <c r="R21" i="1"/>
  <c r="S21" i="1" s="1"/>
  <c r="R15" i="1"/>
  <c r="S15" i="1" s="1"/>
  <c r="T19" i="1"/>
  <c r="O40" i="3"/>
  <c r="P51" i="6"/>
  <c r="S49" i="6" s="1"/>
  <c r="R88" i="6"/>
  <c r="T21" i="1"/>
  <c r="U21" i="1" s="1"/>
  <c r="R47" i="1"/>
  <c r="S47" i="1" s="1"/>
  <c r="R8" i="1"/>
  <c r="H8" i="1" s="1"/>
  <c r="J8" i="1" s="1"/>
  <c r="R43" i="1"/>
  <c r="S43" i="1" s="1"/>
  <c r="R48" i="1"/>
  <c r="R27" i="1"/>
  <c r="S27" i="1" s="1"/>
  <c r="R49" i="1"/>
  <c r="S49" i="1" s="1"/>
  <c r="R5" i="1"/>
  <c r="S5" i="1" s="1"/>
  <c r="T39" i="1"/>
  <c r="U39" i="1" s="1"/>
  <c r="P45" i="8"/>
  <c r="R11" i="1"/>
  <c r="S11" i="1" s="1"/>
  <c r="R20" i="1"/>
  <c r="S20" i="1" s="1"/>
  <c r="T5" i="1"/>
  <c r="U5" i="1" s="1"/>
  <c r="P29" i="11"/>
  <c r="O42" i="2"/>
  <c r="O40" i="4"/>
  <c r="O40" i="5"/>
  <c r="R51" i="6"/>
  <c r="R37" i="1"/>
  <c r="S37" i="1" s="1"/>
  <c r="T11" i="1"/>
  <c r="U11" i="1" s="1"/>
  <c r="P27" i="1"/>
  <c r="R22" i="1"/>
  <c r="R38" i="2"/>
  <c r="O40" i="7"/>
  <c r="O31" i="9"/>
  <c r="U24" i="1"/>
  <c r="S30" i="1"/>
  <c r="U26" i="1"/>
  <c r="W37" i="1"/>
  <c r="U43" i="1"/>
  <c r="H21" i="1"/>
  <c r="J21" i="1" s="1"/>
  <c r="H27" i="1"/>
  <c r="J27" i="1" s="1"/>
  <c r="H11" i="1"/>
  <c r="J11" i="1" s="1"/>
  <c r="S52" i="1"/>
  <c r="U19" i="1"/>
  <c r="U52" i="1"/>
  <c r="Q8" i="1"/>
  <c r="Q21" i="1"/>
  <c r="H43" i="1"/>
  <c r="J43" i="1" s="1"/>
  <c r="Q30" i="1"/>
  <c r="W43" i="1"/>
  <c r="U20" i="1"/>
  <c r="H44" i="1"/>
  <c r="J44" i="1" s="1"/>
  <c r="U34" i="1"/>
  <c r="S36" i="1"/>
  <c r="U23" i="1"/>
  <c r="Q44" i="1"/>
  <c r="H13" i="1"/>
  <c r="J13" i="1" s="1"/>
  <c r="S22" i="1"/>
  <c r="W11" i="1"/>
  <c r="U4" i="1"/>
  <c r="W4" i="1"/>
  <c r="Y49" i="1"/>
  <c r="S50" i="1"/>
  <c r="W14" i="1"/>
  <c r="W19" i="1"/>
  <c r="Q16" i="1"/>
  <c r="U27" i="1"/>
  <c r="W51" i="1"/>
  <c r="Y7" i="1"/>
  <c r="S23" i="1"/>
  <c r="Q15" i="1"/>
  <c r="Q34" i="1"/>
  <c r="S4" i="1"/>
  <c r="W5" i="1"/>
  <c r="W26" i="1"/>
  <c r="W52" i="1"/>
  <c r="Q7" i="1"/>
  <c r="S38" i="1"/>
  <c r="H7" i="1"/>
  <c r="J7" i="1" s="1"/>
  <c r="Q19" i="1"/>
  <c r="Q5" i="1"/>
  <c r="S26" i="1"/>
  <c r="U15" i="1"/>
  <c r="Y22" i="1"/>
  <c r="Q24" i="1"/>
  <c r="Q38" i="1"/>
  <c r="H5" i="1"/>
  <c r="J5" i="1" s="1"/>
  <c r="H30" i="1"/>
  <c r="J30" i="1" s="1"/>
  <c r="H23" i="1"/>
  <c r="J23" i="1" s="1"/>
  <c r="H39" i="1"/>
  <c r="J39" i="1" s="1"/>
  <c r="Q26" i="1"/>
  <c r="W15" i="1"/>
  <c r="Y42" i="1"/>
  <c r="P30" i="11"/>
  <c r="H17" i="1"/>
  <c r="J17" i="1" s="1"/>
  <c r="H22" i="1"/>
  <c r="J22" i="1" s="1"/>
  <c r="H36" i="1"/>
  <c r="J36" i="1" s="1"/>
  <c r="H42" i="1"/>
  <c r="J42" i="1" s="1"/>
  <c r="Q27" i="1"/>
  <c r="S34" i="1"/>
  <c r="S44" i="1"/>
  <c r="U14" i="1"/>
  <c r="U37" i="1"/>
  <c r="U51" i="1"/>
  <c r="W24" i="1"/>
  <c r="W36" i="1"/>
  <c r="W50" i="1"/>
  <c r="Y16" i="1"/>
  <c r="Y31" i="1"/>
  <c r="Y39" i="1"/>
  <c r="Y47" i="1"/>
  <c r="H41" i="1"/>
  <c r="J41" i="1" s="1"/>
  <c r="H52" i="1"/>
  <c r="J52" i="1" s="1"/>
  <c r="Q22" i="1"/>
  <c r="Q31" i="1"/>
  <c r="Q39" i="1"/>
  <c r="Q47" i="1"/>
  <c r="S41" i="1"/>
  <c r="S48" i="1"/>
  <c r="U8" i="1"/>
  <c r="U38" i="1"/>
  <c r="W20" i="1"/>
  <c r="W27" i="1"/>
  <c r="W34" i="1"/>
  <c r="Y24" i="1"/>
  <c r="Y36" i="1"/>
  <c r="Y50" i="1"/>
  <c r="Y48" i="1"/>
  <c r="H19" i="1"/>
  <c r="J19" i="1" s="1"/>
  <c r="H51" i="1"/>
  <c r="J51" i="1" s="1"/>
  <c r="Q11" i="1"/>
  <c r="Q41" i="1"/>
  <c r="Q49" i="1"/>
  <c r="U16" i="1"/>
  <c r="U31" i="1"/>
  <c r="U47" i="1"/>
  <c r="W8" i="1"/>
  <c r="W21" i="1"/>
  <c r="W38" i="1"/>
  <c r="Y14" i="1"/>
  <c r="Y17" i="1"/>
  <c r="Y37" i="1"/>
  <c r="Y51" i="1"/>
  <c r="H24" i="1"/>
  <c r="J24" i="1" s="1"/>
  <c r="Q23" i="1"/>
  <c r="S39" i="1"/>
  <c r="Y32" i="1"/>
  <c r="H50" i="1"/>
  <c r="J50" i="1" s="1"/>
  <c r="Q32" i="1"/>
  <c r="Q50" i="1"/>
  <c r="U22" i="1"/>
  <c r="U48" i="1"/>
  <c r="W47" i="1"/>
  <c r="Y52" i="1"/>
  <c r="H15" i="1"/>
  <c r="J15" i="1" s="1"/>
  <c r="Q20" i="1"/>
  <c r="Q36" i="1"/>
  <c r="U13" i="1"/>
  <c r="U32" i="1"/>
  <c r="U42" i="1"/>
  <c r="U49" i="1"/>
  <c r="Y13" i="1"/>
  <c r="Y23" i="1"/>
  <c r="P26" i="11"/>
  <c r="S22" i="11" s="1"/>
  <c r="P25" i="11"/>
  <c r="S21" i="11" s="1"/>
  <c r="R26" i="11"/>
  <c r="P14" i="11"/>
  <c r="R14" i="11"/>
  <c r="P23" i="11"/>
  <c r="S19" i="11" s="1"/>
  <c r="R23" i="11"/>
  <c r="R16" i="11"/>
  <c r="P16" i="11"/>
  <c r="O22" i="11"/>
  <c r="R20" i="11"/>
  <c r="R17" i="11"/>
  <c r="P17" i="11"/>
  <c r="R15" i="11"/>
  <c r="P15" i="11"/>
  <c r="R25" i="11"/>
  <c r="P27" i="11"/>
  <c r="S23" i="11" s="1"/>
  <c r="P24" i="11"/>
  <c r="S20" i="11" s="1"/>
  <c r="R25" i="10"/>
  <c r="O28" i="10"/>
  <c r="O23" i="10"/>
  <c r="X30" i="1" s="1"/>
  <c r="Y30" i="1" s="1"/>
  <c r="R20" i="10"/>
  <c r="O18" i="10"/>
  <c r="X41" i="1" s="1"/>
  <c r="Y41" i="1" s="1"/>
  <c r="O36" i="9"/>
  <c r="O26" i="9"/>
  <c r="O16" i="9"/>
  <c r="O21" i="9"/>
  <c r="V17" i="1" s="1"/>
  <c r="W17" i="1" s="1"/>
  <c r="R14" i="9"/>
  <c r="R44" i="8"/>
  <c r="O18" i="8"/>
  <c r="T44" i="1" s="1"/>
  <c r="U44" i="1" s="1"/>
  <c r="P32" i="8"/>
  <c r="S28" i="8" s="1"/>
  <c r="O29" i="8"/>
  <c r="O39" i="8"/>
  <c r="P41" i="8"/>
  <c r="S37" i="8" s="1"/>
  <c r="P40" i="8"/>
  <c r="S36" i="8" s="1"/>
  <c r="R14" i="8"/>
  <c r="P33" i="8"/>
  <c r="S29" i="8" s="1"/>
  <c r="P31" i="8"/>
  <c r="S27" i="8" s="1"/>
  <c r="P43" i="8"/>
  <c r="S39" i="8" s="1"/>
  <c r="P30" i="8"/>
  <c r="S26" i="8" s="1"/>
  <c r="P34" i="8"/>
  <c r="S30" i="8" s="1"/>
  <c r="P42" i="8"/>
  <c r="S38" i="8" s="1"/>
  <c r="O76" i="6"/>
  <c r="R16" i="1" s="1"/>
  <c r="S16" i="1" s="1"/>
  <c r="P89" i="6"/>
  <c r="S87" i="6" s="1"/>
  <c r="R87" i="6"/>
  <c r="P88" i="6"/>
  <c r="S86" i="6" s="1"/>
  <c r="O86" i="6"/>
  <c r="R32" i="1" s="1"/>
  <c r="S32" i="1" s="1"/>
  <c r="O81" i="6"/>
  <c r="O16" i="6"/>
  <c r="R16" i="6" s="1"/>
  <c r="P69" i="6"/>
  <c r="S67" i="6" s="1"/>
  <c r="P49" i="6"/>
  <c r="S47" i="6" s="1"/>
  <c r="O35" i="6"/>
  <c r="R42" i="1" s="1"/>
  <c r="S42" i="1" s="1"/>
  <c r="O56" i="6"/>
  <c r="R7" i="1" s="1"/>
  <c r="S7" i="1" s="1"/>
  <c r="P57" i="6"/>
  <c r="S55" i="6" s="1"/>
  <c r="P68" i="6"/>
  <c r="S66" i="6" s="1"/>
  <c r="P78" i="6"/>
  <c r="S76" i="6" s="1"/>
  <c r="O23" i="6"/>
  <c r="P58" i="6"/>
  <c r="S56" i="6" s="1"/>
  <c r="P67" i="6"/>
  <c r="S65" i="6" s="1"/>
  <c r="P70" i="6"/>
  <c r="S68" i="6" s="1"/>
  <c r="P61" i="6"/>
  <c r="S59" i="6" s="1"/>
  <c r="P48" i="6"/>
  <c r="S46" i="6" s="1"/>
  <c r="P77" i="6"/>
  <c r="S75" i="6" s="1"/>
  <c r="P50" i="6"/>
  <c r="S48" i="6" s="1"/>
  <c r="P59" i="6"/>
  <c r="S57" i="6" s="1"/>
  <c r="P79" i="6"/>
  <c r="S77" i="6" s="1"/>
  <c r="O46" i="6"/>
  <c r="P60" i="6"/>
  <c r="S58" i="6" s="1"/>
  <c r="O66" i="6"/>
  <c r="R14" i="1" s="1"/>
  <c r="S14" i="1" s="1"/>
  <c r="P47" i="6"/>
  <c r="S45" i="6" s="1"/>
  <c r="O28" i="6"/>
  <c r="R13" i="1" s="1"/>
  <c r="S13" i="1" s="1"/>
  <c r="P39" i="6"/>
  <c r="S37" i="6" s="1"/>
  <c r="P36" i="6"/>
  <c r="S34" i="6" s="1"/>
  <c r="P38" i="6"/>
  <c r="S36" i="6" s="1"/>
  <c r="L25" i="7"/>
  <c r="O25" i="7" s="1"/>
  <c r="O29" i="7" s="1"/>
  <c r="R14" i="6"/>
  <c r="P37" i="6"/>
  <c r="S35" i="6" s="1"/>
  <c r="O35" i="2"/>
  <c r="P32" i="2"/>
  <c r="S29" i="2" s="1"/>
  <c r="O58" i="5"/>
  <c r="L25" i="5"/>
  <c r="O25" i="5" s="1"/>
  <c r="O29" i="5" s="1"/>
  <c r="L25" i="4"/>
  <c r="O25" i="4" s="1"/>
  <c r="O29" i="4" s="1"/>
  <c r="L25" i="3"/>
  <c r="O25" i="3" s="1"/>
  <c r="O29" i="3" s="1"/>
  <c r="O58" i="3"/>
  <c r="F18" i="2"/>
  <c r="K16" i="2"/>
  <c r="O16" i="2" s="1"/>
  <c r="R16" i="2" s="1"/>
  <c r="K15" i="2"/>
  <c r="O15" i="2" s="1"/>
  <c r="R15" i="2" s="1"/>
  <c r="K14" i="2"/>
  <c r="O14" i="2" s="1"/>
  <c r="O31" i="2"/>
  <c r="R31" i="2" s="1"/>
  <c r="O30" i="2"/>
  <c r="R30" i="2" s="1"/>
  <c r="H29" i="2"/>
  <c r="O29" i="2" s="1"/>
  <c r="F29" i="2"/>
  <c r="K27" i="2"/>
  <c r="O27" i="2" s="1"/>
  <c r="R27" i="2" s="1"/>
  <c r="K26" i="2"/>
  <c r="O26" i="2" s="1"/>
  <c r="R26" i="2" s="1"/>
  <c r="K25" i="2"/>
  <c r="O25" i="2" s="1"/>
  <c r="R25" i="2" s="1"/>
  <c r="K24" i="2"/>
  <c r="O24" i="2" s="1"/>
  <c r="R24" i="2" s="1"/>
  <c r="F23" i="2"/>
  <c r="K21" i="2"/>
  <c r="O21" i="2" s="1"/>
  <c r="R21" i="2" s="1"/>
  <c r="K20" i="2"/>
  <c r="O20" i="2" s="1"/>
  <c r="R20" i="2" s="1"/>
  <c r="K19" i="2"/>
  <c r="O19" i="2" s="1"/>
  <c r="R19" i="2" s="1"/>
  <c r="H49" i="1"/>
  <c r="J49" i="1" s="1"/>
  <c r="H48" i="1"/>
  <c r="J48" i="1" s="1"/>
  <c r="H47" i="1"/>
  <c r="J47" i="1" s="1"/>
  <c r="H37" i="1"/>
  <c r="J37" i="1" s="1"/>
  <c r="H34" i="1"/>
  <c r="J34" i="1" s="1"/>
  <c r="H32" i="1"/>
  <c r="J32" i="1" s="1"/>
  <c r="H31" i="1"/>
  <c r="J31" i="1" s="1"/>
  <c r="BV27" i="1"/>
  <c r="BV26" i="1"/>
  <c r="H26" i="1"/>
  <c r="J26" i="1" s="1"/>
  <c r="BV25" i="1"/>
  <c r="BV23" i="1"/>
  <c r="BV22" i="1"/>
  <c r="BV21" i="1"/>
  <c r="BV20" i="1"/>
  <c r="H20" i="1"/>
  <c r="J20" i="1" s="1"/>
  <c r="BV19" i="1"/>
  <c r="BV18" i="1"/>
  <c r="BV17" i="1"/>
  <c r="BV16" i="1"/>
  <c r="H16" i="1"/>
  <c r="J16" i="1" s="1"/>
  <c r="BV15" i="1"/>
  <c r="BV14" i="1"/>
  <c r="H14" i="1"/>
  <c r="J14" i="1" s="1"/>
  <c r="BV13" i="1"/>
  <c r="BV12" i="1"/>
  <c r="BV11" i="1"/>
  <c r="BV10" i="1"/>
  <c r="BV7" i="1"/>
  <c r="BV6" i="1"/>
  <c r="BV5" i="1"/>
  <c r="BV4" i="1"/>
  <c r="BV3" i="1"/>
  <c r="BW3" i="1" s="1"/>
  <c r="H63" i="1" l="1"/>
  <c r="O58" i="7"/>
  <c r="H66" i="1"/>
  <c r="H65" i="1"/>
  <c r="H64" i="1"/>
  <c r="S8" i="1"/>
  <c r="P42" i="2"/>
  <c r="S39" i="2" s="1"/>
  <c r="R42" i="2"/>
  <c r="R23" i="6"/>
  <c r="R17" i="1"/>
  <c r="S17" i="1" s="1"/>
  <c r="R39" i="8"/>
  <c r="T7" i="1"/>
  <c r="U7" i="1" s="1"/>
  <c r="V44" i="1"/>
  <c r="W44" i="1" s="1"/>
  <c r="R16" i="9"/>
  <c r="P43" i="1"/>
  <c r="Q43" i="1" s="1"/>
  <c r="R29" i="2"/>
  <c r="R29" i="8"/>
  <c r="T17" i="1"/>
  <c r="U17" i="1" s="1"/>
  <c r="V30" i="1"/>
  <c r="W30" i="1" s="1"/>
  <c r="R31" i="9"/>
  <c r="P26" i="9"/>
  <c r="S24" i="9" s="1"/>
  <c r="V41" i="1"/>
  <c r="W41" i="1" s="1"/>
  <c r="R26" i="9"/>
  <c r="P35" i="2"/>
  <c r="S32" i="2" s="1"/>
  <c r="P51" i="1"/>
  <c r="Q51" i="1" s="1"/>
  <c r="R35" i="2"/>
  <c r="P31" i="9"/>
  <c r="S29" i="9" s="1"/>
  <c r="O58" i="4"/>
  <c r="P16" i="6"/>
  <c r="P36" i="9"/>
  <c r="R36" i="9"/>
  <c r="R22" i="11"/>
  <c r="P22" i="11"/>
  <c r="S18" i="11" s="1"/>
  <c r="R23" i="10"/>
  <c r="P23" i="10"/>
  <c r="S21" i="10" s="1"/>
  <c r="R28" i="10"/>
  <c r="P28" i="10"/>
  <c r="R18" i="10"/>
  <c r="P18" i="10"/>
  <c r="P21" i="9"/>
  <c r="R21" i="9"/>
  <c r="P16" i="9"/>
  <c r="P18" i="8"/>
  <c r="R18" i="8"/>
  <c r="P39" i="8"/>
  <c r="S35" i="8" s="1"/>
  <c r="P29" i="8"/>
  <c r="P46" i="6"/>
  <c r="S44" i="6" s="1"/>
  <c r="R46" i="6"/>
  <c r="P28" i="6"/>
  <c r="S26" i="6" s="1"/>
  <c r="R28" i="6"/>
  <c r="O82" i="6"/>
  <c r="R31" i="1" s="1"/>
  <c r="S31" i="1" s="1"/>
  <c r="R81" i="6"/>
  <c r="P76" i="6"/>
  <c r="S74" i="6" s="1"/>
  <c r="R76" i="6"/>
  <c r="P86" i="6"/>
  <c r="S84" i="6" s="1"/>
  <c r="R86" i="6"/>
  <c r="P66" i="6"/>
  <c r="S64" i="6" s="1"/>
  <c r="R66" i="6"/>
  <c r="P56" i="6"/>
  <c r="S54" i="6" s="1"/>
  <c r="R56" i="6"/>
  <c r="P35" i="6"/>
  <c r="S33" i="6" s="1"/>
  <c r="R35" i="6"/>
  <c r="P23" i="6"/>
  <c r="S21" i="6" s="1"/>
  <c r="O28" i="2"/>
  <c r="O17" i="2"/>
  <c r="P30" i="2"/>
  <c r="S27" i="2" s="1"/>
  <c r="P29" i="2"/>
  <c r="S26" i="2" s="1"/>
  <c r="R14" i="2"/>
  <c r="O22" i="2"/>
  <c r="P31" i="2"/>
  <c r="S28" i="2" s="1"/>
  <c r="BW4" i="1"/>
  <c r="BW5" i="1" s="1"/>
  <c r="BW6" i="1" s="1"/>
  <c r="BW7" i="1" s="1"/>
  <c r="BW10" i="1" s="1"/>
  <c r="BW11" i="1" s="1"/>
  <c r="BW12" i="1" s="1"/>
  <c r="BW13" i="1" s="1"/>
  <c r="BW14" i="1" s="1"/>
  <c r="BW15" i="1" s="1"/>
  <c r="BW16" i="1" s="1"/>
  <c r="BW17" i="1" s="1"/>
  <c r="BW18" i="1" s="1"/>
  <c r="BW19" i="1" s="1"/>
  <c r="BW20" i="1" s="1"/>
  <c r="BW21" i="1" s="1"/>
  <c r="BW22" i="1" s="1"/>
  <c r="BW23" i="1" s="1"/>
  <c r="BW25" i="1" s="1"/>
  <c r="BW26" i="1" s="1"/>
  <c r="BW27" i="1" s="1"/>
  <c r="H67" i="1" l="1"/>
  <c r="P34" i="11"/>
  <c r="S16" i="10"/>
  <c r="P29" i="10"/>
  <c r="P13" i="1"/>
  <c r="Q13" i="1" s="1"/>
  <c r="R22" i="2"/>
  <c r="P46" i="8"/>
  <c r="S41" i="8" s="1"/>
  <c r="P37" i="9"/>
  <c r="S30" i="9" s="1"/>
  <c r="P17" i="2"/>
  <c r="P4" i="1"/>
  <c r="Q4" i="1" s="1"/>
  <c r="R17" i="2"/>
  <c r="P28" i="2"/>
  <c r="S25" i="2" s="1"/>
  <c r="P42" i="1"/>
  <c r="Q42" i="1" s="1"/>
  <c r="R28" i="2"/>
  <c r="S24" i="11"/>
  <c r="S22" i="10"/>
  <c r="S19" i="9"/>
  <c r="S14" i="9"/>
  <c r="S25" i="8"/>
  <c r="S14" i="8"/>
  <c r="P82" i="6"/>
  <c r="S80" i="6" s="1"/>
  <c r="R82" i="6"/>
  <c r="S14" i="6"/>
  <c r="P22" i="2"/>
  <c r="S19" i="2" s="1"/>
  <c r="P43" i="2" l="1"/>
  <c r="S40" i="2" s="1"/>
  <c r="S14" i="2"/>
  <c r="P90" i="6"/>
  <c r="S88" i="6" s="1"/>
  <c r="BX29" i="1" l="1"/>
  <c r="BX30" i="1"/>
  <c r="BX31" i="1" l="1"/>
</calcChain>
</file>

<file path=xl/sharedStrings.xml><?xml version="1.0" encoding="utf-8"?>
<sst xmlns="http://schemas.openxmlformats.org/spreadsheetml/2006/main" count="1159" uniqueCount="349">
  <si>
    <t>ITEM</t>
  </si>
  <si>
    <t>ITEM GOBER</t>
  </si>
  <si>
    <t xml:space="preserve">DESCRIPCIÓN </t>
  </si>
  <si>
    <t>UNIDAD</t>
  </si>
  <si>
    <t>CANT</t>
  </si>
  <si>
    <t>VR UNIT</t>
  </si>
  <si>
    <t>INC. DIST.</t>
  </si>
  <si>
    <t>VR TOTAL</t>
  </si>
  <si>
    <t>VALOR TOTAL</t>
  </si>
  <si>
    <t>1. PRELIMINARES</t>
  </si>
  <si>
    <t>M2</t>
  </si>
  <si>
    <t>2.01.27</t>
  </si>
  <si>
    <t>DEMOLICIÓN DE MESON EN CONCRETO. (INCLUYE RETIRO Y ACARREO LIBRE HASTA 5 KM.)</t>
  </si>
  <si>
    <t>2.01.70</t>
  </si>
  <si>
    <t>EXCAVACION MANUAL EN MATERIAL COMUN</t>
  </si>
  <si>
    <t>M3</t>
  </si>
  <si>
    <t>2. CIMENTACION Y DESAGUES</t>
  </si>
  <si>
    <t>2.02.35</t>
  </si>
  <si>
    <t>SUMINISTRO FIGURADA Y AMARRE DE ACERO 60000 PSI 420 MPa</t>
  </si>
  <si>
    <t>KG</t>
  </si>
  <si>
    <t>2.05.25</t>
  </si>
  <si>
    <t>3. ESTRUCTURA</t>
  </si>
  <si>
    <t>2.03.01</t>
  </si>
  <si>
    <t xml:space="preserve">COLUMNAS Y PEDESTALES EN CONCRETO DE 21 MPa - (3000 PSI), H &lt; 3.00 M. (FORMALETA MADERA) </t>
  </si>
  <si>
    <t>4. MAMPOSTERIA</t>
  </si>
  <si>
    <t>2.04.09</t>
  </si>
  <si>
    <t>MESONES EN CONCRETO A = 0.60 M. 17.5 MPa - (2500 PSI) INCLUYE REFUERZO, E = 0.10 M.</t>
  </si>
  <si>
    <t>2.04.16</t>
  </si>
  <si>
    <t>MURO EN BLOQUE No.5 E=0.12 MTS</t>
  </si>
  <si>
    <t>2.04.30</t>
  </si>
  <si>
    <t>MURO TOLETE COMUN E=0.10 mts.</t>
  </si>
  <si>
    <t>ML</t>
  </si>
  <si>
    <t>1.03.12</t>
  </si>
  <si>
    <t>PAÑETE LISO MUROS  1:4</t>
  </si>
  <si>
    <t>2.07.19</t>
  </si>
  <si>
    <t>VINILO TIPO II SOBRE PAÑETE DOS MANOS EN MUROS</t>
  </si>
  <si>
    <t>5. INSTALACIONES HIDRAULICAS</t>
  </si>
  <si>
    <t>2.12.01</t>
  </si>
  <si>
    <t>SUMINISTRO E INSTALACIÓN DE TUBERÍA PVC DE 1/2" T.P, PARA RED DE SUMINISTRO</t>
  </si>
  <si>
    <t>2.12.09</t>
  </si>
  <si>
    <t>SUMINISTRO E INSTALACIÓN DE SALIDA DE AGUA FRÍA EN TUBERÍA PVC DE 1/2" T.P. (PUNTO HIDRAULICO 1/2")</t>
  </si>
  <si>
    <t>UND</t>
  </si>
  <si>
    <t>2.12.43</t>
  </si>
  <si>
    <t>SUMINISTRO E INSTALACIÓN DE REGISTRO DE BOLA ROSCADO PVC DE 3/4" T.P.</t>
  </si>
  <si>
    <t>2.12.166</t>
  </si>
  <si>
    <t>SUMINISTRO E INSTALACIÓN DE TANQUE DE ALMACENAMIENTO DE 500L (INCLUYE CONECTOR DE ENTRADA Y SALIDA)(NO INCLUYE FLOTADOR)</t>
  </si>
  <si>
    <t>2.12.170</t>
  </si>
  <si>
    <t xml:space="preserve">SUMINISTRO E INSTALACIÓN DE VÁLVULA CON FLOTADOR PARA TANQUE ELEVADO 1/2", CON FLOTADOR EN BOLA PLÁSTICA </t>
  </si>
  <si>
    <t>6. INSTALACIONES SANITARIAS</t>
  </si>
  <si>
    <t>2.02.32</t>
  </si>
  <si>
    <t>SUMINISTRO E INSTALACION TUBERIA PVC SANITARIA D= 3"</t>
  </si>
  <si>
    <t>5.01.11</t>
  </si>
  <si>
    <t>PUNTO  DE DESAGUES  D=2"</t>
  </si>
  <si>
    <t>7. BASES Y PISOS</t>
  </si>
  <si>
    <t>2.05.04</t>
  </si>
  <si>
    <t>ALISTADO PISO 1:5 E= 4.0 CM.</t>
  </si>
  <si>
    <t>PLACA BASE EN CONCRETO E= 8 CM 2500 PSI</t>
  </si>
  <si>
    <t>ml</t>
  </si>
  <si>
    <t>3.13.24</t>
  </si>
  <si>
    <t xml:space="preserve">SUMINISTRO E INSTALACIÓN DE MALLA ELECTROSOLDADA </t>
  </si>
  <si>
    <t>8. CUBIERTA</t>
  </si>
  <si>
    <t>2.08.21</t>
  </si>
  <si>
    <t>SUMINISTRO E INSTALACIÓN CUBIERTA EN TEJA FIBROCEMENTO NUMERO 8</t>
  </si>
  <si>
    <t>9. INSTALACIONES ELECTRICAS</t>
  </si>
  <si>
    <t>2.10.115</t>
  </si>
  <si>
    <t>SUMINISTRO E INSTALACIÓN DE SALIDA COMPLETA PARA TOMACORRIENTE MONOFÁSICO TIPO GFCI, EN CALIBRE 12 AWG (F, N, T) Y DUCTO PVC DE 1/2". (INCLUYE APARATO).</t>
  </si>
  <si>
    <t>2.10.136</t>
  </si>
  <si>
    <t>SUMINISTRO E INSTALACIÓN DE SALIDA COMPLETA PARA INTERRUPTOR SENCILLO EN CALIBRE 12 AWG Y DUCTO PVC 1/2 " (INCLUYE APARATO)</t>
  </si>
  <si>
    <t>10. ACABADOS Y APARATOS</t>
  </si>
  <si>
    <t>2.05.19</t>
  </si>
  <si>
    <t>PISOS EN CERAMICA</t>
  </si>
  <si>
    <t>REF. 2.05.19</t>
  </si>
  <si>
    <t>SUMINISTRO E INSTALACION DE ENCHAPE PARED EN CERAMICA</t>
  </si>
  <si>
    <t>2.06.15</t>
  </si>
  <si>
    <t>SUMINISTRO E INSTALACIÓN DE REMATE BOCEL DE ALUMINIO "WIN"</t>
  </si>
  <si>
    <t>2.09.01</t>
  </si>
  <si>
    <t>SUMINISTRO E INSTALACIÓN DE CIELO RASO EN PVC DE 7 MM.</t>
  </si>
  <si>
    <t>11. CARPINTERIAS</t>
  </si>
  <si>
    <t>2.15.05</t>
  </si>
  <si>
    <t>SUMINISTRO E INSTALACIÓN DE MARCO EN LÁMINA 0.80 &lt; A &lt; 1.00 M. CAL. 18 INC. (INCLUYE ANTICORROSIVO).</t>
  </si>
  <si>
    <t>2.15.06</t>
  </si>
  <si>
    <t>SUMINISTRO E INSTALACIÓN DE PUERTA EN LÁMINA CAL. 18. (INCLUYE ANTICORROSIVO). (NO INCLUYE CERRADURA).</t>
  </si>
  <si>
    <t>2.15.12</t>
  </si>
  <si>
    <t>SUMINSITRO E INSTALACIÓN DE VENTANA EN LÁMINA COLD ROLLED CAL.18 CON VIDRIO. (INCLUYE ANTICORROSIVO).</t>
  </si>
  <si>
    <t>2.17.05</t>
  </si>
  <si>
    <t>SUMINISTRO E INSTALACIÓN DE CERRADURA DOBLE CILINDRO TIPO YALE 105 O SIMILAR</t>
  </si>
  <si>
    <t>N° CONTRATO</t>
  </si>
  <si>
    <t>SAMC-004-2026</t>
  </si>
  <si>
    <t>OBJETO</t>
  </si>
  <si>
    <t>N/A</t>
  </si>
  <si>
    <t xml:space="preserve">CANTIDAD </t>
  </si>
  <si>
    <t>#</t>
  </si>
  <si>
    <t>NOMBRE</t>
  </si>
  <si>
    <t>VALOR ($)</t>
  </si>
  <si>
    <t>ACUMULATIVO</t>
  </si>
  <si>
    <t>MARIA CONCEPCIÓN PINZÓN CASTELLANOS</t>
  </si>
  <si>
    <t>SANDRA PATRICIA MARQUEZ</t>
  </si>
  <si>
    <t>JULIO MOLINA</t>
  </si>
  <si>
    <t>LIBARDO SUÁREZ SUÁREZ</t>
  </si>
  <si>
    <t>JOSÉ DIÓGENES SARMIENTO</t>
  </si>
  <si>
    <t>FLOR MAYERLI YAQUIBE HERNÁNDEZ</t>
  </si>
  <si>
    <t>MARÍA ALICIA FUQUENE FERRO</t>
  </si>
  <si>
    <t>CARLOS JULIO SUÁREZ</t>
  </si>
  <si>
    <t>YESICA RUBIELA SUAREZ SALAS</t>
  </si>
  <si>
    <t xml:space="preserve">FLOR EMILIA MOLINA </t>
  </si>
  <si>
    <t>SANDRA TATIANA SALAS MOLANO</t>
  </si>
  <si>
    <t>LORENA RIAÑO</t>
  </si>
  <si>
    <t>MAURICIO RUIZ GARCIA</t>
  </si>
  <si>
    <t>MARIA GLORIA HIGUERA</t>
  </si>
  <si>
    <t>NIDIA CRISTINA CIFUENTES</t>
  </si>
  <si>
    <t>CLAUDIA MARCELA ÁVILA RODRIGUEZ</t>
  </si>
  <si>
    <t>MARCELA RAMOS</t>
  </si>
  <si>
    <t>AURA LINDA GARAVITA</t>
  </si>
  <si>
    <t>BENJAMIN BENITEZ</t>
  </si>
  <si>
    <t>RAMIRO TORRES FONSECA</t>
  </si>
  <si>
    <t>LILIA SANCHEZ</t>
  </si>
  <si>
    <t>MAGDALENA LÓPEZ LEÓN</t>
  </si>
  <si>
    <t>VALOR CONTRATO</t>
  </si>
  <si>
    <t>FALTANTE</t>
  </si>
  <si>
    <t>NP1</t>
  </si>
  <si>
    <t>SUMINISTRO E INSTALACIÓN DE GUARDAESCOBA EN CERÁMICA PARA PISO H= 0.075 m</t>
  </si>
  <si>
    <t>NP2</t>
  </si>
  <si>
    <t>2.12.199</t>
  </si>
  <si>
    <t>SUMINISTRO E INSTALACIÓN LAVAPLATOS ACERO INOXIDABLE 0.50 X 0.35 M</t>
  </si>
  <si>
    <t>NP3</t>
  </si>
  <si>
    <t>2.12.183</t>
  </si>
  <si>
    <t xml:space="preserve">SUMINISTRO E INSTALACIÓN DE GRIFERÍA COMPLETA CON LLAVE TIPO GANSO </t>
  </si>
  <si>
    <t>NP8</t>
  </si>
  <si>
    <t xml:space="preserve">PLACA MACIZA EN CONCRETO DE 21 MPa - (3000 PSI) E = 0.10 M. </t>
  </si>
  <si>
    <t>NP10</t>
  </si>
  <si>
    <t xml:space="preserve">SUMINISTRO E INSTALACIÓN DE ESMALTE LÁMINA LINEAL 3 MANOS </t>
  </si>
  <si>
    <t>NP12</t>
  </si>
  <si>
    <t>2.07.18</t>
  </si>
  <si>
    <t xml:space="preserve">SUMINISTRO E INSTALACIÓN DE VINILO TIPO II SOBRE PAÑETE O ESTUCO A DOS MANOS BAJO PLACA </t>
  </si>
  <si>
    <t xml:space="preserve">SUMINISTRO E INSTALACIÓN DE TUBERÍA PVC SANITARIA D = 4" </t>
  </si>
  <si>
    <t>NP23</t>
  </si>
  <si>
    <t>REF. 2.02.10</t>
  </si>
  <si>
    <t>CONCRETO PARA ZAPATA DE 21 Mpa (3000 PSI) + FORMALETA MADERA</t>
  </si>
  <si>
    <t>NP24</t>
  </si>
  <si>
    <t>SUMINISTRO E INSTALACIÓN DE TUBERÍA PVC DE 1" T.P. PARA RED DE SUMINISTRO.</t>
  </si>
  <si>
    <t>COSTO DIRECTO</t>
  </si>
  <si>
    <t>ADMINISTRACION</t>
  </si>
  <si>
    <t>IMPREVISTOS</t>
  </si>
  <si>
    <t>UTILIDAD</t>
  </si>
  <si>
    <t>COSTO TOTAL</t>
  </si>
  <si>
    <t>MEMORIAS DE CANTIDADES</t>
  </si>
  <si>
    <t>CONTRATISTA</t>
  </si>
  <si>
    <t>C.C.</t>
  </si>
  <si>
    <t>SUPERVISOR</t>
  </si>
  <si>
    <t>ING. RODRIGO FERNEY TORRES GARCÍA</t>
  </si>
  <si>
    <t>FECHA</t>
  </si>
  <si>
    <t>N° DE USUARIO</t>
  </si>
  <si>
    <t>CONDICIONES INICIALES</t>
  </si>
  <si>
    <t xml:space="preserve"> </t>
  </si>
  <si>
    <t>N° ÍTEM</t>
  </si>
  <si>
    <t>DESCRIPCIÓN</t>
  </si>
  <si>
    <t>VALOR UNITARIO ÍTEM</t>
  </si>
  <si>
    <t>UBICACIÓN</t>
  </si>
  <si>
    <t>LARGO (m)</t>
  </si>
  <si>
    <t>ANCHO (m)</t>
  </si>
  <si>
    <t>ALTO (m)</t>
  </si>
  <si>
    <t>VOLUMEN/ÁREA</t>
  </si>
  <si>
    <t>TIPO</t>
  </si>
  <si>
    <t>PESO (KG/ML)</t>
  </si>
  <si>
    <t>N° DE ELEM.</t>
  </si>
  <si>
    <t>MESÓN EXISTENTE</t>
  </si>
  <si>
    <t>COCINA</t>
  </si>
  <si>
    <t>m2</t>
  </si>
  <si>
    <t>PLACA ARRIBA</t>
  </si>
  <si>
    <t>PLACA ABAJO</t>
  </si>
  <si>
    <t>COSTADOS</t>
  </si>
  <si>
    <t>MESÓN</t>
  </si>
  <si>
    <t>LAVAPLATOS</t>
  </si>
  <si>
    <t>Und</t>
  </si>
  <si>
    <t>TOTAL DE MEJORAMIENTO</t>
  </si>
  <si>
    <t>FIRMA</t>
  </si>
  <si>
    <t xml:space="preserve">NOMBRE DE LA INSTITUCION </t>
  </si>
  <si>
    <t xml:space="preserve">ESCUELA EL CARMEN </t>
  </si>
  <si>
    <t>MUNICIPIO DE CÓMBITA</t>
  </si>
  <si>
    <t>VERSIÓN</t>
  </si>
  <si>
    <t>PÁGINA</t>
  </si>
  <si>
    <t>DE</t>
  </si>
  <si>
    <t xml:space="preserve">ANÁLISIS DE PRECIOS UNITARIOS </t>
  </si>
  <si>
    <t>DD</t>
  </si>
  <si>
    <t>MM</t>
  </si>
  <si>
    <t>AA</t>
  </si>
  <si>
    <t>ÍTEMS DE LA PROPUESTA ECONÓMICA</t>
  </si>
  <si>
    <t>ÍTEMS NO PREVISTOS</t>
  </si>
  <si>
    <t>X</t>
  </si>
  <si>
    <t>DATOS ESPECÍFICOS</t>
  </si>
  <si>
    <t>ÍTEM</t>
  </si>
  <si>
    <t>CANTIDAD</t>
  </si>
  <si>
    <t>I. EQUIPO</t>
  </si>
  <si>
    <t>MARCA</t>
  </si>
  <si>
    <t>TARIFA/HORA</t>
  </si>
  <si>
    <t>RENDIMIENTO</t>
  </si>
  <si>
    <t>Vr. UNITARIO</t>
  </si>
  <si>
    <t>Herramienta y Equipo Menor(% M.O)</t>
  </si>
  <si>
    <t>SUBTOTAL $</t>
  </si>
  <si>
    <t>II. MATERIALES</t>
  </si>
  <si>
    <t>PRECIO UNIT.</t>
  </si>
  <si>
    <t>LAVAPLATOS ACERO INXIDABLE 0.50 X 0.35 M</t>
  </si>
  <si>
    <t>SELLANTE POLIURETANO TIPO SIKAFLEX PRO 3WF O SIMILAR</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</si>
  <si>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</si>
  <si>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</si>
  <si>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</si>
  <si>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</si>
  <si>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</si>
  <si>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</si>
  <si>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</si>
  <si>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</si>
  <si>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t>
  </si>
  <si>
    <t>VR. UNITARIO</t>
  </si>
  <si>
    <t>CUADRILLA DE INSTALACIONES (BB)</t>
  </si>
  <si>
    <t>HC</t>
  </si>
  <si>
    <t>TOTAL COSTO DIRECTO $</t>
  </si>
  <si>
    <t>FACTOR INCREMENTO POR DISTANCIA (2%)</t>
  </si>
  <si>
    <t>TOTAL COSTO DIRECTO + F.I.D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</si>
  <si>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</si>
  <si>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</si>
  <si>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</si>
  <si>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</si>
  <si>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</si>
  <si>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</si>
  <si>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</si>
  <si>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</si>
  <si>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</si>
  <si>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t>
  </si>
  <si>
    <t>OBSERVACIONES INTERVENTORÍA/SUPERVISIÓN</t>
  </si>
  <si>
    <t>RESOLUCIÓN 050 GOBERNACIÓN DE BOYACÁ ÍTEM 2.12.199</t>
  </si>
  <si>
    <t>APROBACIÓN POR INTERVENTORÍA/SUPERVISIÓN</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</si>
  <si>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</si>
  <si>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</si>
  <si>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Supervisor o su apoderado</t>
  </si>
  <si>
    <t>Matricula :</t>
  </si>
  <si>
    <t>LLAVE PARA LAVAMANOS/LAVAPLATOS TIPO CUELLO DE GANSO</t>
  </si>
  <si>
    <t xml:space="preserve">KIT DE DESAGUE LAVAMANOS (SIFÓN, CANASTILLA, MANGUERAS DE CONEXION) </t>
  </si>
  <si>
    <t>RESOLUCIÓN 050 GOBERNACIÓN DE BOYACÁ ÍTEM 2.12.183</t>
  </si>
  <si>
    <t>SUMINISTRO E INSTALACIÓN DE VIDRIO CRUDO INCOLORO DE 5.0 MM.</t>
  </si>
  <si>
    <t>2.17.09</t>
  </si>
  <si>
    <t xml:space="preserve">DISOLVENTE THINER </t>
  </si>
  <si>
    <t>GL</t>
  </si>
  <si>
    <t>LIJA DE AGUA 150 SÚPER</t>
  </si>
  <si>
    <t xml:space="preserve">PINTURA ESMALTE SINTETICO TIPO II </t>
  </si>
  <si>
    <t>CUADRILLA DE PINTURAS Y ESTUCOS (CC)</t>
  </si>
  <si>
    <t>SE TOMA COMO REFERENCIA EL ÍTEM 2.07.01 DE LA RESOLUCIÓN 050 DE LA GOB.BOYACÁ PARA ESTRUCTURAR ESTE N.P</t>
  </si>
  <si>
    <t>VENTANA 1</t>
  </si>
  <si>
    <t>VENTANA 2</t>
  </si>
  <si>
    <t>PUERTA</t>
  </si>
  <si>
    <t>MARCO</t>
  </si>
  <si>
    <t>PUERTA 2</t>
  </si>
  <si>
    <t>PUERTA 1</t>
  </si>
  <si>
    <t>ESCUELA DE SAN FRANCISCO</t>
  </si>
  <si>
    <t>ANDAMIO TUBULAR NORMALIZADO, TIPO MULTIDIRECCIONAL, DE ACERO GALVANIZADO EN CALIENTE, SEGÚN ISO 9001</t>
  </si>
  <si>
    <t>DÍA</t>
  </si>
  <si>
    <t>PINTURA VINILO TIPO ll</t>
  </si>
  <si>
    <t>ÍTEM 2.07.09 GOBERNACIÓN BOYACÁ RESOLUCIÓN 050</t>
  </si>
  <si>
    <t xml:space="preserve">COMEDOR </t>
  </si>
  <si>
    <t>GENERAL</t>
  </si>
  <si>
    <t xml:space="preserve">RESTA PUERTA </t>
  </si>
  <si>
    <t xml:space="preserve">RESTA VENTANA </t>
  </si>
  <si>
    <t>COMEDOR</t>
  </si>
  <si>
    <t>LAMINA</t>
  </si>
  <si>
    <t xml:space="preserve"> SUMINISTRO E INSTALACIÓN DE PANEL LED REDONDO DE SOBREPONER DE 24 W </t>
  </si>
  <si>
    <t xml:space="preserve">2.10.180 </t>
  </si>
  <si>
    <t>PLACA TANQUE</t>
  </si>
  <si>
    <t>EXCAVACIÓN MANUAL EN MATERIAL COMÚN</t>
  </si>
  <si>
    <t>m3</t>
  </si>
  <si>
    <t>EXCAVACIÓN ZAPATA</t>
  </si>
  <si>
    <t>ZAPATA</t>
  </si>
  <si>
    <t>COLUMNAS FRONTALES</t>
  </si>
  <si>
    <t>SUMINISTRO FIGURADA Y AMARRE DE ACERO 60000 PSI 420 Mpa</t>
  </si>
  <si>
    <t>Kg</t>
  </si>
  <si>
    <t>1/2"</t>
  </si>
  <si>
    <t>COLUMNA</t>
  </si>
  <si>
    <t>FLEJES COLUMNA</t>
  </si>
  <si>
    <t>3/8"</t>
  </si>
  <si>
    <t>ACERO PLACA</t>
  </si>
  <si>
    <t>SUMINISTRO E INSTALACIÓN DE TANQUE DE ALMACENAMIENTO DE 500L (INCLUYE CONECTOR DE ENTRADA Y SALIDA)(NO</t>
  </si>
  <si>
    <t>UNIDAD SANITARIA</t>
  </si>
  <si>
    <t>TANQUE</t>
  </si>
  <si>
    <t>SUMINISTRO AGUA</t>
  </si>
  <si>
    <t>SUMINISTRO E INSTALACIÓN DE TUBERÍA PVC DE 1" T.P. PARA RED DE SUMINISTRO</t>
  </si>
  <si>
    <t>DESFOGUE TANQUE</t>
  </si>
  <si>
    <t>RESTAS</t>
  </si>
  <si>
    <t xml:space="preserve">VENTANA </t>
  </si>
  <si>
    <t>MURO</t>
  </si>
  <si>
    <t>MESON</t>
  </si>
  <si>
    <t>SALPICADERO</t>
  </si>
  <si>
    <t>PLACA BASE EN CONCRETO E=8 CM 2500 PSI</t>
  </si>
  <si>
    <t>#5 15*15 CM</t>
  </si>
  <si>
    <t>GABINETE CILINDRO</t>
  </si>
  <si>
    <t>MUROS DE GABINETE</t>
  </si>
  <si>
    <t xml:space="preserve">2.15.09 </t>
  </si>
  <si>
    <t>SUMINISTRO E INSTALACIÓN DE REJA TIPO BANCARIA EN VARILLA CUADRADA. ( INCLUYE ANTICORROSIVO).</t>
  </si>
  <si>
    <t>2.06.37</t>
  </si>
  <si>
    <t>JUEGO MARCO Y TAPA (FUNDIDA) PARA CAJA DE INSPECCION 60X60 CM EN ÁNGULO DE 2 1/2" X 2 1/2"
CAL. 3/16" CON MALLA DE REFUERZO EN VARILLA DE 3/8</t>
  </si>
  <si>
    <t>ESCUELA LA ESPERANZA</t>
  </si>
  <si>
    <t>CUARTO DE ALIMENTOS</t>
  </si>
  <si>
    <t>CUARTO DE GUARDADOS</t>
  </si>
  <si>
    <t xml:space="preserve">2.10.179 </t>
  </si>
  <si>
    <t xml:space="preserve">SUMINISTRO E INSTALACIÓN DE PANEL LED REDONDO DE INCRUSTAR DE 24 W </t>
  </si>
  <si>
    <t>PINTURA</t>
  </si>
  <si>
    <t>2.12.167</t>
  </si>
  <si>
    <t>SUMINISTRO E INSTALACIÓN DE TANQUE DE ALMACENAMIENTO DE 1000 L (INCLUYE CONECTOR DE ENTRADA Y SALIDA) (NO INCLUYE
FLOTADOR)</t>
  </si>
  <si>
    <t>ESCUELA EL ROBLE</t>
  </si>
  <si>
    <t>SALON 1</t>
  </si>
  <si>
    <t>SALON 2</t>
  </si>
  <si>
    <t xml:space="preserve">ESCUELA INTEGRADO MIXTA </t>
  </si>
  <si>
    <t>COLEGIO SANTA BARBARA</t>
  </si>
  <si>
    <t>VALOR CON EL INCREMENTO</t>
  </si>
  <si>
    <t xml:space="preserve">2.02.33 </t>
  </si>
  <si>
    <t>SUMINISTRO E INSTALACION TUBERIA PVC SANITARIA D= 4"</t>
  </si>
  <si>
    <t>PRESUPUESTO GENERAL</t>
  </si>
  <si>
    <t>12.APARATOS SANITARIOS</t>
  </si>
  <si>
    <t>13.ESTRUCTURAS DE CONCRETO</t>
  </si>
  <si>
    <t>14.PINTURAS Y ESMALTES</t>
  </si>
  <si>
    <t xml:space="preserve"> 2.03.26</t>
  </si>
  <si>
    <t>2.07.01</t>
  </si>
  <si>
    <t>15. INSTALACIONES HIDRÁULICAS Y SANITARIAS</t>
  </si>
  <si>
    <t xml:space="preserve"> 2.12.03</t>
  </si>
  <si>
    <t>A.I.U.=</t>
  </si>
  <si>
    <t>TOTAL A.I.U</t>
  </si>
  <si>
    <t>U=</t>
  </si>
  <si>
    <t xml:space="preserve">UTILIDAD
</t>
  </si>
  <si>
    <t>I=</t>
  </si>
  <si>
    <t xml:space="preserve">IMPREVISTO
</t>
  </si>
  <si>
    <r>
      <rPr>
        <b/>
        <sz val="11"/>
        <rFont val="Verdana"/>
        <family val="2"/>
      </rPr>
      <t>NOTA 3:</t>
    </r>
    <r>
      <rPr>
        <sz val="11"/>
        <rFont val="Verdana"/>
        <family val="2"/>
      </rPr>
      <t xml:space="preserve"> El A.I.U y su discriminación deben estar en porcentaje (%). </t>
    </r>
  </si>
  <si>
    <t>A=</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</si>
  <si>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</si>
  <si>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PORCENTAJE</t>
  </si>
  <si>
    <t>DESCRIPCION</t>
  </si>
  <si>
    <r>
      <rPr>
        <b/>
        <sz val="11"/>
        <rFont val="Verdana"/>
        <family val="2"/>
      </rPr>
      <t xml:space="preserve">NOTA 1: </t>
    </r>
    <r>
      <rPr>
        <sz val="11"/>
        <rFont val="Verdana"/>
        <family val="2"/>
      </rPr>
      <t xml:space="preserve"> Se debe tener en cuenta que el PRECIO UNITARIO incluye el valor de A.I.U. </t>
    </r>
  </si>
  <si>
    <t>SUBTOTAL OBRAS (INCLUYE IVA)</t>
  </si>
  <si>
    <t xml:space="preserve">SUBTOTAL OBRAS </t>
  </si>
  <si>
    <t>Subtotal</t>
  </si>
  <si>
    <t>PARTICULAR</t>
  </si>
  <si>
    <t xml:space="preserve">VALOR TOTAL                                </t>
  </si>
  <si>
    <t>VALOR UNITARIO</t>
  </si>
  <si>
    <t>UND.</t>
  </si>
  <si>
    <t xml:space="preserve">ESPECIFICACIONES </t>
  </si>
  <si>
    <t>ITEM DE PAGO</t>
  </si>
  <si>
    <t>Nº</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</si>
  <si>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</si>
  <si>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</si>
  <si>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PRESUPUESTO OFICIAL</t>
  </si>
  <si>
    <t>FORMULARIO 1</t>
  </si>
  <si>
    <t>Versión: 1 del 21 de agosto de 2025</t>
  </si>
  <si>
    <t>Formulario 1 - Propuesta económica  - Documento tipo de selección abreviada de menor cuantía - versión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</si>
</sst>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quot;\ * #,##0.00_-;\-&quot;$&quot;\ * #,##0.00_-;_-&quot;$&quot;\ * &quot;-&quot;??_-;_-@_-"/>
    <numFmt numFmtId="43" formatCode="_-* #,##0.00_-;\-* #,##0.00_-;_-* &quot;-&quot;??_-;_-@_-"/>
    <numFmt numFmtId="164" formatCode="&quot;$&quot;\ #,##0.00"/>
    <numFmt numFmtId="165" formatCode="_-[$$-240A]\ * #,##0.00_-;\-[$$-240A]\ * #,##0.00_-;_-[$$-240A]\ * &quot;-&quot;??_-;_-@_-"/>
    <numFmt numFmtId="166" formatCode="[$-F800]dddd\,\ mmmm\ dd\,\ yyyy"/>
    <numFmt numFmtId="167" formatCode="_ * #,##0.00_ ;_ * \-#,##0.00_ ;_ * &quot;-&quot;??_ ;_ @_ "/>
    <numFmt numFmtId="168" formatCode="_-&quot;$&quot;* #,##0.00_-;\-&quot;$&quot;* #,##0.00_-;_-&quot;$&quot;* &quot;-&quot;??_-;_-@_-"/>
    <numFmt numFmtId="169" formatCode="_-* #,##0.00\ _€_-;\-* #,##0.00\ _€_-;_-* &quot;-&quot;??\ _€_-;_-@_-"/>
    <numFmt numFmtId="170" formatCode="_-&quot;$&quot;\ * #,##0.00000000000_-;\-&quot;$&quot;\ * #,##0.00000000000_-;_-&quot;$&quot;\ * &quot;-&quot;??_-;_-@_-"/>
    <numFmt numFmtId="171" formatCode="_ * #,##0_ ;_ * \-#,##0_ ;_ * &quot;-&quot;??_ ;_ @_ "/>
    <numFmt numFmtId="172" formatCode="0#.00\ \L\t"/>
    <numFmt numFmtId="173" formatCode="_ [$$-240A]\ * #,##0.00_ ;_ [$$-240A]\ * \-#,##0.00_ ;_ [$$-240A]\ * &quot;-&quot;??_ ;_ @_ "/>
    <numFmt numFmtId="174" formatCode="_([$$-240A]\ * #,##0_);_([$$-240A]\ * \(#,##0\);_([$$-240A]\ * &quot;-&quot;??_);_(@_)"/>
    <numFmt numFmtId="175" formatCode="_-* #,##0.00\ &quot;Pts&quot;_-;\-* #,##0.00\ &quot;Pts&quot;_-;_-* &quot;-&quot;??\ &quot;Pts&quot;_-;_-@_-"/>
    <numFmt numFmtId="176" formatCode="0.0%"/>
    <numFmt numFmtId="177" formatCode="_ &quot;$&quot;\ * #,##0_ ;_ &quot;$&quot;\ * \-#,##0_ ;_ &quot;$&quot;\ * &quot;-&quot;_ ;_ @_ "/>
    <numFmt numFmtId="178" formatCode="&quot;$&quot;\ #,##0.00;[Red]&quot;$&quot;\ \-#,##0.00"/>
    <numFmt numFmtId="179" formatCode="[$$-240A]\ #,##0.00"/>
  </numFmts>
  <fonts count="34">
    <font>
      <sz val="11"/>
      <color theme="1"/>
      <name val="Calibri"/>
      <family val="2"/>
      <scheme val="minor"/>
    </font>
    <font>
      <sz val="11"/>
      <color theme="1"/>
      <name val="Calibri"/>
      <family val="2"/>
      <scheme val="minor"/>
    </font>
    <font>
      <b/>
      <sz val="11"/>
      <color theme="1"/>
      <name val="Calibri"/>
      <family val="2"/>
      <scheme val="minor"/>
    </font>
    <font>
      <b/>
      <sz val="12"/>
      <name val="Calibri"/>
      <family val="2"/>
      <scheme val="minor"/>
    </font>
    <font>
      <b/>
      <sz val="11"/>
      <name val="Calibri"/>
      <family val="2"/>
      <scheme val="minor"/>
    </font>
    <font>
      <sz val="11"/>
      <name val="Calibri"/>
      <family val="2"/>
      <scheme val="minor"/>
    </font>
    <font>
      <sz val="10"/>
      <name val="Arial"/>
      <family val="2"/>
    </font>
    <font>
      <b/>
      <sz val="12"/>
      <color theme="1"/>
      <name val="Calibri"/>
      <family val="2"/>
      <scheme val="minor"/>
    </font>
    <font>
      <sz val="12"/>
      <color theme="1"/>
      <name val="Calibri"/>
      <family val="2"/>
      <scheme val="minor"/>
    </font>
    <font>
      <b/>
      <sz val="13"/>
      <color theme="1"/>
      <name val="Calibri"/>
      <family val="2"/>
      <scheme val="minor"/>
    </font>
    <font>
      <sz val="16"/>
      <name val="Arial"/>
      <family val="2"/>
    </font>
    <font>
      <b/>
      <sz val="10"/>
      <name val="Arial"/>
      <family val="2"/>
    </font>
    <font>
      <b/>
      <sz val="16"/>
      <name val="Arial"/>
      <family val="2"/>
    </font>
    <font>
      <b/>
      <sz val="12"/>
      <color theme="1"/>
      <name val="Aptos"/>
      <family val="2"/>
    </font>
    <font>
      <b/>
      <sz val="14"/>
      <color theme="1"/>
      <name val="Calibri"/>
      <family val="2"/>
      <scheme val="minor"/>
    </font>
    <font>
      <sz val="14"/>
      <color theme="1"/>
      <name val="Calibri"/>
      <family val="2"/>
      <scheme val="minor"/>
    </font>
    <font>
      <sz val="10"/>
      <name val="Arial Narrow"/>
      <family val="2"/>
    </font>
    <font>
      <u/>
      <sz val="10"/>
      <color indexed="12"/>
      <name val="Arial"/>
      <family val="2"/>
    </font>
    <font>
      <u/>
      <sz val="11"/>
      <name val="Arial"/>
      <family val="2"/>
    </font>
    <font>
      <b/>
      <sz val="11"/>
      <name val="Arial"/>
      <family val="2"/>
    </font>
    <font>
      <sz val="10"/>
      <name val="Geneva"/>
      <family val="2"/>
    </font>
    <font>
      <sz val="11"/>
      <name val="Arial"/>
      <family val="2"/>
    </font>
    <font>
      <sz val="9"/>
      <name val="Arial Narrow"/>
      <family val="2"/>
    </font>
    <font>
      <b/>
      <sz val="8"/>
      <name val="Arial Narrow"/>
      <family val="2"/>
    </font>
    <font>
      <b/>
      <vertAlign val="superscript"/>
      <sz val="11"/>
      <name val="Arial"/>
      <family val="2"/>
    </font>
    <font>
      <sz val="8"/>
      <name val="Arial Narrow"/>
      <family val="2"/>
    </font>
    <font>
      <sz val="12"/>
      <name val="Arial Narrow"/>
      <family val="2"/>
    </font>
    <font>
      <sz val="11"/>
      <name val="Verdana"/>
      <family val="2"/>
    </font>
    <font>
      <sz val="10"/>
      <name val="Arial"/>
    </font>
    <font>
      <b/>
      <sz val="11"/>
      <name val="Verdana"/>
      <family val="2"/>
    </font>
    <font>
      <b/>
      <sz val="11"/>
      <color rgb="FFFF0000"/>
      <name val="Verdana"/>
      <family val="2"/>
    </font>
    <font>
      <b/>
      <u/>
      <sz val="11"/>
      <name val="Verdana"/>
      <family val="2"/>
    </font>
    <font>
      <sz val="11"/>
      <color rgb="FF595959"/>
      <name val="Verdana"/>
      <family val="2"/>
    </font>
    <font>
      <b/>
      <sz val="11"/>
      <color rgb="FF595959"/>
      <name val="Verdana"/>
      <family val="2"/>
    </font>
  </fonts>
  <fills count="12">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00B050"/>
        <bgColor indexed="64"/>
      </patternFill>
    </fill>
    <fill>
      <patternFill patternType="solid">
        <fgColor rgb="FFFFFF00"/>
        <bgColor indexed="64"/>
      </patternFill>
    </fill>
    <fill>
      <patternFill patternType="solid">
        <fgColor rgb="FF7030A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theme="0" tint="-0.249977111117893"/>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double">
        <color auto="1"/>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style="double">
        <color auto="1"/>
      </right>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auto="1"/>
      </right>
      <top style="medium">
        <color auto="1"/>
      </top>
      <bottom/>
      <diagonal/>
    </border>
    <border>
      <left style="medium">
        <color indexed="64"/>
      </left>
      <right style="thin">
        <color indexed="64"/>
      </right>
      <top/>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auto="1"/>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auto="1"/>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style="medium">
        <color auto="1"/>
      </top>
      <bottom style="thin">
        <color auto="1"/>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double">
        <color indexed="64"/>
      </left>
      <right style="medium">
        <color indexed="64"/>
      </right>
      <top/>
      <bottom/>
      <diagonal/>
    </border>
    <border>
      <left/>
      <right style="medium">
        <color indexed="64"/>
      </right>
      <top style="thick">
        <color indexed="64"/>
      </top>
      <bottom/>
      <diagonal/>
    </border>
    <border>
      <left/>
      <right/>
      <top style="thick">
        <color auto="1"/>
      </top>
      <bottom/>
      <diagonal/>
    </border>
    <border>
      <left style="thick">
        <color auto="1"/>
      </left>
      <right/>
      <top style="thick">
        <color auto="1"/>
      </top>
      <bottom/>
      <diagonal/>
    </border>
  </borders>
  <cellStyleXfs count="22">
    <xf numFmtId="0" fontId="0" fillId="0" borderId="0"/>
    <xf numFmtId="44" fontId="1" fillId="0" borderId="0" applyFont="0" applyFill="0" applyBorder="0" applyAlignment="0" applyProtection="0"/>
    <xf numFmtId="9" fontId="1" fillId="0" borderId="0" applyFont="0" applyFill="0" applyBorder="0" applyAlignment="0" applyProtection="0"/>
    <xf numFmtId="0" fontId="6" fillId="0" borderId="0"/>
    <xf numFmtId="0" fontId="6" fillId="0" borderId="0"/>
    <xf numFmtId="0" fontId="17" fillId="0" borderId="0" applyNumberFormat="0" applyFill="0" applyBorder="0" applyAlignment="0" applyProtection="0">
      <alignment vertical="top"/>
      <protection locked="0"/>
    </xf>
    <xf numFmtId="0" fontId="20" fillId="0" borderId="0"/>
    <xf numFmtId="167" fontId="6" fillId="0" borderId="0" applyFont="0" applyFill="0" applyBorder="0" applyAlignment="0" applyProtection="0"/>
    <xf numFmtId="168" fontId="1" fillId="0" borderId="0" applyFont="0" applyFill="0" applyBorder="0" applyAlignment="0" applyProtection="0"/>
    <xf numFmtId="9" fontId="6" fillId="0" borderId="0" applyFont="0" applyFill="0" applyBorder="0" applyAlignment="0" applyProtection="0"/>
    <xf numFmtId="0" fontId="1" fillId="0" borderId="0"/>
    <xf numFmtId="0" fontId="6" fillId="0" borderId="0"/>
    <xf numFmtId="0" fontId="1" fillId="0" borderId="0"/>
    <xf numFmtId="0" fontId="28" fillId="0" borderId="0"/>
    <xf numFmtId="172" fontId="6" fillId="0" borderId="0" applyFont="0" applyFill="0" applyBorder="0" applyAlignment="0" applyProtection="0"/>
    <xf numFmtId="0" fontId="6" fillId="0" borderId="0"/>
    <xf numFmtId="175" fontId="6" fillId="0" borderId="0" applyFont="0" applyFill="0" applyBorder="0" applyAlignment="0" applyProtection="0"/>
    <xf numFmtId="0" fontId="6" fillId="0" borderId="0"/>
    <xf numFmtId="0" fontId="6" fillId="0" borderId="0"/>
    <xf numFmtId="177" fontId="6" fillId="0" borderId="0" applyFont="0" applyFill="0" applyBorder="0" applyAlignment="0" applyProtection="0"/>
    <xf numFmtId="178" fontId="6" fillId="0" borderId="0" applyFont="0" applyFill="0" applyBorder="0" applyAlignment="0" applyProtection="0"/>
    <xf numFmtId="0" fontId="6" fillId="0" borderId="0"/>
  </cellStyleXfs>
  <cellXfs count="611">
    <xf numFmtId="0" fontId="0" fillId="0" borderId="0" xfId="0"/>
    <xf numFmtId="0" fontId="3" fillId="0" borderId="1" xfId="0" applyFont="1" applyBorder="1" applyAlignment="1">
      <alignment horizontal="center" vertical="center"/>
    </xf>
    <xf numFmtId="0" fontId="3" fillId="3" borderId="1" xfId="0" applyFont="1" applyFill="1" applyBorder="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center" vertical="center"/>
    </xf>
    <xf numFmtId="43" fontId="5" fillId="0" borderId="1" xfId="0" applyNumberFormat="1" applyFont="1" applyBorder="1" applyAlignment="1">
      <alignment horizontal="center" vertical="center"/>
    </xf>
    <xf numFmtId="44" fontId="0" fillId="0" borderId="1" xfId="0" applyNumberFormat="1" applyBorder="1" applyAlignment="1">
      <alignment vertical="center"/>
    </xf>
    <xf numFmtId="0" fontId="2" fillId="0" borderId="0" xfId="0" applyFont="1" applyAlignment="1">
      <alignment horizontal="center" vertical="center" wrapText="1"/>
    </xf>
    <xf numFmtId="0" fontId="0" fillId="0" borderId="0" xfId="0" applyAlignment="1">
      <alignment vertical="center"/>
    </xf>
    <xf numFmtId="0" fontId="3" fillId="0" borderId="0" xfId="0" applyFont="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44" fontId="0" fillId="0" borderId="0" xfId="1" applyFont="1" applyFill="1" applyBorder="1" applyAlignment="1">
      <alignment horizontal="center" vertical="center"/>
    </xf>
    <xf numFmtId="0" fontId="0" fillId="4" borderId="4" xfId="0" applyFill="1" applyBorder="1" applyAlignment="1">
      <alignment horizontal="center" vertical="center"/>
    </xf>
    <xf numFmtId="0" fontId="0" fillId="4" borderId="1" xfId="0" applyFill="1" applyBorder="1" applyAlignment="1">
      <alignment horizontal="center" vertical="center" wrapText="1"/>
    </xf>
    <xf numFmtId="44" fontId="0" fillId="4" borderId="1" xfId="0" applyNumberFormat="1" applyFill="1" applyBorder="1" applyAlignment="1">
      <alignment vertical="center"/>
    </xf>
    <xf numFmtId="0" fontId="0" fillId="4" borderId="1" xfId="0" applyFill="1" applyBorder="1" applyAlignment="1">
      <alignment horizontal="center" vertical="center"/>
    </xf>
    <xf numFmtId="44" fontId="0" fillId="0" borderId="0" xfId="1" applyFont="1" applyFill="1" applyAlignment="1">
      <alignment horizontal="center" vertical="center"/>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44" fontId="0" fillId="6" borderId="1" xfId="0" applyNumberFormat="1" applyFill="1" applyBorder="1" applyAlignment="1">
      <alignment vertical="center"/>
    </xf>
    <xf numFmtId="44" fontId="0" fillId="0" borderId="0" xfId="1" applyFont="1" applyAlignment="1">
      <alignment vertical="center"/>
    </xf>
    <xf numFmtId="44" fontId="0" fillId="4" borderId="1" xfId="1" applyFont="1" applyFill="1" applyBorder="1" applyAlignment="1">
      <alignment horizontal="center" vertical="center" wrapText="1"/>
    </xf>
    <xf numFmtId="9" fontId="0" fillId="0" borderId="1" xfId="2" applyFont="1" applyFill="1" applyBorder="1" applyAlignment="1">
      <alignment horizontal="center" vertical="center"/>
    </xf>
    <xf numFmtId="49" fontId="0" fillId="0" borderId="0" xfId="0" applyNumberFormat="1" applyAlignment="1">
      <alignment horizontal="center" vertical="center"/>
    </xf>
    <xf numFmtId="0" fontId="2" fillId="0" borderId="1" xfId="0" applyFont="1" applyBorder="1" applyAlignment="1">
      <alignment horizontal="center"/>
    </xf>
    <xf numFmtId="44" fontId="7" fillId="8" borderId="1" xfId="0" applyNumberFormat="1" applyFont="1" applyFill="1" applyBorder="1"/>
    <xf numFmtId="49" fontId="7" fillId="0" borderId="0" xfId="0" applyNumberFormat="1" applyFont="1" applyAlignment="1">
      <alignment horizontal="center" vertical="center"/>
    </xf>
    <xf numFmtId="44" fontId="7" fillId="0" borderId="0" xfId="0" applyNumberFormat="1" applyFont="1"/>
    <xf numFmtId="44" fontId="0" fillId="0" borderId="0" xfId="0" applyNumberFormat="1"/>
    <xf numFmtId="9" fontId="1" fillId="0" borderId="1" xfId="2" applyFont="1" applyFill="1" applyBorder="1" applyAlignment="1">
      <alignment horizontal="center"/>
    </xf>
    <xf numFmtId="44" fontId="8" fillId="0" borderId="1" xfId="0" applyNumberFormat="1" applyFont="1" applyBorder="1"/>
    <xf numFmtId="49" fontId="8" fillId="0" borderId="0" xfId="0" applyNumberFormat="1" applyFont="1" applyAlignment="1">
      <alignment horizontal="center" vertical="center"/>
    </xf>
    <xf numFmtId="44" fontId="8" fillId="0" borderId="0" xfId="0" applyNumberFormat="1" applyFont="1"/>
    <xf numFmtId="44" fontId="9" fillId="7" borderId="1" xfId="0" applyNumberFormat="1" applyFont="1" applyFill="1" applyBorder="1"/>
    <xf numFmtId="49" fontId="9" fillId="0" borderId="7" xfId="0" applyNumberFormat="1" applyFont="1" applyBorder="1" applyAlignment="1">
      <alignment horizontal="center" vertical="center"/>
    </xf>
    <xf numFmtId="44" fontId="9" fillId="0" borderId="0" xfId="0" applyNumberFormat="1" applyFont="1"/>
    <xf numFmtId="44" fontId="0" fillId="0" borderId="0" xfId="1" applyFont="1" applyBorder="1"/>
    <xf numFmtId="0" fontId="0" fillId="0" borderId="0" xfId="0" applyAlignment="1">
      <alignment horizontal="center"/>
    </xf>
    <xf numFmtId="0" fontId="0" fillId="3" borderId="0" xfId="0" applyFill="1" applyAlignment="1">
      <alignment horizontal="center"/>
    </xf>
    <xf numFmtId="0" fontId="0" fillId="0" borderId="0" xfId="0" applyAlignment="1">
      <alignment horizontal="center" wrapText="1"/>
    </xf>
    <xf numFmtId="0" fontId="0" fillId="0" borderId="0" xfId="0" applyAlignment="1">
      <alignment horizontal="center" vertical="center"/>
    </xf>
    <xf numFmtId="164" fontId="0" fillId="0" borderId="0" xfId="0" applyNumberFormat="1" applyAlignment="1">
      <alignment horizontal="center"/>
    </xf>
    <xf numFmtId="165" fontId="10" fillId="0" borderId="0" xfId="3" applyNumberFormat="1" applyFont="1" applyAlignment="1">
      <alignment vertical="center" wrapText="1"/>
    </xf>
    <xf numFmtId="0" fontId="10" fillId="0" borderId="0" xfId="3" applyFont="1" applyAlignment="1">
      <alignment horizontal="center"/>
    </xf>
    <xf numFmtId="0" fontId="12" fillId="0" borderId="0" xfId="3" applyFont="1" applyAlignment="1">
      <alignment vertical="top" wrapText="1"/>
    </xf>
    <xf numFmtId="165" fontId="12" fillId="0" borderId="0" xfId="3" applyNumberFormat="1" applyFont="1" applyAlignment="1">
      <alignment vertical="center" wrapText="1"/>
    </xf>
    <xf numFmtId="165" fontId="10" fillId="0" borderId="0" xfId="3" applyNumberFormat="1" applyFont="1" applyAlignment="1">
      <alignment horizontal="center" wrapText="1"/>
    </xf>
    <xf numFmtId="49" fontId="12" fillId="0" borderId="0" xfId="3" applyNumberFormat="1" applyFont="1" applyAlignment="1">
      <alignment horizontal="center" vertical="center" wrapText="1"/>
    </xf>
    <xf numFmtId="0" fontId="0" fillId="3" borderId="0" xfId="0" applyFill="1"/>
    <xf numFmtId="0" fontId="0" fillId="0" borderId="0" xfId="0" applyAlignment="1">
      <alignment wrapText="1"/>
    </xf>
    <xf numFmtId="164" fontId="0" fillId="0" borderId="0" xfId="0" applyNumberFormat="1"/>
    <xf numFmtId="0" fontId="11" fillId="0" borderId="0" xfId="3" applyFont="1" applyAlignment="1">
      <alignment horizontal="justify" vertical="top" wrapText="1"/>
    </xf>
    <xf numFmtId="165" fontId="6" fillId="0" borderId="0" xfId="3" applyNumberFormat="1" applyAlignment="1">
      <alignment horizontal="left" wrapText="1"/>
    </xf>
    <xf numFmtId="0" fontId="8" fillId="0" borderId="0" xfId="0" applyFont="1"/>
    <xf numFmtId="0" fontId="8" fillId="0" borderId="0" xfId="0" applyFont="1" applyAlignment="1">
      <alignment horizontal="center"/>
    </xf>
    <xf numFmtId="0" fontId="8" fillId="0" borderId="12" xfId="0" applyFont="1" applyBorder="1"/>
    <xf numFmtId="0" fontId="8" fillId="0" borderId="13" xfId="0" applyFont="1" applyBorder="1" applyAlignment="1">
      <alignment horizontal="center"/>
    </xf>
    <xf numFmtId="0" fontId="8" fillId="0" borderId="13" xfId="0" applyFont="1" applyBorder="1"/>
    <xf numFmtId="0" fontId="8" fillId="0" borderId="14" xfId="0" applyFont="1" applyBorder="1"/>
    <xf numFmtId="0" fontId="8" fillId="0" borderId="15" xfId="0" applyFont="1" applyBorder="1"/>
    <xf numFmtId="0" fontId="8" fillId="0" borderId="20" xfId="0" applyFont="1" applyBorder="1"/>
    <xf numFmtId="0" fontId="7" fillId="0" borderId="20" xfId="0" applyFont="1" applyBorder="1"/>
    <xf numFmtId="0" fontId="7" fillId="0" borderId="0" xfId="0" applyFont="1"/>
    <xf numFmtId="0" fontId="8" fillId="0" borderId="15" xfId="0" applyFont="1" applyBorder="1" applyAlignment="1">
      <alignment vertical="center"/>
    </xf>
    <xf numFmtId="0" fontId="8" fillId="0" borderId="20" xfId="0" applyFont="1" applyBorder="1" applyAlignment="1">
      <alignment vertical="center"/>
    </xf>
    <xf numFmtId="0" fontId="8" fillId="0" borderId="0" xfId="0" applyFont="1" applyAlignment="1">
      <alignment vertical="center"/>
    </xf>
    <xf numFmtId="0" fontId="7" fillId="0" borderId="26"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4" xfId="0" applyFont="1" applyBorder="1" applyAlignment="1">
      <alignment horizontal="left" vertical="center" wrapText="1"/>
    </xf>
    <xf numFmtId="164" fontId="8" fillId="0" borderId="34" xfId="0" applyNumberFormat="1" applyFont="1" applyBorder="1" applyAlignment="1">
      <alignment horizontal="center" vertical="center" wrapText="1"/>
    </xf>
    <xf numFmtId="0" fontId="7" fillId="0" borderId="34" xfId="0" applyFont="1" applyBorder="1" applyAlignment="1">
      <alignment horizontal="center" vertical="center" wrapText="1"/>
    </xf>
    <xf numFmtId="2" fontId="8" fillId="0" borderId="34" xfId="0" applyNumberFormat="1" applyFont="1" applyBorder="1" applyAlignment="1">
      <alignment horizontal="center" vertical="center" wrapText="1"/>
    </xf>
    <xf numFmtId="2" fontId="7" fillId="9" borderId="26" xfId="0" applyNumberFormat="1" applyFont="1" applyFill="1" applyBorder="1" applyAlignment="1">
      <alignment horizontal="center" vertical="center" wrapText="1"/>
    </xf>
    <xf numFmtId="44" fontId="7" fillId="9" borderId="26" xfId="1" applyFont="1" applyFill="1" applyBorder="1" applyAlignment="1">
      <alignment vertical="center" wrapText="1"/>
    </xf>
    <xf numFmtId="0" fontId="8" fillId="0" borderId="15" xfId="0" applyFont="1" applyBorder="1" applyAlignment="1">
      <alignment vertical="center" wrapText="1"/>
    </xf>
    <xf numFmtId="0" fontId="8" fillId="0" borderId="11" xfId="0" applyFont="1" applyBorder="1" applyAlignment="1">
      <alignment horizontal="center" vertical="center" wrapText="1"/>
    </xf>
    <xf numFmtId="0" fontId="8" fillId="0" borderId="11" xfId="0" applyFont="1" applyBorder="1" applyAlignment="1">
      <alignment horizontal="left" vertical="center" wrapText="1"/>
    </xf>
    <xf numFmtId="164" fontId="8" fillId="0" borderId="11" xfId="0" applyNumberFormat="1" applyFont="1" applyBorder="1" applyAlignment="1">
      <alignment horizontal="center" vertical="center" wrapText="1"/>
    </xf>
    <xf numFmtId="2" fontId="8" fillId="0" borderId="11" xfId="0" applyNumberFormat="1" applyFont="1" applyBorder="1" applyAlignment="1">
      <alignment horizontal="center" vertical="center" wrapText="1"/>
    </xf>
    <xf numFmtId="2" fontId="7" fillId="0" borderId="11" xfId="0" applyNumberFormat="1" applyFont="1" applyBorder="1" applyAlignment="1">
      <alignment horizontal="center" vertical="center" wrapText="1"/>
    </xf>
    <xf numFmtId="44" fontId="7" fillId="0" borderId="11" xfId="1" applyFont="1" applyBorder="1" applyAlignment="1">
      <alignment vertical="center" wrapText="1"/>
    </xf>
    <xf numFmtId="0" fontId="8" fillId="0" borderId="20" xfId="0" applyFont="1" applyBorder="1" applyAlignment="1">
      <alignment vertical="center" wrapText="1"/>
    </xf>
    <xf numFmtId="0" fontId="8" fillId="0" borderId="0" xfId="0" applyFont="1" applyAlignment="1">
      <alignment vertical="center" wrapText="1"/>
    </xf>
    <xf numFmtId="0" fontId="7" fillId="0" borderId="1" xfId="0" applyFont="1" applyBorder="1" applyAlignment="1">
      <alignment horizontal="center" vertical="center" wrapText="1"/>
    </xf>
    <xf numFmtId="2"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6" xfId="0" applyFont="1" applyBorder="1" applyAlignment="1">
      <alignment horizontal="left" vertical="center" wrapText="1"/>
    </xf>
    <xf numFmtId="164" fontId="8" fillId="0" borderId="26" xfId="0" applyNumberFormat="1" applyFont="1" applyBorder="1" applyAlignment="1">
      <alignment horizontal="center" vertical="center" wrapText="1"/>
    </xf>
    <xf numFmtId="2" fontId="8" fillId="0" borderId="26" xfId="0" applyNumberFormat="1" applyFont="1" applyBorder="1" applyAlignment="1">
      <alignment horizontal="center" vertical="center" wrapText="1"/>
    </xf>
    <xf numFmtId="44" fontId="7" fillId="0" borderId="1" xfId="1" applyFont="1" applyFill="1" applyBorder="1" applyAlignment="1">
      <alignment vertical="center" wrapText="1"/>
    </xf>
    <xf numFmtId="44" fontId="7" fillId="9" borderId="34" xfId="1" applyFont="1" applyFill="1" applyBorder="1" applyAlignment="1">
      <alignment vertical="center" wrapText="1"/>
    </xf>
    <xf numFmtId="44" fontId="7" fillId="0" borderId="11" xfId="1" applyFont="1" applyFill="1" applyBorder="1" applyAlignment="1">
      <alignment vertical="center" wrapText="1"/>
    </xf>
    <xf numFmtId="0" fontId="7" fillId="0" borderId="11" xfId="0" applyFont="1" applyBorder="1" applyAlignment="1">
      <alignment horizontal="center" vertical="center" wrapText="1"/>
    </xf>
    <xf numFmtId="2" fontId="7" fillId="9" borderId="34" xfId="0" applyNumberFormat="1" applyFont="1" applyFill="1" applyBorder="1" applyAlignment="1">
      <alignment horizontal="center" vertical="center" wrapText="1"/>
    </xf>
    <xf numFmtId="44" fontId="7" fillId="9" borderId="11" xfId="0" applyNumberFormat="1" applyFont="1" applyFill="1" applyBorder="1" applyAlignment="1">
      <alignment horizontal="center" vertical="center"/>
    </xf>
    <xf numFmtId="0" fontId="15" fillId="0" borderId="15" xfId="0" applyFont="1" applyBorder="1" applyAlignment="1">
      <alignment horizontal="center" vertical="center"/>
    </xf>
    <xf numFmtId="0" fontId="14" fillId="0" borderId="0" xfId="0" applyFont="1" applyAlignment="1">
      <alignment horizontal="center" vertical="center"/>
    </xf>
    <xf numFmtId="44" fontId="7" fillId="0" borderId="0" xfId="0" applyNumberFormat="1" applyFont="1" applyAlignment="1">
      <alignment horizontal="center" vertical="center"/>
    </xf>
    <xf numFmtId="0" fontId="15" fillId="0" borderId="20" xfId="0" applyFont="1" applyBorder="1" applyAlignment="1">
      <alignment horizontal="center" vertical="center"/>
    </xf>
    <xf numFmtId="0" fontId="15" fillId="0" borderId="0" xfId="0" applyFont="1" applyAlignment="1">
      <alignment horizontal="center" vertical="center"/>
    </xf>
    <xf numFmtId="0" fontId="7" fillId="0" borderId="15" xfId="0" applyFont="1" applyBorder="1" applyAlignment="1">
      <alignment horizontal="center"/>
    </xf>
    <xf numFmtId="0" fontId="7" fillId="0" borderId="15" xfId="0" applyFont="1" applyBorder="1" applyAlignment="1">
      <alignment horizontal="center" vertic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8" xfId="0" applyFont="1" applyBorder="1"/>
    <xf numFmtId="0" fontId="8" fillId="0" borderId="39" xfId="0" applyFont="1" applyBorder="1"/>
    <xf numFmtId="0" fontId="8" fillId="0" borderId="37" xfId="0" applyFont="1" applyBorder="1"/>
    <xf numFmtId="2" fontId="7" fillId="0" borderId="1" xfId="0" applyNumberFormat="1" applyFont="1" applyBorder="1" applyAlignment="1">
      <alignment horizontal="center" vertical="center" wrapText="1"/>
    </xf>
    <xf numFmtId="0" fontId="8" fillId="0" borderId="1" xfId="0" applyFont="1" applyBorder="1"/>
    <xf numFmtId="0" fontId="16" fillId="0" borderId="0" xfId="4" applyFont="1" applyAlignment="1">
      <alignment vertical="center"/>
    </xf>
    <xf numFmtId="0" fontId="16" fillId="0" borderId="12" xfId="4" applyFont="1" applyBorder="1" applyAlignment="1">
      <alignment vertical="center"/>
    </xf>
    <xf numFmtId="0" fontId="16" fillId="0" borderId="13" xfId="4" applyFont="1" applyBorder="1" applyAlignment="1">
      <alignment vertical="center"/>
    </xf>
    <xf numFmtId="0" fontId="16" fillId="0" borderId="14" xfId="4" applyFont="1" applyBorder="1" applyAlignment="1">
      <alignment vertical="center"/>
    </xf>
    <xf numFmtId="0" fontId="16" fillId="0" borderId="15" xfId="4" applyFont="1" applyBorder="1" applyAlignment="1">
      <alignment vertical="center"/>
    </xf>
    <xf numFmtId="0" fontId="22" fillId="0" borderId="20" xfId="6" applyFont="1" applyBorder="1" applyAlignment="1">
      <alignment horizontal="center" vertical="center"/>
    </xf>
    <xf numFmtId="0" fontId="22" fillId="0" borderId="20" xfId="4" applyFont="1" applyBorder="1" applyAlignment="1">
      <alignment horizontal="center" vertical="center"/>
    </xf>
    <xf numFmtId="0" fontId="21" fillId="0" borderId="50" xfId="4" applyFont="1" applyBorder="1" applyAlignment="1">
      <alignment horizontal="center" vertical="center"/>
    </xf>
    <xf numFmtId="0" fontId="19" fillId="0" borderId="45" xfId="4" applyFont="1" applyBorder="1" applyAlignment="1">
      <alignment horizontal="center" vertical="center"/>
    </xf>
    <xf numFmtId="0" fontId="21" fillId="0" borderId="45" xfId="4" applyFont="1" applyBorder="1" applyAlignment="1">
      <alignment vertical="center"/>
    </xf>
    <xf numFmtId="0" fontId="21" fillId="0" borderId="46" xfId="4" applyFont="1" applyBorder="1" applyAlignment="1">
      <alignment vertical="center"/>
    </xf>
    <xf numFmtId="0" fontId="22" fillId="0" borderId="20" xfId="4" applyFont="1" applyBorder="1" applyAlignment="1">
      <alignment vertical="center"/>
    </xf>
    <xf numFmtId="0" fontId="21" fillId="0" borderId="28" xfId="4" applyFont="1" applyBorder="1" applyAlignment="1">
      <alignment horizontal="center" vertical="center"/>
    </xf>
    <xf numFmtId="0" fontId="19" fillId="0" borderId="29" xfId="4" applyFont="1" applyBorder="1" applyAlignment="1">
      <alignment horizontal="center" vertical="center"/>
    </xf>
    <xf numFmtId="0" fontId="21" fillId="0" borderId="29" xfId="4" applyFont="1" applyBorder="1" applyAlignment="1">
      <alignment horizontal="right" vertical="center"/>
    </xf>
    <xf numFmtId="0" fontId="21" fillId="0" borderId="51" xfId="4" applyFont="1" applyBorder="1" applyAlignment="1">
      <alignment horizontal="center" vertical="center"/>
    </xf>
    <xf numFmtId="0" fontId="21" fillId="0" borderId="52" xfId="4" applyFont="1" applyBorder="1" applyAlignment="1">
      <alignment horizontal="center" vertical="center"/>
    </xf>
    <xf numFmtId="0" fontId="21" fillId="0" borderId="53" xfId="4" applyFont="1" applyBorder="1" applyAlignment="1">
      <alignment horizontal="center" vertical="center"/>
    </xf>
    <xf numFmtId="0" fontId="19" fillId="0" borderId="0" xfId="4" applyFont="1" applyAlignment="1">
      <alignment horizontal="center" vertical="center"/>
    </xf>
    <xf numFmtId="0" fontId="21" fillId="0" borderId="0" xfId="4" applyFont="1" applyAlignment="1">
      <alignment horizontal="right" vertical="center"/>
    </xf>
    <xf numFmtId="1" fontId="21" fillId="5" borderId="1" xfId="4" applyNumberFormat="1" applyFont="1" applyFill="1" applyBorder="1" applyAlignment="1">
      <alignment horizontal="center" vertical="center"/>
    </xf>
    <xf numFmtId="1" fontId="21" fillId="5" borderId="24" xfId="4" applyNumberFormat="1" applyFont="1" applyFill="1" applyBorder="1" applyAlignment="1">
      <alignment horizontal="center" vertical="center"/>
    </xf>
    <xf numFmtId="1" fontId="22" fillId="0" borderId="20" xfId="4" applyNumberFormat="1" applyFont="1" applyBorder="1" applyAlignment="1">
      <alignment horizontal="center" vertical="center"/>
    </xf>
    <xf numFmtId="0" fontId="21" fillId="0" borderId="0" xfId="4" applyFont="1" applyAlignment="1">
      <alignment vertical="center"/>
    </xf>
    <xf numFmtId="1" fontId="21" fillId="0" borderId="54" xfId="4" applyNumberFormat="1" applyFont="1" applyBorder="1" applyAlignment="1">
      <alignment horizontal="center" vertical="center"/>
    </xf>
    <xf numFmtId="0" fontId="21" fillId="0" borderId="55" xfId="4" applyFont="1" applyBorder="1" applyAlignment="1">
      <alignment horizontal="left" vertical="center"/>
    </xf>
    <xf numFmtId="0" fontId="21" fillId="0" borderId="35" xfId="4" applyFont="1" applyBorder="1" applyAlignment="1">
      <alignment horizontal="center" vertical="center"/>
    </xf>
    <xf numFmtId="0" fontId="21" fillId="0" borderId="44" xfId="4" applyFont="1" applyBorder="1" applyAlignment="1">
      <alignment horizontal="center" vertical="center"/>
    </xf>
    <xf numFmtId="0" fontId="21" fillId="0" borderId="56" xfId="4" applyFont="1" applyBorder="1" applyAlignment="1">
      <alignment vertical="center"/>
    </xf>
    <xf numFmtId="0" fontId="21" fillId="0" borderId="57" xfId="4" applyFont="1" applyBorder="1" applyAlignment="1">
      <alignment vertical="center"/>
    </xf>
    <xf numFmtId="0" fontId="21" fillId="0" borderId="58" xfId="4" applyFont="1" applyBorder="1" applyAlignment="1">
      <alignment vertical="center"/>
    </xf>
    <xf numFmtId="0" fontId="16" fillId="0" borderId="20" xfId="4" applyFont="1" applyBorder="1" applyAlignment="1">
      <alignment vertical="center"/>
    </xf>
    <xf numFmtId="0" fontId="21" fillId="0" borderId="28" xfId="4" applyFont="1" applyBorder="1" applyAlignment="1">
      <alignment vertical="center"/>
    </xf>
    <xf numFmtId="0" fontId="21" fillId="0" borderId="29" xfId="4" applyFont="1" applyBorder="1" applyAlignment="1">
      <alignment vertical="center"/>
    </xf>
    <xf numFmtId="0" fontId="21" fillId="0" borderId="30" xfId="4" applyFont="1" applyBorder="1" applyAlignment="1">
      <alignment vertical="center"/>
    </xf>
    <xf numFmtId="0" fontId="23" fillId="0" borderId="20" xfId="4" applyFont="1" applyBorder="1" applyAlignment="1" applyProtection="1">
      <alignment horizontal="center" vertical="center"/>
      <protection locked="0"/>
    </xf>
    <xf numFmtId="0" fontId="21" fillId="0" borderId="53" xfId="4" applyFont="1" applyBorder="1" applyAlignment="1">
      <alignment vertical="center"/>
    </xf>
    <xf numFmtId="0" fontId="21" fillId="0" borderId="54" xfId="4" applyFont="1" applyBorder="1" applyAlignment="1">
      <alignment vertical="center"/>
    </xf>
    <xf numFmtId="0" fontId="19" fillId="10" borderId="59" xfId="4" applyFont="1" applyFill="1" applyBorder="1" applyAlignment="1">
      <alignment horizontal="center" vertical="center"/>
    </xf>
    <xf numFmtId="0" fontId="23" fillId="0" borderId="20" xfId="4" applyFont="1" applyBorder="1" applyAlignment="1">
      <alignment horizontal="center" vertical="center"/>
    </xf>
    <xf numFmtId="0" fontId="21" fillId="10" borderId="63" xfId="4" applyFont="1" applyFill="1" applyBorder="1" applyAlignment="1">
      <alignment horizontal="center" vertical="center"/>
    </xf>
    <xf numFmtId="4" fontId="21" fillId="5" borderId="63" xfId="4" applyNumberFormat="1" applyFont="1" applyFill="1" applyBorder="1" applyAlignment="1">
      <alignment horizontal="center" vertical="center"/>
    </xf>
    <xf numFmtId="4" fontId="16" fillId="0" borderId="20" xfId="4" applyNumberFormat="1" applyFont="1" applyBorder="1" applyAlignment="1">
      <alignment horizontal="center" vertical="center"/>
    </xf>
    <xf numFmtId="0" fontId="23" fillId="0" borderId="20" xfId="4" applyFont="1" applyBorder="1" applyAlignment="1">
      <alignment horizontal="left" vertical="center"/>
    </xf>
    <xf numFmtId="0" fontId="19" fillId="10" borderId="51" xfId="4" applyFont="1" applyFill="1" applyBorder="1" applyAlignment="1">
      <alignment horizontal="center" vertical="center"/>
    </xf>
    <xf numFmtId="0" fontId="19" fillId="10" borderId="52" xfId="4" applyFont="1" applyFill="1" applyBorder="1" applyAlignment="1">
      <alignment horizontal="center" vertical="center"/>
    </xf>
    <xf numFmtId="167" fontId="21" fillId="0" borderId="1" xfId="7" applyFont="1" applyBorder="1" applyAlignment="1">
      <alignment vertical="center"/>
    </xf>
    <xf numFmtId="167" fontId="21" fillId="0" borderId="24" xfId="7" applyFont="1" applyBorder="1" applyAlignment="1">
      <alignment vertical="center"/>
    </xf>
    <xf numFmtId="167" fontId="16" fillId="0" borderId="20" xfId="7" applyFont="1" applyFill="1" applyBorder="1" applyAlignment="1">
      <alignment vertical="center"/>
    </xf>
    <xf numFmtId="168" fontId="16" fillId="0" borderId="0" xfId="8" applyFont="1" applyAlignment="1">
      <alignment vertical="center"/>
    </xf>
    <xf numFmtId="167" fontId="21" fillId="0" borderId="72" xfId="7" applyFont="1" applyBorder="1" applyAlignment="1">
      <alignment vertical="center"/>
    </xf>
    <xf numFmtId="167" fontId="21" fillId="0" borderId="75" xfId="4" applyNumberFormat="1" applyFont="1" applyBorder="1" applyAlignment="1">
      <alignment vertical="center"/>
    </xf>
    <xf numFmtId="167" fontId="16" fillId="0" borderId="20" xfId="4" applyNumberFormat="1" applyFont="1" applyBorder="1" applyAlignment="1">
      <alignment vertical="center"/>
    </xf>
    <xf numFmtId="0" fontId="19" fillId="10" borderId="68" xfId="4" applyFont="1" applyFill="1" applyBorder="1" applyAlignment="1">
      <alignment horizontal="center" vertical="center"/>
    </xf>
    <xf numFmtId="0" fontId="21" fillId="0" borderId="3" xfId="4" applyFont="1" applyBorder="1" applyAlignment="1">
      <alignment horizontal="center" vertical="center"/>
    </xf>
    <xf numFmtId="2" fontId="21" fillId="0" borderId="1" xfId="4" applyNumberFormat="1" applyFont="1" applyBorder="1" applyAlignment="1">
      <alignment horizontal="center" vertical="center"/>
    </xf>
    <xf numFmtId="44" fontId="21" fillId="0" borderId="24" xfId="1" applyFont="1" applyBorder="1" applyAlignment="1">
      <alignment vertical="center"/>
    </xf>
    <xf numFmtId="0" fontId="21" fillId="0" borderId="45" xfId="4" applyFont="1" applyBorder="1" applyAlignment="1">
      <alignment horizontal="center" vertical="center"/>
    </xf>
    <xf numFmtId="2" fontId="21" fillId="0" borderId="6" xfId="4" applyNumberFormat="1" applyFont="1" applyBorder="1" applyAlignment="1">
      <alignment horizontal="center" vertical="center"/>
    </xf>
    <xf numFmtId="0" fontId="21" fillId="0" borderId="26" xfId="4" applyFont="1" applyBorder="1" applyAlignment="1">
      <alignment vertical="center"/>
    </xf>
    <xf numFmtId="167" fontId="21" fillId="0" borderId="75" xfId="7" applyFont="1" applyBorder="1" applyAlignment="1">
      <alignment vertical="center"/>
    </xf>
    <xf numFmtId="0" fontId="19" fillId="10" borderId="61" xfId="4" applyFont="1" applyFill="1" applyBorder="1" applyAlignment="1">
      <alignment horizontal="center" vertical="center"/>
    </xf>
    <xf numFmtId="0" fontId="19" fillId="10" borderId="51" xfId="4" applyFont="1" applyFill="1" applyBorder="1" applyAlignment="1">
      <alignment vertical="center"/>
    </xf>
    <xf numFmtId="2" fontId="21" fillId="0" borderId="3" xfId="4" applyNumberFormat="1" applyFont="1" applyBorder="1" applyAlignment="1">
      <alignment horizontal="center" vertical="center"/>
    </xf>
    <xf numFmtId="0" fontId="21" fillId="0" borderId="72" xfId="4" applyFont="1" applyBorder="1" applyAlignment="1">
      <alignment vertical="center"/>
    </xf>
    <xf numFmtId="0" fontId="21" fillId="0" borderId="65" xfId="4" applyFont="1" applyBorder="1" applyAlignment="1">
      <alignment vertical="center"/>
    </xf>
    <xf numFmtId="167" fontId="21" fillId="0" borderId="76" xfId="7" applyFont="1" applyBorder="1" applyAlignment="1">
      <alignment vertical="center"/>
    </xf>
    <xf numFmtId="0" fontId="19" fillId="10" borderId="61" xfId="4" applyFont="1" applyFill="1" applyBorder="1" applyAlignment="1">
      <alignment horizontal="center" vertical="center" wrapText="1"/>
    </xf>
    <xf numFmtId="0" fontId="19" fillId="10" borderId="51" xfId="4" applyFont="1" applyFill="1" applyBorder="1" applyAlignment="1">
      <alignment horizontal="center" vertical="center" wrapText="1"/>
    </xf>
    <xf numFmtId="0" fontId="19" fillId="10" borderId="52" xfId="4" applyFont="1" applyFill="1" applyBorder="1" applyAlignment="1">
      <alignment horizontal="center" vertical="center" wrapText="1"/>
    </xf>
    <xf numFmtId="0" fontId="23" fillId="0" borderId="20" xfId="4" applyFont="1" applyBorder="1" applyAlignment="1">
      <alignment horizontal="center" vertical="center" wrapText="1"/>
    </xf>
    <xf numFmtId="168" fontId="21" fillId="0" borderId="1" xfId="8" applyFont="1" applyBorder="1" applyAlignment="1">
      <alignment horizontal="center" vertical="center"/>
    </xf>
    <xf numFmtId="0" fontId="21" fillId="0" borderId="3" xfId="9" applyNumberFormat="1" applyFont="1" applyBorder="1" applyAlignment="1">
      <alignment horizontal="center" vertical="center"/>
    </xf>
    <xf numFmtId="168" fontId="21" fillId="0" borderId="11" xfId="8" applyFont="1" applyBorder="1" applyAlignment="1">
      <alignment vertical="center" wrapText="1"/>
    </xf>
    <xf numFmtId="167" fontId="16" fillId="0" borderId="20" xfId="7" applyFont="1" applyFill="1" applyBorder="1" applyAlignment="1">
      <alignment horizontal="center" vertical="center" wrapText="1"/>
    </xf>
    <xf numFmtId="0" fontId="21" fillId="0" borderId="69" xfId="4" applyFont="1" applyBorder="1" applyAlignment="1">
      <alignment horizontal="left" vertical="center"/>
    </xf>
    <xf numFmtId="0" fontId="21" fillId="0" borderId="3" xfId="4" applyFont="1" applyBorder="1" applyAlignment="1">
      <alignment horizontal="left" vertical="center"/>
    </xf>
    <xf numFmtId="167" fontId="21" fillId="0" borderId="1" xfId="7" applyFont="1" applyBorder="1" applyAlignment="1">
      <alignment horizontal="center" vertical="center"/>
    </xf>
    <xf numFmtId="169" fontId="21" fillId="0" borderId="11" xfId="4" applyNumberFormat="1" applyFont="1" applyBorder="1" applyAlignment="1">
      <alignment horizontal="center" vertical="center" wrapText="1"/>
    </xf>
    <xf numFmtId="167" fontId="21" fillId="0" borderId="77" xfId="7" applyFont="1" applyBorder="1" applyAlignment="1">
      <alignment horizontal="center" vertical="center" wrapText="1"/>
    </xf>
    <xf numFmtId="169" fontId="21" fillId="10" borderId="75" xfId="4" applyNumberFormat="1" applyFont="1" applyFill="1" applyBorder="1" applyAlignment="1">
      <alignment vertical="center"/>
    </xf>
    <xf numFmtId="169" fontId="16" fillId="0" borderId="20" xfId="4" applyNumberFormat="1" applyFont="1" applyBorder="1" applyAlignment="1">
      <alignment vertical="center"/>
    </xf>
    <xf numFmtId="169" fontId="21" fillId="0" borderId="30" xfId="4" applyNumberFormat="1" applyFont="1" applyBorder="1" applyAlignment="1">
      <alignment vertical="center"/>
    </xf>
    <xf numFmtId="169" fontId="21" fillId="10" borderId="30" xfId="4" applyNumberFormat="1" applyFont="1" applyFill="1" applyBorder="1" applyAlignment="1">
      <alignment vertical="center"/>
    </xf>
    <xf numFmtId="0" fontId="19" fillId="10" borderId="67" xfId="4" applyFont="1" applyFill="1" applyBorder="1" applyAlignment="1">
      <alignment horizontal="center" vertical="center" wrapText="1"/>
    </xf>
    <xf numFmtId="43" fontId="21" fillId="0" borderId="3" xfId="7" applyNumberFormat="1" applyFont="1" applyBorder="1" applyAlignment="1">
      <alignment vertical="center"/>
    </xf>
    <xf numFmtId="9" fontId="21" fillId="0" borderId="4" xfId="9" applyFont="1" applyBorder="1" applyAlignment="1">
      <alignment vertical="center"/>
    </xf>
    <xf numFmtId="9" fontId="21" fillId="0" borderId="1" xfId="9" applyFont="1" applyBorder="1" applyAlignment="1">
      <alignment horizontal="center" vertical="center"/>
    </xf>
    <xf numFmtId="43" fontId="21" fillId="0" borderId="24" xfId="7" applyNumberFormat="1" applyFont="1" applyBorder="1" applyAlignment="1">
      <alignment vertical="center"/>
    </xf>
    <xf numFmtId="43" fontId="16" fillId="0" borderId="20" xfId="7" applyNumberFormat="1" applyFont="1" applyFill="1" applyBorder="1" applyAlignment="1">
      <alignment vertical="center"/>
    </xf>
    <xf numFmtId="0" fontId="21" fillId="0" borderId="50" xfId="4" applyFont="1" applyBorder="1" applyAlignment="1">
      <alignment vertical="center"/>
    </xf>
    <xf numFmtId="43" fontId="21" fillId="0" borderId="57" xfId="7" applyNumberFormat="1" applyFont="1" applyBorder="1" applyAlignment="1">
      <alignment vertical="center"/>
    </xf>
    <xf numFmtId="9" fontId="21" fillId="0" borderId="70" xfId="9" applyFont="1" applyBorder="1" applyAlignment="1">
      <alignment vertical="center"/>
    </xf>
    <xf numFmtId="43" fontId="21" fillId="0" borderId="75" xfId="4" applyNumberFormat="1" applyFont="1" applyBorder="1" applyAlignment="1">
      <alignment vertical="center"/>
    </xf>
    <xf numFmtId="43" fontId="16" fillId="0" borderId="20" xfId="4" applyNumberFormat="1" applyFont="1" applyBorder="1" applyAlignment="1">
      <alignment vertical="center"/>
    </xf>
    <xf numFmtId="43" fontId="21" fillId="10" borderId="75" xfId="4" applyNumberFormat="1" applyFont="1" applyFill="1" applyBorder="1" applyAlignment="1">
      <alignment vertical="center"/>
    </xf>
    <xf numFmtId="0" fontId="21" fillId="0" borderId="35" xfId="4" applyFont="1" applyBorder="1" applyAlignment="1">
      <alignment vertical="center"/>
    </xf>
    <xf numFmtId="0" fontId="25" fillId="0" borderId="20" xfId="4" applyFont="1" applyBorder="1" applyAlignment="1">
      <alignment vertical="center"/>
    </xf>
    <xf numFmtId="0" fontId="21" fillId="0" borderId="0" xfId="4" applyFont="1" applyAlignment="1">
      <alignment horizontal="center" vertical="center"/>
    </xf>
    <xf numFmtId="0" fontId="21" fillId="0" borderId="54" xfId="4" applyFont="1" applyBorder="1" applyAlignment="1">
      <alignment horizontal="center" vertical="center"/>
    </xf>
    <xf numFmtId="0" fontId="16" fillId="0" borderId="20" xfId="4" applyFont="1" applyBorder="1" applyAlignment="1">
      <alignment horizontal="center" vertical="center"/>
    </xf>
    <xf numFmtId="0" fontId="19" fillId="0" borderId="69" xfId="4" applyFont="1" applyBorder="1" applyAlignment="1">
      <alignment vertical="center"/>
    </xf>
    <xf numFmtId="0" fontId="21" fillId="0" borderId="3" xfId="4" applyFont="1" applyBorder="1" applyAlignment="1">
      <alignment vertical="center"/>
    </xf>
    <xf numFmtId="0" fontId="21" fillId="0" borderId="78" xfId="4" applyFont="1" applyBorder="1" applyAlignment="1">
      <alignment vertical="center"/>
    </xf>
    <xf numFmtId="0" fontId="19" fillId="0" borderId="53" xfId="4" applyFont="1" applyBorder="1" applyAlignment="1">
      <alignment horizontal="left" vertical="center"/>
    </xf>
    <xf numFmtId="0" fontId="11" fillId="0" borderId="20" xfId="4" applyFont="1" applyBorder="1" applyAlignment="1">
      <alignment vertical="center" wrapText="1"/>
    </xf>
    <xf numFmtId="0" fontId="21" fillId="0" borderId="0" xfId="4" applyFont="1" applyAlignment="1">
      <alignment horizontal="left" vertical="center"/>
    </xf>
    <xf numFmtId="0" fontId="21" fillId="0" borderId="53" xfId="4" applyFont="1" applyBorder="1" applyAlignment="1">
      <alignment horizontal="left" vertical="center"/>
    </xf>
    <xf numFmtId="0" fontId="26" fillId="0" borderId="20" xfId="4" applyFont="1" applyBorder="1" applyAlignment="1">
      <alignment horizontal="right" vertical="center"/>
    </xf>
    <xf numFmtId="0" fontId="16" fillId="0" borderId="37" xfId="4" applyFont="1" applyBorder="1" applyAlignment="1">
      <alignment vertical="center"/>
    </xf>
    <xf numFmtId="0" fontId="16" fillId="0" borderId="38" xfId="4" applyFont="1" applyBorder="1" applyAlignment="1">
      <alignment vertical="center"/>
    </xf>
    <xf numFmtId="0" fontId="16" fillId="0" borderId="39" xfId="4" applyFont="1" applyBorder="1" applyAlignment="1">
      <alignment vertical="center"/>
    </xf>
    <xf numFmtId="0" fontId="8" fillId="0" borderId="48" xfId="0" applyFont="1" applyBorder="1" applyAlignment="1">
      <alignment horizontal="center" vertical="center" wrapText="1"/>
    </xf>
    <xf numFmtId="164" fontId="8" fillId="0" borderId="48" xfId="0" applyNumberFormat="1" applyFont="1" applyBorder="1" applyAlignment="1">
      <alignment horizontal="center" vertical="center" wrapText="1"/>
    </xf>
    <xf numFmtId="2" fontId="7" fillId="9" borderId="48" xfId="0" applyNumberFormat="1" applyFont="1" applyFill="1" applyBorder="1" applyAlignment="1">
      <alignment horizontal="center" vertical="center" wrapText="1"/>
    </xf>
    <xf numFmtId="44" fontId="7" fillId="9" borderId="48" xfId="1" applyFont="1" applyFill="1" applyBorder="1" applyAlignment="1">
      <alignment vertical="center" wrapText="1"/>
    </xf>
    <xf numFmtId="0" fontId="8" fillId="0" borderId="79" xfId="0" applyFont="1" applyBorder="1" applyAlignment="1">
      <alignment horizontal="center" vertical="center" wrapText="1"/>
    </xf>
    <xf numFmtId="164" fontId="8" fillId="0" borderId="79" xfId="0" applyNumberFormat="1" applyFont="1" applyBorder="1" applyAlignment="1">
      <alignment horizontal="center" vertical="center" wrapText="1"/>
    </xf>
    <xf numFmtId="2" fontId="7" fillId="9" borderId="79" xfId="0" applyNumberFormat="1" applyFont="1" applyFill="1" applyBorder="1" applyAlignment="1">
      <alignment horizontal="center" vertical="center" wrapText="1"/>
    </xf>
    <xf numFmtId="44" fontId="7" fillId="9" borderId="79" xfId="1" applyFont="1" applyFill="1" applyBorder="1" applyAlignment="1">
      <alignment vertical="center" wrapText="1"/>
    </xf>
    <xf numFmtId="0" fontId="8" fillId="0" borderId="72" xfId="0" applyFont="1" applyBorder="1" applyAlignment="1">
      <alignment horizontal="center" vertical="center" wrapText="1"/>
    </xf>
    <xf numFmtId="0" fontId="8" fillId="0" borderId="72" xfId="0" applyFont="1" applyBorder="1" applyAlignment="1">
      <alignment horizontal="left" vertical="center" wrapText="1"/>
    </xf>
    <xf numFmtId="164" fontId="8" fillId="0" borderId="72" xfId="0" applyNumberFormat="1" applyFont="1" applyBorder="1" applyAlignment="1">
      <alignment horizontal="center" vertical="center" wrapText="1"/>
    </xf>
    <xf numFmtId="0" fontId="7" fillId="0" borderId="72" xfId="0" applyFont="1" applyBorder="1" applyAlignment="1">
      <alignment horizontal="center" vertical="center" wrapText="1"/>
    </xf>
    <xf numFmtId="2" fontId="8" fillId="0" borderId="72" xfId="0" applyNumberFormat="1" applyFont="1" applyBorder="1" applyAlignment="1">
      <alignment horizontal="center" vertical="center" wrapText="1"/>
    </xf>
    <xf numFmtId="44" fontId="7" fillId="9" borderId="72" xfId="1" applyFont="1" applyFill="1" applyBorder="1" applyAlignment="1">
      <alignment vertical="center" wrapText="1"/>
    </xf>
    <xf numFmtId="2" fontId="7" fillId="9" borderId="72" xfId="0" applyNumberFormat="1" applyFont="1" applyFill="1" applyBorder="1" applyAlignment="1">
      <alignment horizontal="center" vertical="center" wrapText="1"/>
    </xf>
    <xf numFmtId="0" fontId="8" fillId="0" borderId="6" xfId="0" applyFont="1" applyBorder="1" applyAlignment="1">
      <alignment horizontal="center" vertical="center" wrapText="1"/>
    </xf>
    <xf numFmtId="2" fontId="8" fillId="0" borderId="6" xfId="0" applyNumberFormat="1" applyFont="1" applyBorder="1" applyAlignment="1">
      <alignment horizontal="center" vertical="center" wrapText="1"/>
    </xf>
    <xf numFmtId="2" fontId="7" fillId="9" borderId="1" xfId="0" applyNumberFormat="1" applyFont="1" applyFill="1" applyBorder="1" applyAlignment="1">
      <alignment horizontal="center" vertical="center" wrapText="1"/>
    </xf>
    <xf numFmtId="44" fontId="7" fillId="9" borderId="1" xfId="1" applyFont="1" applyFill="1" applyBorder="1" applyAlignment="1">
      <alignment vertical="center" wrapText="1"/>
    </xf>
    <xf numFmtId="0" fontId="8" fillId="0" borderId="1" xfId="0" applyFont="1" applyBorder="1" applyAlignment="1">
      <alignment vertical="center" wrapText="1"/>
    </xf>
    <xf numFmtId="0" fontId="8" fillId="0" borderId="11" xfId="0" applyFont="1" applyBorder="1" applyAlignment="1">
      <alignment vertical="center" wrapText="1"/>
    </xf>
    <xf numFmtId="164" fontId="8" fillId="0" borderId="6" xfId="0" applyNumberFormat="1" applyFont="1" applyBorder="1" applyAlignment="1">
      <alignment horizontal="center" vertical="center" wrapText="1"/>
    </xf>
    <xf numFmtId="44" fontId="7" fillId="0" borderId="48" xfId="1" applyFont="1" applyBorder="1" applyAlignment="1">
      <alignment vertical="center" wrapText="1"/>
    </xf>
    <xf numFmtId="0" fontId="8" fillId="0" borderId="9" xfId="0"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applyFont="1" applyAlignment="1">
      <alignment horizontal="center" vertical="center" wrapText="1"/>
    </xf>
    <xf numFmtId="2" fontId="7" fillId="9" borderId="6" xfId="0" applyNumberFormat="1" applyFont="1" applyFill="1" applyBorder="1" applyAlignment="1">
      <alignment horizontal="center" vertical="center" wrapText="1"/>
    </xf>
    <xf numFmtId="44" fontId="7" fillId="9" borderId="6" xfId="1" applyFont="1" applyFill="1" applyBorder="1" applyAlignment="1">
      <alignment vertical="center" wrapText="1"/>
    </xf>
    <xf numFmtId="0" fontId="8" fillId="0" borderId="48" xfId="0" applyFont="1" applyBorder="1" applyAlignment="1">
      <alignment horizontal="left" vertical="center" wrapText="1"/>
    </xf>
    <xf numFmtId="0" fontId="7" fillId="0" borderId="48" xfId="0" applyFont="1" applyBorder="1" applyAlignment="1">
      <alignment horizontal="center" vertical="center" wrapText="1"/>
    </xf>
    <xf numFmtId="2" fontId="8" fillId="0" borderId="48" xfId="0" applyNumberFormat="1" applyFont="1" applyBorder="1" applyAlignment="1">
      <alignment horizontal="center" vertical="center" wrapText="1"/>
    </xf>
    <xf numFmtId="0" fontId="8" fillId="0" borderId="6" xfId="0" applyFont="1" applyBorder="1" applyAlignment="1">
      <alignment horizontal="left" vertical="center" wrapText="1"/>
    </xf>
    <xf numFmtId="0" fontId="8" fillId="5" borderId="1" xfId="0" applyFont="1" applyFill="1" applyBorder="1" applyAlignment="1">
      <alignment horizontal="left" vertical="center" wrapText="1"/>
    </xf>
    <xf numFmtId="0" fontId="8" fillId="5" borderId="11" xfId="0" applyFont="1" applyFill="1" applyBorder="1" applyAlignment="1">
      <alignment horizontal="left" vertical="center" wrapText="1"/>
    </xf>
    <xf numFmtId="0" fontId="0" fillId="0" borderId="34" xfId="0" applyBorder="1" applyAlignment="1">
      <alignment horizontal="center" vertical="center" wrapText="1"/>
    </xf>
    <xf numFmtId="0" fontId="0" fillId="0" borderId="26" xfId="0" applyBorder="1" applyAlignment="1">
      <alignment horizontal="center" vertical="center"/>
    </xf>
    <xf numFmtId="0" fontId="0" fillId="0" borderId="6" xfId="0" applyBorder="1" applyAlignment="1">
      <alignment horizontal="center" vertical="center"/>
    </xf>
    <xf numFmtId="0" fontId="0" fillId="0" borderId="72" xfId="0" applyBorder="1" applyAlignment="1">
      <alignment horizontal="center" vertical="center"/>
    </xf>
    <xf numFmtId="0" fontId="8" fillId="5" borderId="26" xfId="0" applyFont="1" applyFill="1" applyBorder="1" applyAlignment="1">
      <alignment horizontal="left" vertical="center" wrapText="1"/>
    </xf>
    <xf numFmtId="44" fontId="7" fillId="0" borderId="6" xfId="1" applyFont="1" applyFill="1" applyBorder="1" applyAlignment="1">
      <alignment vertical="center" wrapText="1"/>
    </xf>
    <xf numFmtId="0" fontId="8" fillId="0" borderId="6" xfId="0" applyFont="1" applyBorder="1" applyAlignment="1">
      <alignment vertical="center" wrapText="1"/>
    </xf>
    <xf numFmtId="0" fontId="8" fillId="0" borderId="6" xfId="0" applyFont="1" applyBorder="1"/>
    <xf numFmtId="2" fontId="8" fillId="0" borderId="80" xfId="0" applyNumberFormat="1" applyFont="1" applyBorder="1" applyAlignment="1">
      <alignment horizontal="center" vertical="center" wrapText="1"/>
    </xf>
    <xf numFmtId="44" fontId="7" fillId="0" borderId="1" xfId="1" applyFont="1" applyBorder="1" applyAlignment="1">
      <alignment vertical="center" wrapText="1"/>
    </xf>
    <xf numFmtId="0" fontId="8" fillId="0" borderId="80" xfId="0" applyFont="1" applyBorder="1" applyAlignment="1">
      <alignment horizontal="center" vertical="center" wrapText="1"/>
    </xf>
    <xf numFmtId="2" fontId="7" fillId="0" borderId="34" xfId="0" applyNumberFormat="1" applyFont="1" applyBorder="1" applyAlignment="1">
      <alignment horizontal="center" vertical="center" wrapText="1"/>
    </xf>
    <xf numFmtId="0" fontId="3" fillId="4" borderId="1" xfId="0" applyFont="1" applyFill="1" applyBorder="1" applyAlignment="1">
      <alignment horizontal="center" vertical="center"/>
    </xf>
    <xf numFmtId="0" fontId="0" fillId="7" borderId="1" xfId="0" applyFill="1" applyBorder="1" applyAlignment="1">
      <alignment vertical="center"/>
    </xf>
    <xf numFmtId="0" fontId="3" fillId="0" borderId="0" xfId="0" applyFont="1" applyAlignment="1">
      <alignment horizontal="center" vertical="center" wrapText="1"/>
    </xf>
    <xf numFmtId="0" fontId="0" fillId="9" borderId="1" xfId="0" applyFill="1" applyBorder="1" applyAlignment="1">
      <alignment vertical="center"/>
    </xf>
    <xf numFmtId="44" fontId="0" fillId="9" borderId="1" xfId="0" applyNumberFormat="1" applyFill="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44" fontId="5" fillId="0" borderId="1" xfId="0" applyNumberFormat="1" applyFont="1" applyBorder="1" applyAlignment="1">
      <alignment horizontal="center" vertical="center"/>
    </xf>
    <xf numFmtId="2" fontId="0" fillId="0" borderId="1" xfId="0" applyNumberFormat="1" applyBorder="1" applyAlignment="1">
      <alignment horizontal="center" vertical="center"/>
    </xf>
    <xf numFmtId="44" fontId="0" fillId="0" borderId="1" xfId="0" applyNumberFormat="1" applyBorder="1" applyAlignment="1">
      <alignment horizontal="center" vertical="center"/>
    </xf>
    <xf numFmtId="0" fontId="0" fillId="0" borderId="1" xfId="0" applyBorder="1" applyAlignment="1">
      <alignment horizontal="center" vertical="center" wrapText="1"/>
    </xf>
    <xf numFmtId="44" fontId="0" fillId="0" borderId="0" xfId="1" applyFont="1" applyFill="1" applyAlignment="1">
      <alignment vertical="center"/>
    </xf>
    <xf numFmtId="44" fontId="0" fillId="0" borderId="1" xfId="0" applyNumberFormat="1" applyBorder="1" applyAlignment="1">
      <alignment horizontal="center" vertical="center" wrapText="1"/>
    </xf>
    <xf numFmtId="0" fontId="0" fillId="0" borderId="1" xfId="0" applyBorder="1" applyAlignment="1">
      <alignment vertical="center" wrapText="1"/>
    </xf>
    <xf numFmtId="0" fontId="0" fillId="0" borderId="0" xfId="0" applyAlignment="1">
      <alignment horizontal="center" vertical="center" wrapText="1"/>
    </xf>
    <xf numFmtId="44" fontId="0" fillId="0" borderId="0" xfId="0" applyNumberFormat="1" applyAlignment="1">
      <alignment vertical="center"/>
    </xf>
    <xf numFmtId="44" fontId="2" fillId="0" borderId="1" xfId="0" applyNumberFormat="1" applyFont="1" applyBorder="1" applyAlignment="1">
      <alignment horizontal="center" vertical="center"/>
    </xf>
    <xf numFmtId="0" fontId="0" fillId="0" borderId="1" xfId="0" applyBorder="1" applyAlignment="1">
      <alignment horizontal="left" wrapText="1"/>
    </xf>
    <xf numFmtId="0" fontId="0" fillId="0" borderId="1" xfId="0" applyBorder="1" applyAlignment="1">
      <alignment horizontal="center"/>
    </xf>
    <xf numFmtId="44" fontId="0" fillId="0" borderId="1" xfId="0" applyNumberFormat="1" applyBorder="1"/>
    <xf numFmtId="0" fontId="0" fillId="0" borderId="1" xfId="0" applyBorder="1" applyAlignment="1">
      <alignment vertical="center"/>
    </xf>
    <xf numFmtId="2" fontId="0" fillId="0" borderId="1" xfId="0" applyNumberFormat="1" applyBorder="1" applyAlignment="1">
      <alignment vertical="center"/>
    </xf>
    <xf numFmtId="170" fontId="0" fillId="0" borderId="0" xfId="0" applyNumberFormat="1" applyAlignment="1">
      <alignment horizontal="center"/>
    </xf>
    <xf numFmtId="43" fontId="5" fillId="3" borderId="1" xfId="0" applyNumberFormat="1" applyFont="1" applyFill="1" applyBorder="1" applyAlignment="1">
      <alignment horizontal="center" vertical="center"/>
    </xf>
    <xf numFmtId="0" fontId="27" fillId="0" borderId="0" xfId="10" applyFont="1"/>
    <xf numFmtId="0" fontId="27" fillId="0" borderId="0" xfId="10" applyFont="1" applyAlignment="1">
      <alignment horizontal="center"/>
    </xf>
    <xf numFmtId="0" fontId="27" fillId="0" borderId="39" xfId="10" applyFont="1" applyBorder="1"/>
    <xf numFmtId="0" fontId="27" fillId="0" borderId="38" xfId="10" applyFont="1" applyBorder="1"/>
    <xf numFmtId="171" fontId="27" fillId="0" borderId="38" xfId="7" applyNumberFormat="1" applyFont="1" applyBorder="1"/>
    <xf numFmtId="0" fontId="27" fillId="0" borderId="38" xfId="10" applyFont="1" applyBorder="1" applyAlignment="1">
      <alignment horizontal="center"/>
    </xf>
    <xf numFmtId="0" fontId="27" fillId="0" borderId="37" xfId="11" applyFont="1" applyBorder="1"/>
    <xf numFmtId="0" fontId="27" fillId="0" borderId="20" xfId="10" applyFont="1" applyBorder="1"/>
    <xf numFmtId="0" fontId="27" fillId="0" borderId="15" xfId="10" applyFont="1" applyBorder="1"/>
    <xf numFmtId="0" fontId="27" fillId="0" borderId="0" xfId="11" applyFont="1"/>
    <xf numFmtId="0" fontId="27" fillId="0" borderId="20" xfId="11" applyFont="1" applyBorder="1"/>
    <xf numFmtId="0" fontId="27" fillId="0" borderId="15" xfId="11" applyFont="1" applyBorder="1"/>
    <xf numFmtId="173" fontId="27" fillId="0" borderId="20" xfId="11" applyNumberFormat="1" applyFont="1" applyBorder="1"/>
    <xf numFmtId="174" fontId="27" fillId="0" borderId="20" xfId="11" applyNumberFormat="1" applyFont="1" applyBorder="1"/>
    <xf numFmtId="0" fontId="29" fillId="0" borderId="60" xfId="15" applyFont="1" applyBorder="1" applyAlignment="1">
      <alignment vertical="center"/>
    </xf>
    <xf numFmtId="2" fontId="27" fillId="0" borderId="0" xfId="17" applyNumberFormat="1" applyFont="1"/>
    <xf numFmtId="0" fontId="27" fillId="0" borderId="0" xfId="17" applyFont="1"/>
    <xf numFmtId="0" fontId="27" fillId="0" borderId="0" xfId="17" applyFont="1" applyAlignment="1">
      <alignment horizontal="center"/>
    </xf>
    <xf numFmtId="9" fontId="27" fillId="0" borderId="57" xfId="16" applyNumberFormat="1" applyFont="1" applyBorder="1" applyAlignment="1">
      <alignment horizontal="center" vertical="center"/>
    </xf>
    <xf numFmtId="0" fontId="29" fillId="0" borderId="56" xfId="17" applyFont="1" applyBorder="1" applyAlignment="1">
      <alignment horizontal="left" vertical="center"/>
    </xf>
    <xf numFmtId="9" fontId="27" fillId="0" borderId="3" xfId="16" applyNumberFormat="1" applyFont="1" applyBorder="1" applyAlignment="1">
      <alignment horizontal="center" vertical="center"/>
    </xf>
    <xf numFmtId="0" fontId="27" fillId="0" borderId="69" xfId="17" applyFont="1" applyBorder="1" applyAlignment="1">
      <alignment horizontal="left" vertical="center" wrapText="1"/>
    </xf>
    <xf numFmtId="0" fontId="27" fillId="0" borderId="0" xfId="17" applyFont="1" applyAlignment="1">
      <alignment horizontal="center" vertical="center" wrapText="1"/>
    </xf>
    <xf numFmtId="0" fontId="27" fillId="0" borderId="69" xfId="17" applyFont="1" applyBorder="1" applyAlignment="1">
      <alignment horizontal="left" vertical="center"/>
    </xf>
    <xf numFmtId="0" fontId="29" fillId="0" borderId="69" xfId="17" applyFont="1" applyBorder="1" applyAlignment="1">
      <alignment horizontal="left" vertical="center"/>
    </xf>
    <xf numFmtId="0" fontId="27" fillId="0" borderId="0" xfId="3" applyFont="1" applyAlignment="1">
      <alignment horizontal="center" vertical="center"/>
    </xf>
    <xf numFmtId="176" fontId="27" fillId="0" borderId="3" xfId="16" applyNumberFormat="1" applyFont="1" applyBorder="1" applyAlignment="1">
      <alignment horizontal="center" vertical="center"/>
    </xf>
    <xf numFmtId="49" fontId="29" fillId="0" borderId="0" xfId="18" applyNumberFormat="1" applyFont="1" applyAlignment="1">
      <alignment horizontal="right" vertical="center"/>
    </xf>
    <xf numFmtId="0" fontId="27" fillId="0" borderId="65" xfId="3" applyFont="1" applyBorder="1" applyAlignment="1">
      <alignment horizontal="center" vertical="center"/>
    </xf>
    <xf numFmtId="0" fontId="27" fillId="0" borderId="65" xfId="3" applyFont="1" applyBorder="1" applyAlignment="1">
      <alignment horizontal="left" vertical="center" wrapText="1"/>
    </xf>
    <xf numFmtId="2" fontId="27" fillId="0" borderId="65" xfId="3" applyNumberFormat="1" applyFont="1" applyBorder="1" applyAlignment="1">
      <alignment horizontal="center" vertical="center"/>
    </xf>
    <xf numFmtId="0" fontId="27" fillId="0" borderId="64" xfId="3" applyFont="1" applyBorder="1" applyAlignment="1">
      <alignment horizontal="left" vertical="center"/>
    </xf>
    <xf numFmtId="0" fontId="27" fillId="0" borderId="1" xfId="3" applyFont="1" applyBorder="1" applyAlignment="1">
      <alignment horizontal="center" vertical="center"/>
    </xf>
    <xf numFmtId="0" fontId="27" fillId="0" borderId="1" xfId="3" applyFont="1" applyBorder="1" applyAlignment="1">
      <alignment horizontal="left" vertical="center" wrapText="1"/>
    </xf>
    <xf numFmtId="0" fontId="27" fillId="0" borderId="83" xfId="3" applyFont="1" applyBorder="1" applyAlignment="1">
      <alignment horizontal="center" vertical="center"/>
    </xf>
    <xf numFmtId="0" fontId="27" fillId="0" borderId="65" xfId="3" applyFont="1" applyBorder="1" applyAlignment="1">
      <alignment horizontal="left" vertical="center"/>
    </xf>
    <xf numFmtId="0" fontId="27" fillId="0" borderId="23" xfId="3" applyFont="1" applyBorder="1" applyAlignment="1">
      <alignment horizontal="center" vertical="center"/>
    </xf>
    <xf numFmtId="0" fontId="27" fillId="0" borderId="0" xfId="3" applyFont="1" applyAlignment="1">
      <alignment horizontal="left" vertical="center" wrapText="1"/>
    </xf>
    <xf numFmtId="0" fontId="27" fillId="0" borderId="43" xfId="3" applyFont="1" applyBorder="1" applyAlignment="1">
      <alignment horizontal="left" vertical="center"/>
    </xf>
    <xf numFmtId="0" fontId="27" fillId="0" borderId="1" xfId="3" applyFont="1" applyBorder="1" applyAlignment="1">
      <alignment horizontal="center" vertical="center" wrapText="1"/>
    </xf>
    <xf numFmtId="0" fontId="27" fillId="0" borderId="1" xfId="21" applyFont="1" applyBorder="1" applyAlignment="1">
      <alignment horizontal="center" vertical="center"/>
    </xf>
    <xf numFmtId="0" fontId="27" fillId="0" borderId="65" xfId="10" applyFont="1" applyBorder="1"/>
    <xf numFmtId="0" fontId="27" fillId="0" borderId="65" xfId="10" applyFont="1" applyBorder="1" applyAlignment="1">
      <alignment horizontal="center"/>
    </xf>
    <xf numFmtId="0" fontId="27" fillId="0" borderId="1" xfId="3" applyFont="1" applyBorder="1" applyAlignment="1">
      <alignment horizontal="left" vertical="center"/>
    </xf>
    <xf numFmtId="0" fontId="29" fillId="0" borderId="26" xfId="3" applyFont="1" applyBorder="1" applyAlignment="1">
      <alignment horizontal="center" vertical="center" wrapText="1"/>
    </xf>
    <xf numFmtId="0" fontId="27" fillId="0" borderId="85" xfId="10" applyFont="1" applyBorder="1"/>
    <xf numFmtId="0" fontId="27" fillId="3" borderId="0" xfId="10" applyFont="1" applyFill="1"/>
    <xf numFmtId="0" fontId="27" fillId="3" borderId="20" xfId="10" applyFont="1" applyFill="1" applyBorder="1"/>
    <xf numFmtId="0" fontId="27" fillId="3" borderId="85" xfId="10" applyFont="1" applyFill="1" applyBorder="1"/>
    <xf numFmtId="0" fontId="32" fillId="0" borderId="0" xfId="13" applyFont="1" applyAlignment="1">
      <alignment horizontal="left"/>
    </xf>
    <xf numFmtId="0" fontId="33" fillId="0" borderId="0" xfId="13" applyFont="1" applyAlignment="1">
      <alignment horizontal="left"/>
    </xf>
    <xf numFmtId="2" fontId="27" fillId="0" borderId="1" xfId="3" applyNumberFormat="1" applyFont="1" applyBorder="1" applyAlignment="1">
      <alignment horizontal="center" vertical="center" wrapText="1"/>
    </xf>
    <xf numFmtId="2" fontId="27" fillId="0" borderId="1" xfId="3" applyNumberFormat="1" applyFont="1" applyBorder="1" applyAlignment="1">
      <alignment horizontal="center" vertical="center"/>
    </xf>
    <xf numFmtId="2" fontId="27" fillId="0" borderId="0" xfId="10" applyNumberFormat="1" applyFont="1"/>
    <xf numFmtId="2" fontId="27" fillId="0" borderId="1" xfId="19" applyNumberFormat="1" applyFont="1" applyBorder="1" applyAlignment="1">
      <alignment horizontal="center" vertical="center" wrapText="1"/>
    </xf>
    <xf numFmtId="2" fontId="27" fillId="0" borderId="1" xfId="19" applyNumberFormat="1" applyFont="1" applyBorder="1" applyAlignment="1">
      <alignment vertical="center" wrapText="1"/>
    </xf>
    <xf numFmtId="2" fontId="29" fillId="0" borderId="0" xfId="18" applyNumberFormat="1" applyFont="1" applyAlignment="1">
      <alignment horizontal="right" vertical="center"/>
    </xf>
    <xf numFmtId="2" fontId="29" fillId="0" borderId="3" xfId="17" applyNumberFormat="1" applyFont="1" applyBorder="1" applyAlignment="1">
      <alignment vertical="center"/>
    </xf>
    <xf numFmtId="2" fontId="27" fillId="0" borderId="3" xfId="16" applyNumberFormat="1" applyFont="1" applyBorder="1" applyAlignment="1">
      <alignment vertical="center"/>
    </xf>
    <xf numFmtId="2" fontId="27" fillId="0" borderId="69" xfId="17" applyNumberFormat="1" applyFont="1" applyBorder="1" applyAlignment="1">
      <alignment horizontal="left" vertical="center"/>
    </xf>
    <xf numFmtId="2" fontId="29" fillId="0" borderId="57" xfId="16" applyNumberFormat="1" applyFont="1" applyBorder="1" applyAlignment="1">
      <alignment vertical="center"/>
    </xf>
    <xf numFmtId="2" fontId="27" fillId="0" borderId="38" xfId="10" applyNumberFormat="1" applyFont="1" applyBorder="1"/>
    <xf numFmtId="0" fontId="27" fillId="0" borderId="50" xfId="13" applyFont="1" applyBorder="1" applyAlignment="1">
      <alignment vertical="center" wrapText="1"/>
    </xf>
    <xf numFmtId="0" fontId="27" fillId="0" borderId="45" xfId="13" applyFont="1" applyBorder="1" applyAlignment="1">
      <alignment vertical="center" wrapText="1"/>
    </xf>
    <xf numFmtId="0" fontId="27" fillId="0" borderId="81" xfId="13" applyFont="1" applyBorder="1" applyAlignment="1">
      <alignment vertical="center" wrapText="1"/>
    </xf>
    <xf numFmtId="0" fontId="27" fillId="0" borderId="53" xfId="13" applyFont="1" applyBorder="1" applyAlignment="1">
      <alignment vertical="center" wrapText="1"/>
    </xf>
    <xf numFmtId="0" fontId="27" fillId="0" borderId="0" xfId="13" applyFont="1" applyAlignment="1">
      <alignment vertical="center" wrapText="1"/>
    </xf>
    <xf numFmtId="0" fontId="27" fillId="0" borderId="8" xfId="13" applyFont="1" applyBorder="1" applyAlignment="1">
      <alignment vertical="center" wrapText="1"/>
    </xf>
    <xf numFmtId="0" fontId="27" fillId="0" borderId="64" xfId="13" applyFont="1" applyBorder="1" applyAlignment="1">
      <alignment vertical="center" wrapText="1"/>
    </xf>
    <xf numFmtId="0" fontId="27" fillId="0" borderId="65" xfId="13" applyFont="1" applyBorder="1" applyAlignment="1">
      <alignment vertical="center" wrapText="1"/>
    </xf>
    <xf numFmtId="0" fontId="27" fillId="0" borderId="74" xfId="13" applyFont="1" applyBorder="1" applyAlignment="1">
      <alignment vertical="center" wrapText="1"/>
    </xf>
    <xf numFmtId="179" fontId="29" fillId="5" borderId="77" xfId="14" applyNumberFormat="1" applyFont="1" applyFill="1" applyBorder="1" applyAlignment="1">
      <alignment horizontal="center" vertical="center"/>
    </xf>
    <xf numFmtId="179" fontId="29" fillId="5" borderId="1" xfId="14" applyNumberFormat="1" applyFont="1" applyFill="1" applyBorder="1" applyAlignment="1">
      <alignment horizontal="center" vertical="center"/>
    </xf>
    <xf numFmtId="179" fontId="27" fillId="11" borderId="24" xfId="9" applyNumberFormat="1" applyFont="1" applyFill="1" applyBorder="1" applyAlignment="1">
      <alignment horizontal="center" vertical="center"/>
    </xf>
    <xf numFmtId="179" fontId="27" fillId="0" borderId="0" xfId="10" applyNumberFormat="1" applyFont="1" applyAlignment="1">
      <alignment horizontal="center"/>
    </xf>
    <xf numFmtId="179" fontId="27" fillId="0" borderId="1" xfId="20" applyNumberFormat="1" applyFont="1" applyBorder="1" applyAlignment="1">
      <alignment horizontal="center" vertical="center" wrapText="1"/>
    </xf>
    <xf numFmtId="179" fontId="27" fillId="0" borderId="77" xfId="20" applyNumberFormat="1" applyFont="1" applyBorder="1" applyAlignment="1">
      <alignment horizontal="center" vertical="center" wrapText="1"/>
    </xf>
    <xf numFmtId="179" fontId="27" fillId="0" borderId="74" xfId="20" applyNumberFormat="1" applyFont="1" applyBorder="1" applyAlignment="1">
      <alignment horizontal="center" vertical="center" wrapText="1"/>
    </xf>
    <xf numFmtId="179" fontId="29" fillId="0" borderId="76" xfId="19" applyNumberFormat="1" applyFont="1" applyBorder="1" applyAlignment="1">
      <alignment horizontal="center" vertical="center"/>
    </xf>
    <xf numFmtId="179" fontId="27" fillId="0" borderId="65" xfId="10" applyNumberFormat="1" applyFont="1" applyBorder="1" applyAlignment="1">
      <alignment horizontal="center"/>
    </xf>
    <xf numFmtId="179" fontId="27" fillId="0" borderId="8" xfId="20" applyNumberFormat="1" applyFont="1" applyBorder="1" applyAlignment="1">
      <alignment horizontal="center" vertical="center" wrapText="1"/>
    </xf>
    <xf numFmtId="179" fontId="29" fillId="10" borderId="18" xfId="3" applyNumberFormat="1" applyFont="1" applyFill="1" applyBorder="1" applyAlignment="1">
      <alignment horizontal="center" vertical="center"/>
    </xf>
    <xf numFmtId="179" fontId="29" fillId="0" borderId="0" xfId="18" applyNumberFormat="1" applyFont="1" applyAlignment="1">
      <alignment horizontal="center" vertical="center"/>
    </xf>
    <xf numFmtId="179" fontId="30" fillId="0" borderId="67" xfId="17" applyNumberFormat="1" applyFont="1" applyBorder="1" applyAlignment="1">
      <alignment horizontal="center" vertical="center"/>
    </xf>
    <xf numFmtId="179" fontId="27" fillId="0" borderId="52" xfId="16" applyNumberFormat="1" applyFont="1" applyBorder="1" applyAlignment="1">
      <alignment horizontal="center" vertical="center"/>
    </xf>
    <xf numFmtId="179" fontId="29" fillId="0" borderId="4" xfId="17" applyNumberFormat="1" applyFont="1" applyBorder="1" applyAlignment="1">
      <alignment horizontal="center" vertical="center"/>
    </xf>
    <xf numFmtId="179" fontId="27" fillId="0" borderId="24" xfId="16" applyNumberFormat="1" applyFont="1" applyBorder="1" applyAlignment="1">
      <alignment horizontal="center" vertical="center"/>
    </xf>
    <xf numFmtId="179" fontId="27" fillId="0" borderId="4" xfId="17" applyNumberFormat="1" applyFont="1" applyBorder="1" applyAlignment="1">
      <alignment horizontal="center" vertical="center"/>
    </xf>
    <xf numFmtId="179" fontId="29" fillId="0" borderId="24" xfId="16" applyNumberFormat="1" applyFont="1" applyBorder="1" applyAlignment="1">
      <alignment horizontal="center" vertical="center"/>
    </xf>
    <xf numFmtId="179" fontId="27" fillId="0" borderId="69" xfId="17" applyNumberFormat="1" applyFont="1" applyBorder="1" applyAlignment="1">
      <alignment horizontal="center" vertical="center"/>
    </xf>
    <xf numFmtId="179" fontId="27" fillId="0" borderId="70" xfId="17" applyNumberFormat="1" applyFont="1" applyBorder="1" applyAlignment="1">
      <alignment horizontal="center" vertical="center"/>
    </xf>
    <xf numFmtId="179" fontId="27" fillId="0" borderId="0" xfId="16" applyNumberFormat="1" applyFont="1" applyBorder="1" applyAlignment="1">
      <alignment horizontal="center"/>
    </xf>
    <xf numFmtId="179" fontId="29" fillId="0" borderId="0" xfId="16" applyNumberFormat="1" applyFont="1" applyBorder="1" applyAlignment="1">
      <alignment horizontal="center" vertical="center"/>
    </xf>
    <xf numFmtId="179" fontId="27" fillId="0" borderId="38" xfId="10" applyNumberFormat="1" applyFont="1" applyBorder="1" applyAlignment="1">
      <alignment horizontal="center"/>
    </xf>
    <xf numFmtId="0" fontId="27" fillId="3" borderId="26" xfId="12" applyFont="1" applyFill="1" applyBorder="1" applyAlignment="1">
      <alignment horizontal="center" vertical="center" wrapText="1"/>
    </xf>
    <xf numFmtId="0" fontId="27" fillId="3" borderId="27" xfId="12" applyFont="1" applyFill="1" applyBorder="1" applyAlignment="1">
      <alignment horizontal="center" vertical="center" wrapText="1"/>
    </xf>
    <xf numFmtId="0" fontId="27" fillId="5" borderId="23" xfId="12" applyFont="1" applyFill="1" applyBorder="1" applyAlignment="1">
      <alignment vertical="center" wrapText="1"/>
    </xf>
    <xf numFmtId="0" fontId="27" fillId="5" borderId="1" xfId="12" applyFont="1" applyFill="1" applyBorder="1" applyAlignment="1">
      <alignment vertical="center" wrapText="1"/>
    </xf>
    <xf numFmtId="0" fontId="29" fillId="5" borderId="1" xfId="12" applyFont="1" applyFill="1" applyBorder="1" applyAlignment="1">
      <alignment horizontal="center" vertical="center" wrapText="1"/>
    </xf>
    <xf numFmtId="0" fontId="29" fillId="5" borderId="1" xfId="12" applyFont="1" applyFill="1" applyBorder="1" applyAlignment="1">
      <alignment horizontal="center" vertical="center"/>
    </xf>
    <xf numFmtId="3" fontId="29" fillId="5" borderId="1" xfId="12" applyNumberFormat="1" applyFont="1" applyFill="1" applyBorder="1" applyAlignment="1">
      <alignment horizontal="center" vertical="center" wrapText="1"/>
    </xf>
    <xf numFmtId="3" fontId="29" fillId="5" borderId="1" xfId="12" applyNumberFormat="1" applyFont="1" applyFill="1" applyBorder="1" applyAlignment="1">
      <alignment horizontal="center" vertical="center"/>
    </xf>
    <xf numFmtId="179" fontId="29" fillId="3" borderId="52" xfId="3" applyNumberFormat="1" applyFont="1" applyFill="1" applyBorder="1" applyAlignment="1">
      <alignment horizontal="center" vertical="center" wrapText="1"/>
    </xf>
    <xf numFmtId="179" fontId="29" fillId="3" borderId="27" xfId="3" applyNumberFormat="1" applyFont="1" applyFill="1" applyBorder="1" applyAlignment="1">
      <alignment horizontal="center" vertical="center" wrapText="1"/>
    </xf>
    <xf numFmtId="0" fontId="29" fillId="3" borderId="84" xfId="3" applyFont="1" applyFill="1" applyBorder="1" applyAlignment="1">
      <alignment horizontal="center" vertical="center" wrapText="1"/>
    </xf>
    <xf numFmtId="0" fontId="29" fillId="3" borderId="25" xfId="3" applyFont="1" applyFill="1" applyBorder="1" applyAlignment="1">
      <alignment horizontal="center" vertical="center" wrapText="1"/>
    </xf>
    <xf numFmtId="0" fontId="29" fillId="3" borderId="51" xfId="3" applyFont="1" applyFill="1" applyBorder="1" applyAlignment="1">
      <alignment horizontal="center" vertical="center" wrapText="1"/>
    </xf>
    <xf numFmtId="0" fontId="29" fillId="3" borderId="26" xfId="3" applyFont="1" applyFill="1" applyBorder="1" applyAlignment="1">
      <alignment horizontal="center" vertical="center" wrapText="1"/>
    </xf>
    <xf numFmtId="0" fontId="29" fillId="0" borderId="51" xfId="3" applyFont="1" applyBorder="1" applyAlignment="1">
      <alignment horizontal="center" vertical="center" wrapText="1"/>
    </xf>
    <xf numFmtId="0" fontId="29" fillId="10" borderId="64" xfId="3" applyFont="1" applyFill="1" applyBorder="1" applyAlignment="1">
      <alignment horizontal="left" vertical="center"/>
    </xf>
    <xf numFmtId="0" fontId="29" fillId="10" borderId="65" xfId="3" applyFont="1" applyFill="1" applyBorder="1" applyAlignment="1">
      <alignment horizontal="left" vertical="center"/>
    </xf>
    <xf numFmtId="0" fontId="29" fillId="10" borderId="66" xfId="3" applyFont="1" applyFill="1" applyBorder="1" applyAlignment="1">
      <alignment horizontal="left" vertical="center"/>
    </xf>
    <xf numFmtId="0" fontId="29" fillId="10" borderId="16" xfId="3" applyFont="1" applyFill="1" applyBorder="1" applyAlignment="1">
      <alignment horizontal="right" vertical="center"/>
    </xf>
    <xf numFmtId="0" fontId="29" fillId="10" borderId="17" xfId="3" applyFont="1" applyFill="1" applyBorder="1" applyAlignment="1">
      <alignment horizontal="right" vertical="center"/>
    </xf>
    <xf numFmtId="0" fontId="29" fillId="10" borderId="82" xfId="3" applyFont="1" applyFill="1" applyBorder="1" applyAlignment="1">
      <alignment horizontal="right" vertical="center"/>
    </xf>
    <xf numFmtId="3" fontId="29" fillId="5" borderId="11" xfId="12" applyNumberFormat="1" applyFont="1" applyFill="1" applyBorder="1" applyAlignment="1">
      <alignment horizontal="center" vertical="center" wrapText="1"/>
    </xf>
    <xf numFmtId="0" fontId="27" fillId="0" borderId="61" xfId="15" applyFont="1" applyBorder="1" applyAlignment="1">
      <alignment horizontal="center" vertical="center"/>
    </xf>
    <xf numFmtId="0" fontId="27" fillId="0" borderId="62" xfId="15" applyFont="1" applyBorder="1" applyAlignment="1">
      <alignment horizontal="center" vertical="center"/>
    </xf>
    <xf numFmtId="0" fontId="27" fillId="0" borderId="60" xfId="17" applyFont="1" applyBorder="1" applyAlignment="1">
      <alignment horizontal="left" vertical="center" wrapText="1"/>
    </xf>
    <xf numFmtId="0" fontId="27" fillId="0" borderId="61" xfId="17" applyFont="1" applyBorder="1" applyAlignment="1">
      <alignment horizontal="left" vertical="center" wrapText="1"/>
    </xf>
    <xf numFmtId="0" fontId="27" fillId="0" borderId="67" xfId="17" applyFont="1" applyBorder="1" applyAlignment="1">
      <alignment horizontal="left" vertical="center" wrapText="1"/>
    </xf>
    <xf numFmtId="2" fontId="29" fillId="3" borderId="51" xfId="3" applyNumberFormat="1" applyFont="1" applyFill="1" applyBorder="1" applyAlignment="1">
      <alignment horizontal="center" vertical="center" wrapText="1"/>
    </xf>
    <xf numFmtId="2" fontId="29" fillId="3" borderId="26" xfId="3" applyNumberFormat="1" applyFont="1" applyFill="1" applyBorder="1" applyAlignment="1">
      <alignment horizontal="center" vertical="center" wrapText="1"/>
    </xf>
    <xf numFmtId="179" fontId="29" fillId="3" borderId="51" xfId="3" applyNumberFormat="1" applyFont="1" applyFill="1" applyBorder="1" applyAlignment="1">
      <alignment horizontal="center" vertical="center" wrapText="1"/>
    </xf>
    <xf numFmtId="179" fontId="29" fillId="3" borderId="26" xfId="3" applyNumberFormat="1" applyFont="1" applyFill="1" applyBorder="1" applyAlignment="1">
      <alignment horizontal="center" vertical="center" wrapText="1"/>
    </xf>
    <xf numFmtId="0" fontId="29" fillId="10" borderId="16" xfId="3" applyFont="1" applyFill="1" applyBorder="1" applyAlignment="1">
      <alignment horizontal="center" vertical="center"/>
    </xf>
    <xf numFmtId="0" fontId="29" fillId="10" borderId="17" xfId="3" applyFont="1" applyFill="1" applyBorder="1" applyAlignment="1">
      <alignment horizontal="center" vertical="center"/>
    </xf>
    <xf numFmtId="0" fontId="29" fillId="10" borderId="18" xfId="3" applyFont="1" applyFill="1" applyBorder="1" applyAlignment="1">
      <alignment horizontal="center" vertical="center"/>
    </xf>
    <xf numFmtId="0" fontId="27" fillId="11" borderId="23" xfId="10" applyFont="1" applyFill="1" applyBorder="1" applyAlignment="1">
      <alignment horizontal="left" vertical="center" wrapText="1"/>
    </xf>
    <xf numFmtId="0" fontId="27" fillId="11" borderId="1" xfId="10" applyFont="1" applyFill="1" applyBorder="1" applyAlignment="1">
      <alignment horizontal="left" vertical="center" wrapText="1"/>
    </xf>
    <xf numFmtId="0" fontId="27" fillId="11" borderId="24" xfId="10" applyFont="1" applyFill="1" applyBorder="1" applyAlignment="1">
      <alignment horizontal="left" vertical="center" wrapText="1"/>
    </xf>
    <xf numFmtId="0" fontId="27" fillId="5" borderId="69" xfId="10" applyFont="1" applyFill="1" applyBorder="1" applyAlignment="1">
      <alignment horizontal="center" vertical="center" wrapText="1"/>
    </xf>
    <xf numFmtId="0" fontId="27" fillId="5" borderId="3" xfId="10" applyFont="1" applyFill="1" applyBorder="1" applyAlignment="1">
      <alignment horizontal="center" vertical="center" wrapText="1"/>
    </xf>
    <xf numFmtId="0" fontId="27" fillId="5" borderId="78" xfId="10" applyFont="1" applyFill="1" applyBorder="1" applyAlignment="1">
      <alignment horizontal="center" vertical="center" wrapText="1"/>
    </xf>
    <xf numFmtId="0" fontId="33" fillId="0" borderId="0" xfId="13" applyFont="1" applyAlignment="1">
      <alignment horizontal="left"/>
    </xf>
    <xf numFmtId="0" fontId="27" fillId="0" borderId="12" xfId="10" applyFont="1" applyBorder="1" applyAlignment="1">
      <alignment horizontal="center"/>
    </xf>
    <xf numFmtId="0" fontId="27" fillId="0" borderId="13" xfId="10" applyFont="1" applyBorder="1" applyAlignment="1">
      <alignment horizontal="center"/>
    </xf>
    <xf numFmtId="0" fontId="27" fillId="0" borderId="14" xfId="10" applyFont="1" applyBorder="1" applyAlignment="1">
      <alignment horizontal="center"/>
    </xf>
    <xf numFmtId="0" fontId="29" fillId="0" borderId="88" xfId="12" applyFont="1" applyBorder="1" applyAlignment="1">
      <alignment horizontal="center" vertical="center"/>
    </xf>
    <xf numFmtId="0" fontId="29" fillId="0" borderId="87" xfId="12" applyFont="1" applyBorder="1" applyAlignment="1">
      <alignment horizontal="center" vertical="center"/>
    </xf>
    <xf numFmtId="0" fontId="29" fillId="0" borderId="86" xfId="12" applyFont="1" applyBorder="1" applyAlignment="1">
      <alignment horizontal="center" vertical="center"/>
    </xf>
    <xf numFmtId="0" fontId="27" fillId="0" borderId="35" xfId="12" applyFont="1" applyBorder="1" applyAlignment="1">
      <alignment horizontal="center" vertical="center"/>
    </xf>
    <xf numFmtId="0" fontId="27" fillId="0" borderId="44" xfId="12" applyFont="1" applyBorder="1" applyAlignment="1">
      <alignment horizontal="center" vertical="center"/>
    </xf>
    <xf numFmtId="0" fontId="2" fillId="0" borderId="1" xfId="0" applyFont="1" applyBorder="1" applyAlignment="1">
      <alignment horizontal="center"/>
    </xf>
    <xf numFmtId="0" fontId="10" fillId="0" borderId="0" xfId="3" applyFont="1" applyAlignment="1">
      <alignment horizontal="center"/>
    </xf>
    <xf numFmtId="0" fontId="4" fillId="0" borderId="0" xfId="3" applyFont="1" applyAlignment="1">
      <alignment horizontal="center" vertical="center" wrapText="1"/>
    </xf>
    <xf numFmtId="0" fontId="4" fillId="0" borderId="0" xfId="3" applyFont="1" applyAlignment="1">
      <alignment horizontal="center" wrapText="1"/>
    </xf>
    <xf numFmtId="0" fontId="2" fillId="2"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19" fillId="0" borderId="7" xfId="4" applyFont="1" applyBorder="1" applyAlignment="1">
      <alignment horizontal="center" vertical="center" wrapText="1"/>
    </xf>
    <xf numFmtId="0" fontId="19" fillId="0" borderId="0" xfId="4" applyFont="1" applyAlignment="1">
      <alignment horizontal="center" vertical="center" wrapText="1"/>
    </xf>
    <xf numFmtId="0" fontId="19" fillId="0" borderId="8" xfId="4" applyFont="1" applyBorder="1" applyAlignment="1">
      <alignment horizontal="center" vertical="center" wrapText="1"/>
    </xf>
    <xf numFmtId="0" fontId="21" fillId="0" borderId="6" xfId="6" applyFont="1" applyBorder="1" applyAlignment="1">
      <alignment horizontal="center" vertical="center"/>
    </xf>
    <xf numFmtId="0" fontId="21" fillId="0" borderId="48" xfId="6" applyFont="1" applyBorder="1" applyAlignment="1">
      <alignment horizontal="center" vertical="center"/>
    </xf>
    <xf numFmtId="0" fontId="19" fillId="0" borderId="41" xfId="4" applyFont="1" applyBorder="1" applyAlignment="1">
      <alignment horizontal="center" vertical="center"/>
    </xf>
    <xf numFmtId="0" fontId="19" fillId="0" borderId="29" xfId="4" applyFont="1" applyBorder="1" applyAlignment="1">
      <alignment horizontal="center" vertical="center"/>
    </xf>
    <xf numFmtId="0" fontId="19" fillId="0" borderId="42" xfId="4" applyFont="1" applyBorder="1" applyAlignment="1">
      <alignment horizontal="center" vertical="center"/>
    </xf>
    <xf numFmtId="0" fontId="21" fillId="0" borderId="41" xfId="6" applyFont="1" applyBorder="1" applyAlignment="1">
      <alignment horizontal="center" vertical="center"/>
    </xf>
    <xf numFmtId="0" fontId="21" fillId="0" borderId="29" xfId="6" applyFont="1" applyBorder="1" applyAlignment="1">
      <alignment horizontal="center" vertical="center"/>
    </xf>
    <xf numFmtId="0" fontId="21" fillId="0" borderId="30" xfId="6" applyFont="1" applyBorder="1" applyAlignment="1">
      <alignment horizontal="center" vertical="center"/>
    </xf>
    <xf numFmtId="0" fontId="21" fillId="0" borderId="9" xfId="6" applyFont="1" applyBorder="1" applyAlignment="1">
      <alignment horizontal="center" vertical="center"/>
    </xf>
    <xf numFmtId="0" fontId="21" fillId="0" borderId="35" xfId="6" applyFont="1" applyBorder="1" applyAlignment="1">
      <alignment horizontal="center" vertical="center"/>
    </xf>
    <xf numFmtId="0" fontId="21" fillId="0" borderId="44" xfId="6" applyFont="1" applyBorder="1" applyAlignment="1">
      <alignment horizontal="center" vertical="center"/>
    </xf>
    <xf numFmtId="0" fontId="19" fillId="0" borderId="7" xfId="4" applyFont="1" applyBorder="1" applyAlignment="1">
      <alignment horizontal="center" vertical="center"/>
    </xf>
    <xf numFmtId="0" fontId="19" fillId="0" borderId="0" xfId="4" applyFont="1" applyAlignment="1">
      <alignment horizontal="center" vertical="center"/>
    </xf>
    <xf numFmtId="0" fontId="19" fillId="0" borderId="8" xfId="4" applyFont="1" applyBorder="1" applyAlignment="1">
      <alignment horizontal="center" vertical="center"/>
    </xf>
    <xf numFmtId="0" fontId="21" fillId="0" borderId="11" xfId="4" applyFont="1" applyBorder="1" applyAlignment="1">
      <alignment horizontal="center" vertical="center"/>
    </xf>
    <xf numFmtId="0" fontId="21" fillId="0" borderId="5" xfId="6" applyFont="1" applyBorder="1" applyAlignment="1">
      <alignment horizontal="center" vertical="center"/>
    </xf>
    <xf numFmtId="0" fontId="21" fillId="0" borderId="45" xfId="6" applyFont="1" applyBorder="1" applyAlignment="1">
      <alignment horizontal="center" vertical="center"/>
    </xf>
    <xf numFmtId="0" fontId="21" fillId="0" borderId="46" xfId="6" applyFont="1" applyBorder="1" applyAlignment="1">
      <alignment horizontal="center" vertical="center"/>
    </xf>
    <xf numFmtId="0" fontId="21" fillId="0" borderId="9" xfId="4" applyFont="1" applyBorder="1" applyAlignment="1">
      <alignment horizontal="center" vertical="center"/>
    </xf>
    <xf numFmtId="0" fontId="21" fillId="0" borderId="35" xfId="4" applyFont="1" applyBorder="1" applyAlignment="1">
      <alignment horizontal="center" vertical="center"/>
    </xf>
    <xf numFmtId="0" fontId="21" fillId="0" borderId="44" xfId="4" applyFont="1" applyBorder="1" applyAlignment="1">
      <alignment horizontal="center" vertical="center"/>
    </xf>
    <xf numFmtId="0" fontId="19" fillId="10" borderId="60" xfId="4" applyFont="1" applyFill="1" applyBorder="1" applyAlignment="1">
      <alignment horizontal="center" vertical="center"/>
    </xf>
    <xf numFmtId="0" fontId="21" fillId="10" borderId="61" xfId="4" applyFont="1" applyFill="1" applyBorder="1" applyAlignment="1">
      <alignment horizontal="center" vertical="center"/>
    </xf>
    <xf numFmtId="0" fontId="21" fillId="10" borderId="67" xfId="4" applyFont="1" applyFill="1" applyBorder="1" applyAlignment="1">
      <alignment horizontal="center" vertical="center"/>
    </xf>
    <xf numFmtId="0" fontId="19" fillId="10" borderId="68" xfId="4" applyFont="1" applyFill="1" applyBorder="1" applyAlignment="1">
      <alignment horizontal="center" vertical="center"/>
    </xf>
    <xf numFmtId="0" fontId="19" fillId="10" borderId="9" xfId="4" applyFont="1" applyFill="1" applyBorder="1" applyAlignment="1">
      <alignment horizontal="center" vertical="center"/>
    </xf>
    <xf numFmtId="0" fontId="19" fillId="10" borderId="10" xfId="4" applyFont="1" applyFill="1" applyBorder="1" applyAlignment="1">
      <alignment horizontal="center" vertical="center"/>
    </xf>
    <xf numFmtId="0" fontId="19" fillId="10" borderId="67" xfId="4" applyFont="1" applyFill="1" applyBorder="1" applyAlignment="1">
      <alignment horizontal="center" vertical="center"/>
    </xf>
    <xf numFmtId="0" fontId="19" fillId="10" borderId="60" xfId="4" applyFont="1" applyFill="1" applyBorder="1" applyAlignment="1">
      <alignment horizontal="center" vertical="center" wrapText="1"/>
    </xf>
    <xf numFmtId="0" fontId="19" fillId="10" borderId="61" xfId="4" applyFont="1" applyFill="1" applyBorder="1" applyAlignment="1">
      <alignment horizontal="center" vertical="center" wrapText="1"/>
    </xf>
    <xf numFmtId="0" fontId="19" fillId="10" borderId="62" xfId="4" applyFont="1" applyFill="1" applyBorder="1" applyAlignment="1">
      <alignment horizontal="center" vertical="center" wrapText="1"/>
    </xf>
    <xf numFmtId="0" fontId="19" fillId="10" borderId="62" xfId="4" applyFont="1" applyFill="1" applyBorder="1" applyAlignment="1">
      <alignment horizontal="center" vertical="center"/>
    </xf>
    <xf numFmtId="0" fontId="21" fillId="10" borderId="56" xfId="4" applyFont="1" applyFill="1" applyBorder="1" applyAlignment="1">
      <alignment horizontal="center" vertical="center" wrapText="1"/>
    </xf>
    <xf numFmtId="0" fontId="21" fillId="10" borderId="57" xfId="4" applyFont="1" applyFill="1" applyBorder="1" applyAlignment="1">
      <alignment horizontal="center" vertical="center" wrapText="1"/>
    </xf>
    <xf numFmtId="0" fontId="21" fillId="10" borderId="58" xfId="4" applyFont="1" applyFill="1" applyBorder="1" applyAlignment="1">
      <alignment horizontal="center" vertical="center" wrapText="1"/>
    </xf>
    <xf numFmtId="0" fontId="21" fillId="10" borderId="56" xfId="4" applyFont="1" applyFill="1" applyBorder="1" applyAlignment="1">
      <alignment horizontal="center" vertical="center"/>
    </xf>
    <xf numFmtId="0" fontId="21" fillId="10" borderId="58" xfId="4" applyFont="1" applyFill="1" applyBorder="1" applyAlignment="1">
      <alignment horizontal="center" vertical="center"/>
    </xf>
    <xf numFmtId="0" fontId="19" fillId="0" borderId="28" xfId="4" applyFont="1" applyBorder="1" applyAlignment="1">
      <alignment horizontal="left" vertical="center"/>
    </xf>
    <xf numFmtId="0" fontId="19" fillId="0" borderId="29" xfId="4" applyFont="1" applyBorder="1" applyAlignment="1">
      <alignment horizontal="left" vertical="center"/>
    </xf>
    <xf numFmtId="0" fontId="19" fillId="0" borderId="30" xfId="4" applyFont="1" applyBorder="1" applyAlignment="1">
      <alignment horizontal="left" vertical="center"/>
    </xf>
    <xf numFmtId="0" fontId="19" fillId="0" borderId="53" xfId="4" applyFont="1" applyBorder="1" applyAlignment="1">
      <alignment horizontal="left" vertical="center"/>
    </xf>
    <xf numFmtId="0" fontId="19" fillId="0" borderId="0" xfId="4" applyFont="1" applyAlignment="1">
      <alignment horizontal="left" vertical="center"/>
    </xf>
    <xf numFmtId="0" fontId="19" fillId="0" borderId="54" xfId="4" applyFont="1" applyBorder="1" applyAlignment="1">
      <alignment horizontal="left" vertical="center"/>
    </xf>
    <xf numFmtId="0" fontId="19" fillId="0" borderId="64" xfId="4" applyFont="1" applyBorder="1" applyAlignment="1">
      <alignment horizontal="left" vertical="center"/>
    </xf>
    <xf numFmtId="0" fontId="19" fillId="0" borderId="65" xfId="4" applyFont="1" applyBorder="1" applyAlignment="1">
      <alignment horizontal="left" vertical="center"/>
    </xf>
    <xf numFmtId="0" fontId="19" fillId="0" borderId="66" xfId="4" applyFont="1" applyBorder="1" applyAlignment="1">
      <alignment horizontal="left" vertical="center"/>
    </xf>
    <xf numFmtId="0" fontId="21" fillId="0" borderId="47" xfId="6" applyFont="1" applyBorder="1" applyAlignment="1">
      <alignment horizontal="center" vertical="center"/>
    </xf>
    <xf numFmtId="0" fontId="21" fillId="0" borderId="49" xfId="6" applyFont="1" applyBorder="1" applyAlignment="1">
      <alignment horizontal="center" vertical="center"/>
    </xf>
    <xf numFmtId="0" fontId="19" fillId="0" borderId="53" xfId="4" applyFont="1" applyBorder="1" applyAlignment="1">
      <alignment horizontal="right" vertical="center"/>
    </xf>
    <xf numFmtId="0" fontId="19" fillId="0" borderId="0" xfId="4" applyFont="1" applyAlignment="1">
      <alignment horizontal="right" vertical="center"/>
    </xf>
    <xf numFmtId="0" fontId="19" fillId="0" borderId="28" xfId="4" applyFont="1" applyBorder="1" applyAlignment="1" applyProtection="1">
      <alignment horizontal="center" vertical="center"/>
      <protection locked="0"/>
    </xf>
    <xf numFmtId="0" fontId="19" fillId="0" borderId="29" xfId="4" applyFont="1" applyBorder="1" applyAlignment="1" applyProtection="1">
      <alignment horizontal="center" vertical="center"/>
      <protection locked="0"/>
    </xf>
    <xf numFmtId="0" fontId="19" fillId="0" borderId="30" xfId="4" applyFont="1" applyBorder="1" applyAlignment="1" applyProtection="1">
      <alignment horizontal="center" vertical="center"/>
      <protection locked="0"/>
    </xf>
    <xf numFmtId="0" fontId="18" fillId="0" borderId="40" xfId="5" applyFont="1" applyBorder="1" applyAlignment="1" applyProtection="1">
      <alignment horizontal="center" vertical="center"/>
    </xf>
    <xf numFmtId="0" fontId="18" fillId="0" borderId="43" xfId="5" applyFont="1" applyBorder="1" applyAlignment="1" applyProtection="1">
      <alignment horizontal="center" vertical="center"/>
    </xf>
    <xf numFmtId="0" fontId="21" fillId="0" borderId="69" xfId="4" applyFont="1" applyBorder="1" applyAlignment="1">
      <alignment vertical="center" wrapText="1"/>
    </xf>
    <xf numFmtId="0" fontId="21" fillId="0" borderId="3" xfId="4" applyFont="1" applyBorder="1" applyAlignment="1">
      <alignment vertical="center" wrapText="1"/>
    </xf>
    <xf numFmtId="0" fontId="21" fillId="0" borderId="4" xfId="4" applyFont="1" applyBorder="1" applyAlignment="1">
      <alignment vertical="center" wrapText="1"/>
    </xf>
    <xf numFmtId="0" fontId="21" fillId="0" borderId="2" xfId="4" applyFont="1" applyBorder="1" applyAlignment="1">
      <alignment vertical="center" wrapText="1"/>
    </xf>
    <xf numFmtId="0" fontId="21" fillId="0" borderId="2" xfId="4" applyFont="1" applyBorder="1" applyAlignment="1">
      <alignment vertical="center"/>
    </xf>
    <xf numFmtId="0" fontId="21" fillId="0" borderId="4" xfId="4" applyFont="1" applyBorder="1" applyAlignment="1">
      <alignment vertical="center"/>
    </xf>
    <xf numFmtId="10" fontId="21" fillId="0" borderId="2" xfId="4" applyNumberFormat="1" applyFont="1" applyBorder="1" applyAlignment="1">
      <alignment horizontal="center" vertical="center"/>
    </xf>
    <xf numFmtId="0" fontId="21" fillId="0" borderId="4" xfId="4" applyFont="1" applyBorder="1" applyAlignment="1">
      <alignment horizontal="center" vertical="center"/>
    </xf>
    <xf numFmtId="0" fontId="21" fillId="0" borderId="2" xfId="4" applyFont="1" applyBorder="1" applyAlignment="1">
      <alignment horizontal="center" vertical="center"/>
    </xf>
    <xf numFmtId="0" fontId="21" fillId="0" borderId="56" xfId="4" applyFont="1" applyBorder="1" applyAlignment="1">
      <alignment vertical="center" wrapText="1"/>
    </xf>
    <xf numFmtId="0" fontId="21" fillId="0" borderId="57" xfId="4" applyFont="1" applyBorder="1" applyAlignment="1">
      <alignment vertical="center" wrapText="1"/>
    </xf>
    <xf numFmtId="0" fontId="21" fillId="0" borderId="70" xfId="4" applyFont="1" applyBorder="1" applyAlignment="1">
      <alignment vertical="center" wrapText="1"/>
    </xf>
    <xf numFmtId="0" fontId="21" fillId="0" borderId="71" xfId="4" applyFont="1" applyBorder="1" applyAlignment="1">
      <alignment vertical="center"/>
    </xf>
    <xf numFmtId="0" fontId="21" fillId="0" borderId="70" xfId="4" applyFont="1" applyBorder="1" applyAlignment="1">
      <alignment vertical="center"/>
    </xf>
    <xf numFmtId="2" fontId="21" fillId="0" borderId="73" xfId="4" applyNumberFormat="1" applyFont="1" applyBorder="1" applyAlignment="1">
      <alignment horizontal="center" vertical="center"/>
    </xf>
    <xf numFmtId="2" fontId="21" fillId="0" borderId="74" xfId="4" applyNumberFormat="1" applyFont="1" applyBorder="1" applyAlignment="1">
      <alignment horizontal="center" vertical="center"/>
    </xf>
    <xf numFmtId="0" fontId="19" fillId="0" borderId="16" xfId="4" applyFont="1" applyBorder="1" applyAlignment="1">
      <alignment horizontal="right" vertical="center"/>
    </xf>
    <xf numFmtId="0" fontId="19" fillId="0" borderId="17" xfId="4" applyFont="1" applyBorder="1" applyAlignment="1">
      <alignment horizontal="right" vertical="center"/>
    </xf>
    <xf numFmtId="0" fontId="19" fillId="0" borderId="18" xfId="4" applyFont="1" applyBorder="1" applyAlignment="1">
      <alignment horizontal="right" vertical="center"/>
    </xf>
    <xf numFmtId="0" fontId="19" fillId="10" borderId="61" xfId="4" applyFont="1" applyFill="1" applyBorder="1" applyAlignment="1">
      <alignment horizontal="center" vertical="center"/>
    </xf>
    <xf numFmtId="44" fontId="21" fillId="0" borderId="2" xfId="1" applyFont="1" applyFill="1" applyBorder="1" applyAlignment="1">
      <alignment horizontal="center" vertical="center"/>
    </xf>
    <xf numFmtId="44" fontId="21" fillId="0" borderId="4" xfId="1" applyFont="1" applyFill="1" applyBorder="1" applyAlignment="1">
      <alignment horizontal="center" vertical="center"/>
    </xf>
    <xf numFmtId="44" fontId="21" fillId="0" borderId="2" xfId="1" applyFont="1" applyBorder="1" applyAlignment="1">
      <alignment horizontal="center" vertical="center"/>
    </xf>
    <xf numFmtId="44" fontId="21" fillId="0" borderId="4" xfId="1" applyFont="1" applyBorder="1" applyAlignment="1">
      <alignment horizontal="center" vertical="center"/>
    </xf>
    <xf numFmtId="0" fontId="21" fillId="0" borderId="56" xfId="4" applyFont="1" applyBorder="1" applyAlignment="1">
      <alignment vertical="center"/>
    </xf>
    <xf numFmtId="0" fontId="21" fillId="0" borderId="57" xfId="4" applyFont="1" applyBorder="1" applyAlignment="1">
      <alignment vertical="center"/>
    </xf>
    <xf numFmtId="167" fontId="21" fillId="0" borderId="2" xfId="7" applyFont="1" applyBorder="1" applyAlignment="1">
      <alignment horizontal="center" vertical="center"/>
    </xf>
    <xf numFmtId="167" fontId="21" fillId="0" borderId="4" xfId="7" applyFont="1" applyBorder="1" applyAlignment="1">
      <alignment horizontal="center" vertical="center"/>
    </xf>
    <xf numFmtId="0" fontId="21" fillId="0" borderId="69" xfId="4" applyFont="1" applyBorder="1" applyAlignment="1">
      <alignment vertical="center"/>
    </xf>
    <xf numFmtId="0" fontId="21" fillId="0" borderId="3" xfId="4" applyFont="1" applyBorder="1" applyAlignment="1">
      <alignment vertical="center"/>
    </xf>
    <xf numFmtId="0" fontId="21" fillId="0" borderId="71" xfId="4" applyFont="1" applyBorder="1" applyAlignment="1">
      <alignment horizontal="center" vertical="center"/>
    </xf>
    <xf numFmtId="0" fontId="21" fillId="0" borderId="70" xfId="4" applyFont="1" applyBorder="1" applyAlignment="1">
      <alignment horizontal="center" vertical="center"/>
    </xf>
    <xf numFmtId="0" fontId="19" fillId="10" borderId="68" xfId="4" applyFont="1" applyFill="1" applyBorder="1" applyAlignment="1">
      <alignment horizontal="center" vertical="center" wrapText="1"/>
    </xf>
    <xf numFmtId="0" fontId="19" fillId="10" borderId="67" xfId="4" applyFont="1" applyFill="1" applyBorder="1" applyAlignment="1">
      <alignment horizontal="center" vertical="center" wrapText="1"/>
    </xf>
    <xf numFmtId="0" fontId="21" fillId="0" borderId="69" xfId="4" applyFont="1" applyBorder="1" applyAlignment="1">
      <alignment horizontal="left" vertical="center"/>
    </xf>
    <xf numFmtId="0" fontId="21" fillId="0" borderId="3" xfId="4" applyFont="1" applyBorder="1" applyAlignment="1">
      <alignment horizontal="left" vertical="center"/>
    </xf>
    <xf numFmtId="0" fontId="21" fillId="0" borderId="4" xfId="4" applyFont="1" applyBorder="1" applyAlignment="1">
      <alignment horizontal="left" vertical="center"/>
    </xf>
    <xf numFmtId="2" fontId="21" fillId="0" borderId="2" xfId="4" applyNumberFormat="1" applyFont="1" applyBorder="1" applyAlignment="1">
      <alignment horizontal="center" vertical="center" wrapText="1"/>
    </xf>
    <xf numFmtId="2" fontId="21" fillId="0" borderId="4" xfId="4" applyNumberFormat="1" applyFont="1" applyBorder="1" applyAlignment="1">
      <alignment horizontal="center" vertical="center" wrapText="1"/>
    </xf>
    <xf numFmtId="43" fontId="21" fillId="0" borderId="2" xfId="7" applyNumberFormat="1" applyFont="1" applyBorder="1" applyAlignment="1">
      <alignment horizontal="center" vertical="center"/>
    </xf>
    <xf numFmtId="43" fontId="21" fillId="0" borderId="4" xfId="7" applyNumberFormat="1" applyFont="1" applyBorder="1" applyAlignment="1">
      <alignment horizontal="center" vertical="center"/>
    </xf>
    <xf numFmtId="2" fontId="21" fillId="0" borderId="2" xfId="4" applyNumberFormat="1" applyFont="1" applyBorder="1" applyAlignment="1">
      <alignment horizontal="center" vertical="center"/>
    </xf>
    <xf numFmtId="2" fontId="21" fillId="0" borderId="4" xfId="4" applyNumberFormat="1" applyFont="1" applyBorder="1" applyAlignment="1">
      <alignment horizontal="center" vertical="center"/>
    </xf>
    <xf numFmtId="0" fontId="19" fillId="10" borderId="16" xfId="4" applyFont="1" applyFill="1" applyBorder="1" applyAlignment="1">
      <alignment horizontal="right" vertical="center"/>
    </xf>
    <xf numFmtId="0" fontId="19" fillId="10" borderId="17" xfId="4" applyFont="1" applyFill="1" applyBorder="1" applyAlignment="1">
      <alignment horizontal="right" vertical="center"/>
    </xf>
    <xf numFmtId="0" fontId="19" fillId="10" borderId="18" xfId="4" applyFont="1" applyFill="1" applyBorder="1" applyAlignment="1">
      <alignment horizontal="right" vertical="center"/>
    </xf>
    <xf numFmtId="0" fontId="19" fillId="0" borderId="16" xfId="4" applyFont="1" applyBorder="1" applyAlignment="1">
      <alignment horizontal="right"/>
    </xf>
    <xf numFmtId="0" fontId="19" fillId="0" borderId="17" xfId="4" applyFont="1" applyBorder="1" applyAlignment="1">
      <alignment horizontal="right"/>
    </xf>
    <xf numFmtId="0" fontId="19" fillId="0" borderId="18" xfId="4" applyFont="1" applyBorder="1" applyAlignment="1">
      <alignment horizontal="right"/>
    </xf>
    <xf numFmtId="0" fontId="19" fillId="10" borderId="16" xfId="4" applyFont="1" applyFill="1" applyBorder="1" applyAlignment="1">
      <alignment horizontal="right"/>
    </xf>
    <xf numFmtId="0" fontId="19" fillId="10" borderId="17" xfId="4" applyFont="1" applyFill="1" applyBorder="1" applyAlignment="1">
      <alignment horizontal="right"/>
    </xf>
    <xf numFmtId="0" fontId="19" fillId="10" borderId="18" xfId="4" applyFont="1" applyFill="1" applyBorder="1" applyAlignment="1">
      <alignment horizontal="right"/>
    </xf>
    <xf numFmtId="0" fontId="19" fillId="0" borderId="53" xfId="4" applyFont="1" applyBorder="1" applyAlignment="1">
      <alignment vertical="center" wrapText="1"/>
    </xf>
    <xf numFmtId="0" fontId="19" fillId="0" borderId="0" xfId="4" applyFont="1" applyAlignment="1">
      <alignment vertical="center" wrapText="1"/>
    </xf>
    <xf numFmtId="0" fontId="19" fillId="0" borderId="54" xfId="4" applyFont="1" applyBorder="1" applyAlignment="1">
      <alignment vertical="center" wrapText="1"/>
    </xf>
    <xf numFmtId="0" fontId="21" fillId="0" borderId="64" xfId="4" applyFont="1" applyBorder="1" applyAlignment="1">
      <alignment horizontal="left" vertical="center"/>
    </xf>
    <xf numFmtId="0" fontId="21" fillId="0" borderId="65" xfId="4" applyFont="1" applyBorder="1" applyAlignment="1">
      <alignment horizontal="left" vertical="center"/>
    </xf>
    <xf numFmtId="0" fontId="21" fillId="0" borderId="65" xfId="4" applyFont="1" applyBorder="1" applyAlignment="1">
      <alignment horizontal="right" vertical="center"/>
    </xf>
    <xf numFmtId="0" fontId="21" fillId="0" borderId="66" xfId="4" applyFont="1" applyBorder="1" applyAlignment="1">
      <alignment horizontal="right" vertical="center"/>
    </xf>
    <xf numFmtId="43" fontId="21" fillId="0" borderId="71" xfId="7" applyNumberFormat="1" applyFont="1" applyBorder="1" applyAlignment="1">
      <alignment horizontal="center" vertical="center"/>
    </xf>
    <xf numFmtId="43" fontId="21" fillId="0" borderId="70" xfId="7" applyNumberFormat="1" applyFont="1" applyBorder="1" applyAlignment="1">
      <alignment horizontal="center" vertical="center"/>
    </xf>
    <xf numFmtId="0" fontId="21" fillId="0" borderId="69" xfId="4" applyFont="1" applyBorder="1" applyAlignment="1">
      <alignment horizontal="center" vertical="center"/>
    </xf>
    <xf numFmtId="0" fontId="21" fillId="0" borderId="3" xfId="4" applyFont="1" applyBorder="1" applyAlignment="1">
      <alignment horizontal="center" vertical="center"/>
    </xf>
    <xf numFmtId="0" fontId="21" fillId="0" borderId="78" xfId="4" applyFont="1" applyBorder="1" applyAlignment="1">
      <alignment horizontal="center" vertical="center"/>
    </xf>
    <xf numFmtId="0" fontId="8" fillId="0" borderId="35" xfId="0" applyFont="1" applyBorder="1" applyAlignment="1">
      <alignment horizontal="center"/>
    </xf>
    <xf numFmtId="0" fontId="8" fillId="0" borderId="36" xfId="0" applyFont="1" applyBorder="1" applyAlignment="1">
      <alignment horizontal="center"/>
    </xf>
    <xf numFmtId="0" fontId="7" fillId="0" borderId="15" xfId="0" applyFont="1" applyBorder="1" applyAlignment="1">
      <alignment horizontal="center" vertical="center"/>
    </xf>
    <xf numFmtId="0" fontId="7" fillId="0" borderId="0" xfId="0" applyFont="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14" fillId="9" borderId="11" xfId="0" applyFont="1" applyFill="1" applyBorder="1" applyAlignment="1">
      <alignment horizontal="center" vertical="center"/>
    </xf>
    <xf numFmtId="0" fontId="7" fillId="0" borderId="12" xfId="0" applyFont="1" applyBorder="1" applyAlignment="1">
      <alignment horizontal="center"/>
    </xf>
    <xf numFmtId="0" fontId="7" fillId="0" borderId="13" xfId="0" applyFont="1" applyBorder="1" applyAlignment="1">
      <alignment horizontal="center"/>
    </xf>
    <xf numFmtId="0" fontId="7" fillId="0" borderId="14" xfId="0" applyFont="1" applyBorder="1" applyAlignment="1">
      <alignment horizontal="center"/>
    </xf>
    <xf numFmtId="0" fontId="8" fillId="0" borderId="0" xfId="0" applyFont="1" applyAlignment="1">
      <alignment horizontal="center"/>
    </xf>
    <xf numFmtId="0" fontId="8" fillId="0" borderId="20" xfId="0" applyFont="1" applyBorder="1" applyAlignment="1">
      <alignment horizontal="center"/>
    </xf>
    <xf numFmtId="0" fontId="7" fillId="0" borderId="15" xfId="0" applyFont="1" applyBorder="1" applyAlignment="1">
      <alignment horizontal="center"/>
    </xf>
    <xf numFmtId="0" fontId="7" fillId="0" borderId="0" xfId="0" applyFont="1" applyAlignment="1">
      <alignment horizontal="center"/>
    </xf>
    <xf numFmtId="0" fontId="7" fillId="0" borderId="25" xfId="0" applyFont="1" applyBorder="1" applyAlignment="1">
      <alignment horizontal="center" vertical="center"/>
    </xf>
    <xf numFmtId="0" fontId="7" fillId="0" borderId="26" xfId="0" applyFont="1" applyBorder="1" applyAlignment="1">
      <alignment horizontal="center" vertical="center"/>
    </xf>
    <xf numFmtId="0" fontId="8" fillId="0" borderId="26" xfId="0" applyFont="1" applyBorder="1" applyAlignment="1">
      <alignment horizontal="center" vertical="center"/>
    </xf>
    <xf numFmtId="0" fontId="7" fillId="0" borderId="26" xfId="0" applyFont="1" applyBorder="1" applyAlignment="1">
      <alignment horizontal="center" vertical="center" wrapText="1"/>
    </xf>
    <xf numFmtId="0" fontId="8" fillId="0" borderId="27" xfId="0" applyFont="1" applyBorder="1" applyAlignment="1">
      <alignment horizontal="center" vertic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23" xfId="0" applyFont="1" applyBorder="1" applyAlignment="1">
      <alignment horizontal="center"/>
    </xf>
    <xf numFmtId="0" fontId="7" fillId="0" borderId="1" xfId="0" applyFont="1" applyBorder="1" applyAlignment="1">
      <alignment horizontal="center"/>
    </xf>
    <xf numFmtId="0" fontId="8" fillId="0" borderId="1" xfId="0" applyFont="1" applyBorder="1" applyAlignment="1">
      <alignment horizontal="center"/>
    </xf>
    <xf numFmtId="166" fontId="8" fillId="0" borderId="1" xfId="0" applyNumberFormat="1" applyFont="1" applyBorder="1" applyAlignment="1">
      <alignment horizontal="center"/>
    </xf>
    <xf numFmtId="166" fontId="8" fillId="0" borderId="24" xfId="0" applyNumberFormat="1" applyFont="1" applyBorder="1" applyAlignment="1">
      <alignment horizontal="center"/>
    </xf>
    <xf numFmtId="0" fontId="7" fillId="0" borderId="23"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24" xfId="0" applyFont="1" applyBorder="1" applyAlignment="1">
      <alignment horizontal="center" vertical="center" wrapText="1"/>
    </xf>
    <xf numFmtId="0" fontId="13" fillId="0" borderId="16"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1" xfId="0" applyFont="1" applyBorder="1" applyAlignment="1">
      <alignment horizontal="center" vertical="center"/>
    </xf>
    <xf numFmtId="0" fontId="8" fillId="0" borderId="19" xfId="0" applyFont="1" applyBorder="1" applyAlignment="1">
      <alignment horizontal="center"/>
    </xf>
    <xf numFmtId="0" fontId="8" fillId="0" borderId="22" xfId="0" applyFont="1" applyBorder="1" applyAlignment="1">
      <alignment horizontal="center"/>
    </xf>
    <xf numFmtId="0" fontId="8" fillId="0" borderId="24" xfId="0" applyFont="1" applyBorder="1" applyAlignment="1">
      <alignment horizontal="center"/>
    </xf>
  </cellXfs>
  <cellStyles count="22">
    <cellStyle name="Comma" xfId="7" xr:uid="{00000000-0005-0000-0000-000000000000}"/>
    <cellStyle name="Hipervínculo" xfId="5" builtinId="8"/>
    <cellStyle name="Millares 2" xfId="19" xr:uid="{00000000-0005-0000-0000-000002000000}"/>
    <cellStyle name="Millares_FORMULARIO 4 - M-OFERENTE PPTA ECONOMICA" xfId="14" xr:uid="{00000000-0005-0000-0000-000003000000}"/>
    <cellStyle name="Moneda" xfId="1" builtinId="4"/>
    <cellStyle name="Moneda 2" xfId="8" xr:uid="{00000000-0005-0000-0000-000005000000}"/>
    <cellStyle name="Moneda 2 2" xfId="20" xr:uid="{00000000-0005-0000-0000-000006000000}"/>
    <cellStyle name="Moneda 2 2 2 2 2" xfId="16" xr:uid="{00000000-0005-0000-0000-000007000000}"/>
    <cellStyle name="Normal" xfId="0" builtinId="0"/>
    <cellStyle name="Normal 10" xfId="4" xr:uid="{00000000-0005-0000-0000-000009000000}"/>
    <cellStyle name="Normal 2" xfId="13" xr:uid="{00000000-0005-0000-0000-00000A000000}"/>
    <cellStyle name="Normal 2 10 2 2" xfId="21" xr:uid="{00000000-0005-0000-0000-00000B000000}"/>
    <cellStyle name="Normal 2 10 3" xfId="3" xr:uid="{00000000-0005-0000-0000-00000C000000}"/>
    <cellStyle name="Normal 2 2" xfId="15" xr:uid="{00000000-0005-0000-0000-00000D000000}"/>
    <cellStyle name="Normal 3" xfId="10" xr:uid="{00000000-0005-0000-0000-00000E000000}"/>
    <cellStyle name="Normal 3 11" xfId="12" xr:uid="{00000000-0005-0000-0000-00000F000000}"/>
    <cellStyle name="Normal 3 2" xfId="11" xr:uid="{00000000-0005-0000-0000-000010000000}"/>
    <cellStyle name="Normal 3 2 2" xfId="17" xr:uid="{00000000-0005-0000-0000-000011000000}"/>
    <cellStyle name="Normal_modelo ACTA OBRA y MODIFICACION" xfId="6" xr:uid="{00000000-0005-0000-0000-000012000000}"/>
    <cellStyle name="Normal_PTO OFICIAL PREPLIEGO (CORREGIDO) 2" xfId="18" xr:uid="{00000000-0005-0000-0000-000013000000}"/>
    <cellStyle name="Percent" xfId="9" xr:uid="{00000000-0005-0000-0000-000014000000}"/>
    <cellStyle name="Porcentaje" xfId="2" builtinId="5"/>
  </cellStyles>
  <dxfs count="12">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4.xml"/><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63" Type="http://schemas.openxmlformats.org/officeDocument/2006/relationships/externalLink" Target="externalLinks/externalLink51.xml"/><Relationship Id="rId68" Type="http://schemas.openxmlformats.org/officeDocument/2006/relationships/externalLink" Target="externalLinks/externalLink56.xml"/><Relationship Id="rId84" Type="http://schemas.openxmlformats.org/officeDocument/2006/relationships/externalLink" Target="externalLinks/externalLink72.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6" Type="http://schemas.openxmlformats.org/officeDocument/2006/relationships/externalLink" Target="externalLinks/externalLink4.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128"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113" Type="http://schemas.openxmlformats.org/officeDocument/2006/relationships/externalLink" Target="externalLinks/externalLink101.xml"/><Relationship Id="rId118" Type="http://schemas.openxmlformats.org/officeDocument/2006/relationships/externalLink" Target="externalLinks/externalLink106.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12" Type="http://schemas.openxmlformats.org/officeDocument/2006/relationships/worksheet" Target="worksheets/sheet12.xml"/><Relationship Id="rId17" Type="http://schemas.openxmlformats.org/officeDocument/2006/relationships/externalLink" Target="externalLinks/externalLink5.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59" Type="http://schemas.openxmlformats.org/officeDocument/2006/relationships/externalLink" Target="externalLinks/externalLink47.xml"/><Relationship Id="rId103" Type="http://schemas.openxmlformats.org/officeDocument/2006/relationships/externalLink" Target="externalLinks/externalLink91.xml"/><Relationship Id="rId108" Type="http://schemas.openxmlformats.org/officeDocument/2006/relationships/externalLink" Target="externalLinks/externalLink96.xml"/><Relationship Id="rId124" Type="http://schemas.openxmlformats.org/officeDocument/2006/relationships/externalLink" Target="externalLinks/externalLink112.xml"/><Relationship Id="rId54" Type="http://schemas.openxmlformats.org/officeDocument/2006/relationships/externalLink" Target="externalLinks/externalLink42.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49" Type="http://schemas.openxmlformats.org/officeDocument/2006/relationships/externalLink" Target="externalLinks/externalLink37.xml"/><Relationship Id="rId114" Type="http://schemas.openxmlformats.org/officeDocument/2006/relationships/externalLink" Target="externalLinks/externalLink102.xml"/><Relationship Id="rId119" Type="http://schemas.openxmlformats.org/officeDocument/2006/relationships/externalLink" Target="externalLinks/externalLink107.xml"/><Relationship Id="rId44" Type="http://schemas.openxmlformats.org/officeDocument/2006/relationships/externalLink" Target="externalLinks/externalLink32.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120" Type="http://schemas.openxmlformats.org/officeDocument/2006/relationships/externalLink" Target="externalLinks/externalLink108.xml"/><Relationship Id="rId125"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15" Type="http://schemas.openxmlformats.org/officeDocument/2006/relationships/externalLink" Target="externalLinks/externalLink103.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56" Type="http://schemas.openxmlformats.org/officeDocument/2006/relationships/externalLink" Target="externalLinks/externalLink44.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2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3" Type="http://schemas.openxmlformats.org/officeDocument/2006/relationships/worksheet" Target="worksheets/sheet3.xml"/><Relationship Id="rId25" Type="http://schemas.openxmlformats.org/officeDocument/2006/relationships/externalLink" Target="externalLinks/externalLink13.xml"/><Relationship Id="rId46" Type="http://schemas.openxmlformats.org/officeDocument/2006/relationships/externalLink" Target="externalLinks/externalLink34.xml"/><Relationship Id="rId67" Type="http://schemas.openxmlformats.org/officeDocument/2006/relationships/externalLink" Target="externalLinks/externalLink55.xml"/><Relationship Id="rId116" Type="http://schemas.openxmlformats.org/officeDocument/2006/relationships/externalLink" Target="externalLinks/externalLink104.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62" Type="http://schemas.openxmlformats.org/officeDocument/2006/relationships/externalLink" Target="externalLinks/externalLink50.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111" Type="http://schemas.openxmlformats.org/officeDocument/2006/relationships/externalLink" Target="externalLinks/externalLink99.xml"/><Relationship Id="rId15" Type="http://schemas.openxmlformats.org/officeDocument/2006/relationships/externalLink" Target="externalLinks/externalLink3.xml"/><Relationship Id="rId36" Type="http://schemas.openxmlformats.org/officeDocument/2006/relationships/externalLink" Target="externalLinks/externalLink24.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2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externalLink" Target="externalLinks/externalLink19.xml"/><Relationship Id="rId52" Type="http://schemas.openxmlformats.org/officeDocument/2006/relationships/externalLink" Target="externalLinks/externalLink40.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0</xdr:row>
      <xdr:rowOff>0</xdr:rowOff>
    </xdr:from>
    <xdr:to>
      <xdr:col>9</xdr:col>
      <xdr:colOff>85725</xdr:colOff>
      <xdr:row>0</xdr:row>
      <xdr:rowOff>152400</xdr:rowOff>
    </xdr:to>
    <xdr:sp macro="" textlink="">
      <xdr:nvSpPr>
        <xdr:cNvPr id="2" name="Text Box 161">
          <a:extLst>
            <a:ext uri="{FF2B5EF4-FFF2-40B4-BE49-F238E27FC236}">
              <a16:creationId xmlns:a16="http://schemas.microsoft.com/office/drawing/2014/main" id="{00000000-0008-0000-0000-000002000000}"/>
            </a:ext>
          </a:extLst>
        </xdr:cNvPr>
        <xdr:cNvSpPr txBox="1">
          <a:spLocks noChangeArrowheads="1"/>
        </xdr:cNvSpPr>
      </xdr:nvSpPr>
      <xdr:spPr bwMode="auto">
        <a:xfrm>
          <a:off x="30449520" y="28575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8</xdr:col>
      <xdr:colOff>0</xdr:colOff>
      <xdr:row>0</xdr:row>
      <xdr:rowOff>0</xdr:rowOff>
    </xdr:from>
    <xdr:ext cx="85725" cy="152400"/>
    <xdr:sp macro="" textlink="">
      <xdr:nvSpPr>
        <xdr:cNvPr id="3" name="Text Box 161">
          <a:extLst>
            <a:ext uri="{FF2B5EF4-FFF2-40B4-BE49-F238E27FC236}">
              <a16:creationId xmlns:a16="http://schemas.microsoft.com/office/drawing/2014/main" id="{00000000-0008-0000-0000-000003000000}"/>
            </a:ext>
          </a:extLst>
        </xdr:cNvPr>
        <xdr:cNvSpPr txBox="1">
          <a:spLocks noChangeArrowheads="1"/>
        </xdr:cNvSpPr>
      </xdr:nvSpPr>
      <xdr:spPr bwMode="auto">
        <a:xfrm>
          <a:off x="29291280" y="28575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14</xdr:col>
      <xdr:colOff>0</xdr:colOff>
      <xdr:row>0</xdr:row>
      <xdr:rowOff>0</xdr:rowOff>
    </xdr:from>
    <xdr:to>
      <xdr:col>25</xdr:col>
      <xdr:colOff>85725</xdr:colOff>
      <xdr:row>0</xdr:row>
      <xdr:rowOff>152400</xdr:rowOff>
    </xdr:to>
    <xdr:sp macro="" textlink="">
      <xdr:nvSpPr>
        <xdr:cNvPr id="4" name="Text Box 161">
          <a:extLst>
            <a:ext uri="{FF2B5EF4-FFF2-40B4-BE49-F238E27FC236}">
              <a16:creationId xmlns:a16="http://schemas.microsoft.com/office/drawing/2014/main" id="{00000000-0008-0000-0000-000004000000}"/>
            </a:ext>
          </a:extLst>
        </xdr:cNvPr>
        <xdr:cNvSpPr txBox="1">
          <a:spLocks noChangeArrowheads="1"/>
        </xdr:cNvSpPr>
      </xdr:nvSpPr>
      <xdr:spPr bwMode="auto">
        <a:xfrm>
          <a:off x="30449520" y="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13</xdr:col>
      <xdr:colOff>114300</xdr:colOff>
      <xdr:row>0</xdr:row>
      <xdr:rowOff>0</xdr:rowOff>
    </xdr:from>
    <xdr:ext cx="85725" cy="152400"/>
    <xdr:sp macro="" textlink="">
      <xdr:nvSpPr>
        <xdr:cNvPr id="6" name="Text Box 161">
          <a:extLst>
            <a:ext uri="{FF2B5EF4-FFF2-40B4-BE49-F238E27FC236}">
              <a16:creationId xmlns:a16="http://schemas.microsoft.com/office/drawing/2014/main" id="{00000000-0008-0000-0000-000006000000}"/>
            </a:ext>
          </a:extLst>
        </xdr:cNvPr>
        <xdr:cNvSpPr txBox="1">
          <a:spLocks noChangeArrowheads="1"/>
        </xdr:cNvSpPr>
      </xdr:nvSpPr>
      <xdr:spPr bwMode="auto">
        <a:xfrm>
          <a:off x="18486120" y="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8</xdr:col>
      <xdr:colOff>0</xdr:colOff>
      <xdr:row>0</xdr:row>
      <xdr:rowOff>0</xdr:rowOff>
    </xdr:from>
    <xdr:to>
      <xdr:col>9</xdr:col>
      <xdr:colOff>85725</xdr:colOff>
      <xdr:row>0</xdr:row>
      <xdr:rowOff>152400</xdr:rowOff>
    </xdr:to>
    <xdr:sp macro="" textlink="">
      <xdr:nvSpPr>
        <xdr:cNvPr id="7" name="Text Box 161">
          <a:extLst>
            <a:ext uri="{FF2B5EF4-FFF2-40B4-BE49-F238E27FC236}">
              <a16:creationId xmlns:a16="http://schemas.microsoft.com/office/drawing/2014/main" id="{00000000-0008-0000-0000-000007000000}"/>
            </a:ext>
          </a:extLst>
        </xdr:cNvPr>
        <xdr:cNvSpPr txBox="1">
          <a:spLocks noChangeArrowheads="1"/>
        </xdr:cNvSpPr>
      </xdr:nvSpPr>
      <xdr:spPr bwMode="auto">
        <a:xfrm>
          <a:off x="101765100" y="28575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8</xdr:col>
      <xdr:colOff>0</xdr:colOff>
      <xdr:row>0</xdr:row>
      <xdr:rowOff>0</xdr:rowOff>
    </xdr:from>
    <xdr:ext cx="85725" cy="152400"/>
    <xdr:sp macro="" textlink="">
      <xdr:nvSpPr>
        <xdr:cNvPr id="8" name="Text Box 161">
          <a:extLst>
            <a:ext uri="{FF2B5EF4-FFF2-40B4-BE49-F238E27FC236}">
              <a16:creationId xmlns:a16="http://schemas.microsoft.com/office/drawing/2014/main" id="{00000000-0008-0000-0000-000008000000}"/>
            </a:ext>
          </a:extLst>
        </xdr:cNvPr>
        <xdr:cNvSpPr txBox="1">
          <a:spLocks noChangeArrowheads="1"/>
        </xdr:cNvSpPr>
      </xdr:nvSpPr>
      <xdr:spPr bwMode="auto">
        <a:xfrm>
          <a:off x="101147880" y="28575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10</xdr:col>
      <xdr:colOff>0</xdr:colOff>
      <xdr:row>0</xdr:row>
      <xdr:rowOff>0</xdr:rowOff>
    </xdr:from>
    <xdr:to>
      <xdr:col>10</xdr:col>
      <xdr:colOff>85725</xdr:colOff>
      <xdr:row>0</xdr:row>
      <xdr:rowOff>152400</xdr:rowOff>
    </xdr:to>
    <xdr:sp macro="" textlink="">
      <xdr:nvSpPr>
        <xdr:cNvPr id="11" name="Text Box 161">
          <a:extLst>
            <a:ext uri="{FF2B5EF4-FFF2-40B4-BE49-F238E27FC236}">
              <a16:creationId xmlns:a16="http://schemas.microsoft.com/office/drawing/2014/main" id="{00000000-0008-0000-0000-00000B000000}"/>
            </a:ext>
          </a:extLst>
        </xdr:cNvPr>
        <xdr:cNvSpPr txBox="1">
          <a:spLocks noChangeArrowheads="1"/>
        </xdr:cNvSpPr>
      </xdr:nvSpPr>
      <xdr:spPr bwMode="auto">
        <a:xfrm>
          <a:off x="30449520" y="28575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11</xdr:col>
      <xdr:colOff>0</xdr:colOff>
      <xdr:row>0</xdr:row>
      <xdr:rowOff>0</xdr:rowOff>
    </xdr:from>
    <xdr:ext cx="85725" cy="152400"/>
    <xdr:sp macro="" textlink="">
      <xdr:nvSpPr>
        <xdr:cNvPr id="12" name="Text Box 161">
          <a:extLst>
            <a:ext uri="{FF2B5EF4-FFF2-40B4-BE49-F238E27FC236}">
              <a16:creationId xmlns:a16="http://schemas.microsoft.com/office/drawing/2014/main" id="{00000000-0008-0000-0000-00000C000000}"/>
            </a:ext>
          </a:extLst>
        </xdr:cNvPr>
        <xdr:cNvSpPr txBox="1">
          <a:spLocks noChangeArrowheads="1"/>
        </xdr:cNvSpPr>
      </xdr:nvSpPr>
      <xdr:spPr bwMode="auto">
        <a:xfrm>
          <a:off x="29291280" y="28575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0</xdr:row>
      <xdr:rowOff>0</xdr:rowOff>
    </xdr:from>
    <xdr:ext cx="85725" cy="152400"/>
    <xdr:sp macro="" textlink="">
      <xdr:nvSpPr>
        <xdr:cNvPr id="13" name="Text Box 161">
          <a:extLst>
            <a:ext uri="{FF2B5EF4-FFF2-40B4-BE49-F238E27FC236}">
              <a16:creationId xmlns:a16="http://schemas.microsoft.com/office/drawing/2014/main" id="{00000000-0008-0000-0000-00000D000000}"/>
            </a:ext>
          </a:extLst>
        </xdr:cNvPr>
        <xdr:cNvSpPr txBox="1">
          <a:spLocks noChangeArrowheads="1"/>
        </xdr:cNvSpPr>
      </xdr:nvSpPr>
      <xdr:spPr bwMode="auto">
        <a:xfrm>
          <a:off x="563880" y="286512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0</xdr:row>
      <xdr:rowOff>0</xdr:rowOff>
    </xdr:from>
    <xdr:ext cx="85725" cy="152400"/>
    <xdr:sp macro="" textlink="">
      <xdr:nvSpPr>
        <xdr:cNvPr id="14" name="Text Box 161">
          <a:extLst>
            <a:ext uri="{FF2B5EF4-FFF2-40B4-BE49-F238E27FC236}">
              <a16:creationId xmlns:a16="http://schemas.microsoft.com/office/drawing/2014/main" id="{00000000-0008-0000-0000-00000E000000}"/>
            </a:ext>
          </a:extLst>
        </xdr:cNvPr>
        <xdr:cNvSpPr txBox="1">
          <a:spLocks noChangeArrowheads="1"/>
        </xdr:cNvSpPr>
      </xdr:nvSpPr>
      <xdr:spPr bwMode="auto">
        <a:xfrm>
          <a:off x="563880" y="286512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0</xdr:row>
      <xdr:rowOff>0</xdr:rowOff>
    </xdr:from>
    <xdr:ext cx="85725" cy="152400"/>
    <xdr:sp macro="" textlink="">
      <xdr:nvSpPr>
        <xdr:cNvPr id="15" name="Text Box 161">
          <a:extLst>
            <a:ext uri="{FF2B5EF4-FFF2-40B4-BE49-F238E27FC236}">
              <a16:creationId xmlns:a16="http://schemas.microsoft.com/office/drawing/2014/main" id="{00000000-0008-0000-0000-00000F000000}"/>
            </a:ext>
          </a:extLst>
        </xdr:cNvPr>
        <xdr:cNvSpPr txBox="1">
          <a:spLocks noChangeArrowheads="1"/>
        </xdr:cNvSpPr>
      </xdr:nvSpPr>
      <xdr:spPr bwMode="auto">
        <a:xfrm>
          <a:off x="563880" y="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114300</xdr:colOff>
      <xdr:row>0</xdr:row>
      <xdr:rowOff>0</xdr:rowOff>
    </xdr:from>
    <xdr:ext cx="85725" cy="152400"/>
    <xdr:sp macro="" textlink="">
      <xdr:nvSpPr>
        <xdr:cNvPr id="17" name="Text Box 161">
          <a:extLst>
            <a:ext uri="{FF2B5EF4-FFF2-40B4-BE49-F238E27FC236}">
              <a16:creationId xmlns:a16="http://schemas.microsoft.com/office/drawing/2014/main" id="{00000000-0008-0000-0000-000011000000}"/>
            </a:ext>
          </a:extLst>
        </xdr:cNvPr>
        <xdr:cNvSpPr txBox="1">
          <a:spLocks noChangeArrowheads="1"/>
        </xdr:cNvSpPr>
      </xdr:nvSpPr>
      <xdr:spPr bwMode="auto">
        <a:xfrm>
          <a:off x="563880" y="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0</xdr:row>
      <xdr:rowOff>0</xdr:rowOff>
    </xdr:from>
    <xdr:ext cx="85725" cy="152400"/>
    <xdr:sp macro="" textlink="">
      <xdr:nvSpPr>
        <xdr:cNvPr id="18" name="Text Box 161">
          <a:extLst>
            <a:ext uri="{FF2B5EF4-FFF2-40B4-BE49-F238E27FC236}">
              <a16:creationId xmlns:a16="http://schemas.microsoft.com/office/drawing/2014/main" id="{00000000-0008-0000-0000-000012000000}"/>
            </a:ext>
          </a:extLst>
        </xdr:cNvPr>
        <xdr:cNvSpPr txBox="1">
          <a:spLocks noChangeArrowheads="1"/>
        </xdr:cNvSpPr>
      </xdr:nvSpPr>
      <xdr:spPr bwMode="auto">
        <a:xfrm>
          <a:off x="563880" y="286512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0</xdr:row>
      <xdr:rowOff>0</xdr:rowOff>
    </xdr:from>
    <xdr:ext cx="85725" cy="152400"/>
    <xdr:sp macro="" textlink="">
      <xdr:nvSpPr>
        <xdr:cNvPr id="19" name="Text Box 161">
          <a:extLst>
            <a:ext uri="{FF2B5EF4-FFF2-40B4-BE49-F238E27FC236}">
              <a16:creationId xmlns:a16="http://schemas.microsoft.com/office/drawing/2014/main" id="{00000000-0008-0000-0000-000013000000}"/>
            </a:ext>
          </a:extLst>
        </xdr:cNvPr>
        <xdr:cNvSpPr txBox="1">
          <a:spLocks noChangeArrowheads="1"/>
        </xdr:cNvSpPr>
      </xdr:nvSpPr>
      <xdr:spPr bwMode="auto">
        <a:xfrm>
          <a:off x="563880" y="286512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0</xdr:row>
      <xdr:rowOff>0</xdr:rowOff>
    </xdr:from>
    <xdr:ext cx="85725" cy="152400"/>
    <xdr:sp macro="" textlink="">
      <xdr:nvSpPr>
        <xdr:cNvPr id="20" name="Text Box 161">
          <a:extLst>
            <a:ext uri="{FF2B5EF4-FFF2-40B4-BE49-F238E27FC236}">
              <a16:creationId xmlns:a16="http://schemas.microsoft.com/office/drawing/2014/main" id="{00000000-0008-0000-0000-000014000000}"/>
            </a:ext>
          </a:extLst>
        </xdr:cNvPr>
        <xdr:cNvSpPr txBox="1">
          <a:spLocks noChangeArrowheads="1"/>
        </xdr:cNvSpPr>
      </xdr:nvSpPr>
      <xdr:spPr bwMode="auto">
        <a:xfrm>
          <a:off x="563880" y="286512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0</xdr:row>
      <xdr:rowOff>0</xdr:rowOff>
    </xdr:from>
    <xdr:ext cx="85725" cy="152400"/>
    <xdr:sp macro="" textlink="">
      <xdr:nvSpPr>
        <xdr:cNvPr id="21" name="Text Box 161">
          <a:extLst>
            <a:ext uri="{FF2B5EF4-FFF2-40B4-BE49-F238E27FC236}">
              <a16:creationId xmlns:a16="http://schemas.microsoft.com/office/drawing/2014/main" id="{00000000-0008-0000-0000-000015000000}"/>
            </a:ext>
          </a:extLst>
        </xdr:cNvPr>
        <xdr:cNvSpPr txBox="1">
          <a:spLocks noChangeArrowheads="1"/>
        </xdr:cNvSpPr>
      </xdr:nvSpPr>
      <xdr:spPr bwMode="auto">
        <a:xfrm>
          <a:off x="563880" y="286512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6</xdr:col>
      <xdr:colOff>152400</xdr:colOff>
      <xdr:row>11</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2000000}"/>
            </a:ext>
          </a:extLst>
        </xdr:cNvPr>
        <xdr:cNvSpPr/>
      </xdr:nvSpPr>
      <xdr:spPr bwMode="auto">
        <a:xfrm>
          <a:off x="4282440" y="2085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3000000}"/>
            </a:ext>
          </a:extLst>
        </xdr:cNvPr>
        <xdr:cNvSpPr/>
      </xdr:nvSpPr>
      <xdr:spPr bwMode="auto">
        <a:xfrm>
          <a:off x="7734300" y="2085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6</xdr:col>
      <xdr:colOff>152400</xdr:colOff>
      <xdr:row>11</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2000000}"/>
            </a:ext>
          </a:extLst>
        </xdr:cNvPr>
        <xdr:cNvSpPr/>
      </xdr:nvSpPr>
      <xdr:spPr bwMode="auto">
        <a:xfrm>
          <a:off x="4282440" y="2085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3000000}"/>
            </a:ext>
          </a:extLst>
        </xdr:cNvPr>
        <xdr:cNvSpPr/>
      </xdr:nvSpPr>
      <xdr:spPr bwMode="auto">
        <a:xfrm>
          <a:off x="7734300" y="2085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oneCellAnchor>
    <xdr:from>
      <xdr:col>6</xdr:col>
      <xdr:colOff>152400</xdr:colOff>
      <xdr:row>11</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02000000}"/>
            </a:ext>
          </a:extLst>
        </xdr:cNvPr>
        <xdr:cNvSpPr/>
      </xdr:nvSpPr>
      <xdr:spPr bwMode="auto">
        <a:xfrm>
          <a:off x="4282440" y="2085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03000000}"/>
            </a:ext>
          </a:extLst>
        </xdr:cNvPr>
        <xdr:cNvSpPr/>
      </xdr:nvSpPr>
      <xdr:spPr bwMode="auto">
        <a:xfrm>
          <a:off x="7734300" y="2085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oneCellAnchor>
    <xdr:from>
      <xdr:col>6</xdr:col>
      <xdr:colOff>152400</xdr:colOff>
      <xdr:row>11</xdr:row>
      <xdr:rowOff>142875</xdr:rowOff>
    </xdr:from>
    <xdr:ext cx="295275" cy="241301"/>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2000000}"/>
            </a:ext>
          </a:extLst>
        </xdr:cNvPr>
        <xdr:cNvSpPr/>
      </xdr:nvSpPr>
      <xdr:spPr bwMode="auto">
        <a:xfrm>
          <a:off x="4282440" y="2085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xdr:row>
      <xdr:rowOff>142875</xdr:rowOff>
    </xdr:from>
    <xdr:ext cx="295275" cy="241301"/>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3000000}"/>
            </a:ext>
          </a:extLst>
        </xdr:cNvPr>
        <xdr:cNvSpPr/>
      </xdr:nvSpPr>
      <xdr:spPr bwMode="auto">
        <a:xfrm>
          <a:off x="7734300" y="208597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14</xdr:col>
      <xdr:colOff>41564</xdr:colOff>
      <xdr:row>2</xdr:row>
      <xdr:rowOff>41565</xdr:rowOff>
    </xdr:from>
    <xdr:to>
      <xdr:col>14</xdr:col>
      <xdr:colOff>2045153</xdr:colOff>
      <xdr:row>3</xdr:row>
      <xdr:rowOff>213360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1585864" y="331125"/>
          <a:ext cx="2003589" cy="55279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41564</xdr:colOff>
      <xdr:row>2</xdr:row>
      <xdr:rowOff>41565</xdr:rowOff>
    </xdr:from>
    <xdr:to>
      <xdr:col>14</xdr:col>
      <xdr:colOff>2032453</xdr:colOff>
      <xdr:row>3</xdr:row>
      <xdr:rowOff>213360</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12774584" y="331125"/>
          <a:ext cx="2003589" cy="55279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41564</xdr:colOff>
      <xdr:row>2</xdr:row>
      <xdr:rowOff>41565</xdr:rowOff>
    </xdr:from>
    <xdr:to>
      <xdr:col>14</xdr:col>
      <xdr:colOff>2029913</xdr:colOff>
      <xdr:row>3</xdr:row>
      <xdr:rowOff>63500</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2779664" y="333665"/>
          <a:ext cx="1988349" cy="40293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14</xdr:col>
      <xdr:colOff>41564</xdr:colOff>
      <xdr:row>2</xdr:row>
      <xdr:rowOff>41565</xdr:rowOff>
    </xdr:from>
    <xdr:to>
      <xdr:col>14</xdr:col>
      <xdr:colOff>2014673</xdr:colOff>
      <xdr:row>3</xdr:row>
      <xdr:rowOff>175260</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12774584" y="331125"/>
          <a:ext cx="1973109" cy="51469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14</xdr:col>
      <xdr:colOff>41564</xdr:colOff>
      <xdr:row>2</xdr:row>
      <xdr:rowOff>41565</xdr:rowOff>
    </xdr:from>
    <xdr:to>
      <xdr:col>14</xdr:col>
      <xdr:colOff>1999433</xdr:colOff>
      <xdr:row>5</xdr:row>
      <xdr:rowOff>7620</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12774584" y="331125"/>
          <a:ext cx="1973109" cy="51469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14</xdr:col>
      <xdr:colOff>41564</xdr:colOff>
      <xdr:row>2</xdr:row>
      <xdr:rowOff>41565</xdr:rowOff>
    </xdr:from>
    <xdr:to>
      <xdr:col>14</xdr:col>
      <xdr:colOff>2014673</xdr:colOff>
      <xdr:row>4</xdr:row>
      <xdr:rowOff>78740</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12774584" y="331125"/>
          <a:ext cx="1988349" cy="4029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Users\HP%20PAVILION\Desktop\MEJORAMIENTOS%20DE%20VIVIENEDA_%20COMBITA_SAMC-004_2026\S&#193;BANA_GENERAL_25.08.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Wind Loads"/>
      <sheetName val="Tablas"/>
      <sheetName val="Fab. 15"/>
      <sheetName val="Comparativa"/>
      <sheetName val="resoc"/>
      <sheetName val="Datos-No imprimir"/>
      <sheetName val="DATOS"/>
      <sheetName val="Reaj. (CHAL.)"/>
      <sheetName val="Flo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NEIRA"/>
      <sheetName val="Hoja2"/>
      <sheetName val="INDICADORES"/>
      <sheetName val="original_sist"/>
      <sheetName val="Hoja3"/>
      <sheetName val="Paso 1 Calculo del Presupuesto"/>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ÁBANA_ORIGINAL"/>
      <sheetName val="SÁBANA_M1"/>
      <sheetName val="ACTAS_RECIBO"/>
      <sheetName val="NP_01"/>
      <sheetName val="NP_02"/>
      <sheetName val="NP_03"/>
      <sheetName val="NP_04"/>
      <sheetName val="NP_05"/>
      <sheetName val="NP_06"/>
      <sheetName val="NP_07"/>
      <sheetName val="NP_08"/>
      <sheetName val="NP_09"/>
      <sheetName val="NP_10"/>
      <sheetName val="NP_11"/>
      <sheetName val="NP_12"/>
      <sheetName val="NP_13"/>
      <sheetName val="NP_14"/>
      <sheetName val="NP_15"/>
      <sheetName val="NP_16"/>
      <sheetName val="NP_17 "/>
      <sheetName val="NP_18"/>
      <sheetName val="NP_19"/>
      <sheetName val="NP_20 "/>
      <sheetName val="NP_21"/>
      <sheetName val="NP_22"/>
      <sheetName val="NP_23"/>
      <sheetName val="NP_24"/>
      <sheetName val="NP_25"/>
      <sheetName val="NP_26"/>
      <sheetName val="NP_27"/>
      <sheetName val="NP_28"/>
      <sheetName val="NP_29"/>
      <sheetName val="01_USU_MCPC_M1 "/>
      <sheetName val="02_USU_ARS_M1 "/>
      <sheetName val="03_USU_SPM_M1 "/>
      <sheetName val="04_USU_EJMS_M1  "/>
      <sheetName val="05_USU_CP_M1"/>
      <sheetName val="06_USU_MCS_M1 "/>
      <sheetName val="07_USU_JM_M1 "/>
      <sheetName val="08_USU_LS_M1   "/>
      <sheetName val="09_USU_EP_M1 "/>
      <sheetName val="10_USU_MCSG_M1"/>
      <sheetName val="11_USU_RS_M1"/>
      <sheetName val="12_USU_JDS_M1 "/>
      <sheetName val="13_USU_YYAA_M1"/>
      <sheetName val="14_USU_FMYH_M1 "/>
      <sheetName val="15_USU_DPBM_M1"/>
      <sheetName val="16_USU_MAFF_M1"/>
      <sheetName val="17_USU_CJS_M1"/>
      <sheetName val="18_USU_YRSS_M1"/>
      <sheetName val="19_USU_ORP_M1"/>
      <sheetName val="20_USU_FEM_M1"/>
      <sheetName val="21_USU_STSM_M1"/>
      <sheetName val="22_USU_MR_M1"/>
      <sheetName val="23_USU_XM_M1"/>
      <sheetName val="24_USU_LR_M1"/>
      <sheetName val="25_USU_DP_M1"/>
      <sheetName val="26_USU_LYPT_M1"/>
      <sheetName val="27_USU_JC_M1 "/>
      <sheetName val="28_USU_MR_M1"/>
      <sheetName val="29_USU_MGH_M1"/>
      <sheetName val="30_USU_NCC_M1"/>
      <sheetName val="31_USU_MS_M1 "/>
      <sheetName val="32_USU_MR_M1"/>
      <sheetName val="33_USU_FIMM_M1"/>
      <sheetName val="34_USU_ALG_M1"/>
      <sheetName val="35_USU_BB_M1"/>
      <sheetName val="36_USU_RTF_M1"/>
      <sheetName val="37_USU_LFC_M1"/>
      <sheetName val="38_USU_LS_AP1"/>
      <sheetName val="39_USU_MLL_AP1"/>
      <sheetName val="40_USU_HPP_AP2"/>
      <sheetName val="41_USU_ACP_AP2"/>
      <sheetName val="42_USU_EV_AP2"/>
      <sheetName val="43_USU_EMP_AP2"/>
      <sheetName val="44_USU_JB_AP2"/>
      <sheetName val="45_USU_MP_AP2"/>
      <sheetName val="46_USU_LEM_AP2"/>
      <sheetName val="47_USU_ASV_AP2"/>
      <sheetName val="48_USU_LBG_AP2"/>
      <sheetName val="49_USU_JAPA_AP2"/>
      <sheetName val="50_USU_JDCG_AP2"/>
      <sheetName val="51_USU_SRSS_A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56">
          <cell r="P56">
            <v>8107556.2599999998</v>
          </cell>
        </row>
      </sheetData>
      <sheetData sheetId="33">
        <row r="97">
          <cell r="P97">
            <v>9360542</v>
          </cell>
        </row>
      </sheetData>
      <sheetData sheetId="34">
        <row r="32">
          <cell r="P32">
            <v>11368810</v>
          </cell>
        </row>
      </sheetData>
      <sheetData sheetId="35">
        <row r="24">
          <cell r="P24">
            <v>12833661</v>
          </cell>
        </row>
      </sheetData>
      <sheetData sheetId="36">
        <row r="152">
          <cell r="P152">
            <v>16292883</v>
          </cell>
        </row>
      </sheetData>
      <sheetData sheetId="37">
        <row r="48">
          <cell r="P48">
            <v>8276574</v>
          </cell>
        </row>
      </sheetData>
      <sheetData sheetId="38">
        <row r="20">
          <cell r="P20">
            <v>5800075</v>
          </cell>
        </row>
      </sheetData>
      <sheetData sheetId="39">
        <row r="66">
          <cell r="P66">
            <v>10431090</v>
          </cell>
        </row>
      </sheetData>
      <sheetData sheetId="40">
        <row r="107">
          <cell r="P107">
            <v>17936976</v>
          </cell>
        </row>
      </sheetData>
      <sheetData sheetId="41">
        <row r="26">
          <cell r="P26">
            <v>6966932</v>
          </cell>
        </row>
      </sheetData>
      <sheetData sheetId="42">
        <row r="107">
          <cell r="P107">
            <v>17936976</v>
          </cell>
        </row>
      </sheetData>
      <sheetData sheetId="43">
        <row r="21">
          <cell r="P21">
            <v>7305418</v>
          </cell>
        </row>
      </sheetData>
      <sheetData sheetId="44">
        <row r="79">
          <cell r="P79">
            <v>10109626</v>
          </cell>
        </row>
      </sheetData>
      <sheetData sheetId="45">
        <row r="47">
          <cell r="P47">
            <v>8514682</v>
          </cell>
        </row>
      </sheetData>
      <sheetData sheetId="46">
        <row r="73">
          <cell r="P73">
            <v>8477090.2970000003</v>
          </cell>
        </row>
      </sheetData>
      <sheetData sheetId="47">
        <row r="66">
          <cell r="P66">
            <v>7032442</v>
          </cell>
        </row>
      </sheetData>
      <sheetData sheetId="48">
        <row r="88">
          <cell r="P88">
            <v>12024779</v>
          </cell>
        </row>
      </sheetData>
      <sheetData sheetId="49">
        <row r="32">
          <cell r="P32">
            <v>8567407</v>
          </cell>
        </row>
      </sheetData>
      <sheetData sheetId="50">
        <row r="72">
          <cell r="P72">
            <v>8884615</v>
          </cell>
        </row>
      </sheetData>
      <sheetData sheetId="51">
        <row r="43">
          <cell r="P43">
            <v>6195759</v>
          </cell>
        </row>
      </sheetData>
      <sheetData sheetId="52">
        <row r="152">
          <cell r="P152">
            <v>16292883</v>
          </cell>
        </row>
      </sheetData>
      <sheetData sheetId="53">
        <row r="26">
          <cell r="P26">
            <v>11131736</v>
          </cell>
        </row>
      </sheetData>
      <sheetData sheetId="54" refreshError="1"/>
      <sheetData sheetId="55">
        <row r="107">
          <cell r="P107">
            <v>17936976</v>
          </cell>
        </row>
      </sheetData>
      <sheetData sheetId="56">
        <row r="53">
          <cell r="P53">
            <v>7067068</v>
          </cell>
        </row>
      </sheetData>
      <sheetData sheetId="57">
        <row r="30">
          <cell r="P30">
            <v>6224437</v>
          </cell>
        </row>
      </sheetData>
      <sheetData sheetId="58">
        <row r="72">
          <cell r="P72">
            <v>7673856</v>
          </cell>
        </row>
      </sheetData>
      <sheetData sheetId="59">
        <row r="60">
          <cell r="P60">
            <v>4784212</v>
          </cell>
        </row>
      </sheetData>
      <sheetData sheetId="60">
        <row r="85">
          <cell r="P85">
            <v>11532694</v>
          </cell>
        </row>
      </sheetData>
      <sheetData sheetId="61">
        <row r="61">
          <cell r="P61">
            <v>9772497</v>
          </cell>
        </row>
      </sheetData>
      <sheetData sheetId="62">
        <row r="39">
          <cell r="P39">
            <v>8435817</v>
          </cell>
        </row>
      </sheetData>
      <sheetData sheetId="63">
        <row r="22">
          <cell r="P22">
            <v>18668884</v>
          </cell>
        </row>
      </sheetData>
      <sheetData sheetId="64">
        <row r="60">
          <cell r="P60">
            <v>10383743</v>
          </cell>
        </row>
      </sheetData>
      <sheetData sheetId="65">
        <row r="48">
          <cell r="P48">
            <v>5208921</v>
          </cell>
        </row>
      </sheetData>
      <sheetData sheetId="66">
        <row r="86">
          <cell r="P86">
            <v>11852666</v>
          </cell>
        </row>
      </sheetData>
      <sheetData sheetId="67">
        <row r="57">
          <cell r="P57">
            <v>10786875</v>
          </cell>
        </row>
      </sheetData>
      <sheetData sheetId="68">
        <row r="83">
          <cell r="P83">
            <v>11240496</v>
          </cell>
        </row>
      </sheetData>
      <sheetData sheetId="69">
        <row r="55">
          <cell r="P55">
            <v>8430724</v>
          </cell>
        </row>
      </sheetData>
      <sheetData sheetId="70">
        <row r="61">
          <cell r="P61">
            <v>8734620</v>
          </cell>
        </row>
      </sheetData>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107"/>
  <sheetViews>
    <sheetView showGridLines="0" tabSelected="1" view="pageBreakPreview" zoomScale="55" zoomScaleNormal="55" zoomScaleSheetLayoutView="55" zoomScalePageLayoutView="70" workbookViewId="0">
      <selection activeCell="C6" sqref="C6:K6"/>
    </sheetView>
  </sheetViews>
  <sheetFormatPr baseColWidth="10" defaultColWidth="11.44140625" defaultRowHeight="13.8"/>
  <cols>
    <col min="1" max="2" width="4.44140625" style="297" customWidth="1"/>
    <col min="3" max="3" width="14.6640625" style="297" customWidth="1"/>
    <col min="4" max="4" width="14.33203125" style="297" customWidth="1"/>
    <col min="5" max="5" width="16.109375" style="298" customWidth="1"/>
    <col min="6" max="6" width="17.5546875" style="297" customWidth="1"/>
    <col min="7" max="7" width="64.88671875" style="297" customWidth="1"/>
    <col min="8" max="8" width="7.33203125" style="297" bestFit="1" customWidth="1"/>
    <col min="9" max="9" width="13.44140625" style="350" customWidth="1"/>
    <col min="10" max="10" width="21.5546875" style="371" customWidth="1"/>
    <col min="11" max="11" width="20.21875" style="371" customWidth="1"/>
    <col min="12" max="13" width="4.44140625" style="297" customWidth="1"/>
    <col min="14" max="16384" width="11.44140625" style="297"/>
  </cols>
  <sheetData>
    <row r="1" spans="2:12" ht="21" customHeight="1">
      <c r="B1" s="431" t="s">
        <v>348</v>
      </c>
      <c r="C1" s="431"/>
      <c r="D1" s="431"/>
      <c r="E1" s="431"/>
      <c r="F1" s="431"/>
      <c r="G1" s="431"/>
    </row>
    <row r="2" spans="2:12">
      <c r="B2" s="431" t="s">
        <v>347</v>
      </c>
      <c r="C2" s="431"/>
      <c r="D2" s="431"/>
      <c r="E2" s="431"/>
    </row>
    <row r="3" spans="2:12" ht="14.4" thickBot="1">
      <c r="B3" s="347"/>
      <c r="C3" s="346"/>
      <c r="D3" s="347"/>
      <c r="E3" s="346"/>
    </row>
    <row r="4" spans="2:12" ht="15" thickTop="1" thickBot="1">
      <c r="B4" s="432"/>
      <c r="C4" s="433"/>
      <c r="D4" s="433"/>
      <c r="E4" s="433"/>
      <c r="F4" s="433"/>
      <c r="G4" s="433"/>
      <c r="H4" s="433"/>
      <c r="I4" s="433"/>
      <c r="J4" s="433"/>
      <c r="K4" s="433"/>
      <c r="L4" s="434"/>
    </row>
    <row r="5" spans="2:12" ht="31.5" customHeight="1" thickTop="1">
      <c r="B5" s="305"/>
      <c r="C5" s="435" t="s">
        <v>346</v>
      </c>
      <c r="D5" s="436"/>
      <c r="E5" s="436"/>
      <c r="F5" s="436"/>
      <c r="G5" s="436"/>
      <c r="H5" s="436"/>
      <c r="I5" s="436"/>
      <c r="J5" s="436"/>
      <c r="K5" s="437"/>
      <c r="L5" s="304"/>
    </row>
    <row r="6" spans="2:12" ht="26.4" customHeight="1">
      <c r="B6" s="342"/>
      <c r="C6" s="438" t="s">
        <v>345</v>
      </c>
      <c r="D6" s="438"/>
      <c r="E6" s="438"/>
      <c r="F6" s="438"/>
      <c r="G6" s="438"/>
      <c r="H6" s="438"/>
      <c r="I6" s="438"/>
      <c r="J6" s="438"/>
      <c r="K6" s="439"/>
      <c r="L6" s="304"/>
    </row>
    <row r="7" spans="2:12" s="343" customFormat="1" ht="25.2" customHeight="1">
      <c r="B7" s="345"/>
      <c r="C7" s="425" t="s">
        <v>344</v>
      </c>
      <c r="D7" s="426"/>
      <c r="E7" s="426"/>
      <c r="F7" s="426"/>
      <c r="G7" s="426"/>
      <c r="H7" s="426"/>
      <c r="I7" s="426"/>
      <c r="J7" s="426"/>
      <c r="K7" s="427"/>
      <c r="L7" s="344"/>
    </row>
    <row r="8" spans="2:12" ht="39.6" customHeight="1">
      <c r="B8" s="342"/>
      <c r="C8" s="425"/>
      <c r="D8" s="426"/>
      <c r="E8" s="426"/>
      <c r="F8" s="426"/>
      <c r="G8" s="426"/>
      <c r="H8" s="426"/>
      <c r="I8" s="426"/>
      <c r="J8" s="426"/>
      <c r="K8" s="427"/>
      <c r="L8" s="304"/>
    </row>
    <row r="9" spans="2:12" ht="51" customHeight="1">
      <c r="B9" s="342"/>
      <c r="C9" s="428" t="s">
        <v>343</v>
      </c>
      <c r="D9" s="429"/>
      <c r="E9" s="429"/>
      <c r="F9" s="429"/>
      <c r="G9" s="429"/>
      <c r="H9" s="429"/>
      <c r="I9" s="429"/>
      <c r="J9" s="429"/>
      <c r="K9" s="430"/>
      <c r="L9" s="304"/>
    </row>
    <row r="10" spans="2:12" ht="30" customHeight="1" thickBot="1">
      <c r="B10" s="305"/>
      <c r="C10" s="406"/>
      <c r="D10" s="407"/>
      <c r="E10" s="407"/>
      <c r="F10" s="407"/>
      <c r="G10" s="407"/>
      <c r="H10" s="407"/>
      <c r="I10" s="407"/>
      <c r="J10" s="407"/>
      <c r="K10" s="408"/>
      <c r="L10" s="304"/>
    </row>
    <row r="11" spans="2:12" ht="30" customHeight="1">
      <c r="B11" s="305"/>
      <c r="C11" s="401" t="s">
        <v>342</v>
      </c>
      <c r="D11" s="403" t="s">
        <v>341</v>
      </c>
      <c r="E11" s="405" t="s">
        <v>340</v>
      </c>
      <c r="F11" s="405"/>
      <c r="G11" s="401" t="s">
        <v>331</v>
      </c>
      <c r="H11" s="403" t="s">
        <v>339</v>
      </c>
      <c r="I11" s="418" t="s">
        <v>191</v>
      </c>
      <c r="J11" s="420" t="s">
        <v>338</v>
      </c>
      <c r="K11" s="399" t="s">
        <v>337</v>
      </c>
      <c r="L11" s="304"/>
    </row>
    <row r="12" spans="2:12" ht="30" customHeight="1" thickBot="1">
      <c r="B12" s="305"/>
      <c r="C12" s="402"/>
      <c r="D12" s="404"/>
      <c r="E12" s="341" t="s">
        <v>258</v>
      </c>
      <c r="F12" s="341" t="s">
        <v>336</v>
      </c>
      <c r="G12" s="402"/>
      <c r="H12" s="404"/>
      <c r="I12" s="419"/>
      <c r="J12" s="421"/>
      <c r="K12" s="400"/>
      <c r="L12" s="304"/>
    </row>
    <row r="13" spans="2:12" ht="30" customHeight="1" thickBot="1">
      <c r="B13" s="305"/>
      <c r="C13" s="422" t="str">
        <f>Hoja1!A3</f>
        <v>1. PRELIMINARES</v>
      </c>
      <c r="D13" s="423"/>
      <c r="E13" s="423"/>
      <c r="F13" s="423"/>
      <c r="G13" s="423"/>
      <c r="H13" s="423"/>
      <c r="I13" s="423"/>
      <c r="J13" s="423"/>
      <c r="K13" s="424"/>
      <c r="L13" s="304"/>
    </row>
    <row r="14" spans="2:12" ht="40.799999999999997" customHeight="1">
      <c r="B14" s="305"/>
      <c r="C14" s="331">
        <v>1.1000000000000001</v>
      </c>
      <c r="D14" s="329" t="str">
        <f>Hoja1!B4</f>
        <v>2.01.27</v>
      </c>
      <c r="E14" s="329"/>
      <c r="F14" s="329"/>
      <c r="G14" s="330" t="str">
        <f>Hoja1!C4</f>
        <v>DEMOLICIÓN DE MESON EN CONCRETO. (INCLUYE RETIRO Y ACARREO LIBRE HASTA 5 KM.)</v>
      </c>
      <c r="H14" s="329" t="str">
        <f>Hoja1!D4</f>
        <v>M2</v>
      </c>
      <c r="I14" s="351">
        <f>Hoja1!E4</f>
        <v>7.5</v>
      </c>
      <c r="J14" s="372">
        <f>(Hoja1!F4*1.3)</f>
        <v>48042.8</v>
      </c>
      <c r="K14" s="373">
        <f>ROUND(J14*I14,2)</f>
        <v>360321</v>
      </c>
      <c r="L14" s="304"/>
    </row>
    <row r="15" spans="2:12" ht="30" customHeight="1">
      <c r="B15" s="305"/>
      <c r="C15" s="331">
        <v>1.2</v>
      </c>
      <c r="D15" s="329" t="str">
        <f>Hoja1!B5</f>
        <v>2.01.70</v>
      </c>
      <c r="E15" s="329"/>
      <c r="F15" s="329"/>
      <c r="G15" s="330" t="str">
        <f>Hoja1!C5</f>
        <v>EXCAVACION MANUAL EN MATERIAL COMUN</v>
      </c>
      <c r="H15" s="329" t="str">
        <f>Hoja1!D5</f>
        <v>M3</v>
      </c>
      <c r="I15" s="351">
        <f>Hoja1!E5</f>
        <v>2.2000000000000002</v>
      </c>
      <c r="J15" s="372">
        <f>(Hoja1!F5*1.3)</f>
        <v>91750.919000000009</v>
      </c>
      <c r="K15" s="373">
        <f>ROUND(J15*I15,2)</f>
        <v>201852.02</v>
      </c>
      <c r="L15" s="304"/>
    </row>
    <row r="16" spans="2:12" ht="30" customHeight="1" thickBot="1">
      <c r="B16" s="305"/>
      <c r="C16" s="328" t="s">
        <v>335</v>
      </c>
      <c r="D16" s="325"/>
      <c r="E16" s="325"/>
      <c r="F16" s="325"/>
      <c r="G16" s="326"/>
      <c r="H16" s="325"/>
      <c r="I16" s="352"/>
      <c r="J16" s="374"/>
      <c r="K16" s="375">
        <f>SUM(K14:K15)</f>
        <v>562173.02</v>
      </c>
      <c r="L16" s="304"/>
    </row>
    <row r="17" spans="2:12" ht="30" customHeight="1" thickBot="1">
      <c r="B17" s="305"/>
      <c r="C17" s="422" t="str">
        <f>Hoja1!A6</f>
        <v>2. CIMENTACION Y DESAGUES</v>
      </c>
      <c r="D17" s="423"/>
      <c r="E17" s="423"/>
      <c r="F17" s="423"/>
      <c r="G17" s="423"/>
      <c r="H17" s="423"/>
      <c r="I17" s="423"/>
      <c r="J17" s="423"/>
      <c r="K17" s="424"/>
      <c r="L17" s="304"/>
    </row>
    <row r="18" spans="2:12" ht="30" customHeight="1">
      <c r="B18" s="305"/>
      <c r="C18" s="331">
        <v>2.1</v>
      </c>
      <c r="D18" s="329" t="str">
        <f>Hoja1!B7</f>
        <v>2.02.35</v>
      </c>
      <c r="E18" s="329"/>
      <c r="F18" s="329"/>
      <c r="G18" s="340" t="str">
        <f>Hoja1!C7</f>
        <v>SUMINISTRO FIGURADA Y AMARRE DE ACERO 60000 PSI 420 MPa</v>
      </c>
      <c r="H18" s="329" t="str">
        <f>Hoja1!D7</f>
        <v>KG</v>
      </c>
      <c r="I18" s="349">
        <f>Hoja1!E7</f>
        <v>123.6</v>
      </c>
      <c r="J18" s="372">
        <f>ROUND((Hoja1!F7+(Hoja1!F7*Hoja1!G7))*1.3,2)</f>
        <v>10177.120000000001</v>
      </c>
      <c r="K18" s="373">
        <f>ROUND(J18*I18,2)</f>
        <v>1257892.03</v>
      </c>
      <c r="L18" s="304"/>
    </row>
    <row r="19" spans="2:12" ht="49.2" customHeight="1">
      <c r="B19" s="305"/>
      <c r="C19" s="331">
        <v>2.2000000000000002</v>
      </c>
      <c r="D19" s="329" t="str">
        <f>Hoja1!B8</f>
        <v>2.06.37</v>
      </c>
      <c r="E19" s="329"/>
      <c r="F19" s="329"/>
      <c r="G19" s="330" t="str">
        <f>Hoja1!C8</f>
        <v>JUEGO MARCO Y TAPA (FUNDIDA) PARA CAJA DE INSPECCION 60X60 CM EN ÁNGULO DE 2 1/2" X 2 1/2"
CAL. 3/16" CON MALLA DE REFUERZO EN VARILLA DE 3/8</v>
      </c>
      <c r="H19" s="336" t="str">
        <f>Hoja1!D8</f>
        <v>UND</v>
      </c>
      <c r="I19" s="349">
        <f>Hoja1!E8</f>
        <v>2</v>
      </c>
      <c r="J19" s="372">
        <f>ROUND((Hoja1!F8+(Hoja1!F8*Hoja1!G8))*1.3,2)</f>
        <v>878035.38</v>
      </c>
      <c r="K19" s="373">
        <f t="shared" ref="K19:K20" si="0">ROUND(J19*I19,2)</f>
        <v>1756070.76</v>
      </c>
      <c r="L19" s="304"/>
    </row>
    <row r="20" spans="2:12" ht="44.4" customHeight="1">
      <c r="B20" s="305"/>
      <c r="C20" s="331">
        <v>2.2999999999999998</v>
      </c>
      <c r="D20" s="329" t="str">
        <f>Hoja1!B9</f>
        <v>REF. 2.02.10</v>
      </c>
      <c r="E20" s="337"/>
      <c r="F20" s="337"/>
      <c r="G20" s="330" t="str">
        <f>Hoja1!C9</f>
        <v>CONCRETO PARA ZAPATA DE 21 Mpa (3000 PSI) + FORMALETA MADERA</v>
      </c>
      <c r="H20" s="336" t="str">
        <f>Hoja1!D9</f>
        <v>M3</v>
      </c>
      <c r="I20" s="349">
        <f>Hoja1!E9</f>
        <v>0.44</v>
      </c>
      <c r="J20" s="372">
        <f>ROUND((Hoja1!F9+(Hoja1!F9*Hoja1!G9))*1.3,2)</f>
        <v>1217853.79</v>
      </c>
      <c r="K20" s="373">
        <f t="shared" si="0"/>
        <v>535855.67000000004</v>
      </c>
      <c r="L20" s="304"/>
    </row>
    <row r="21" spans="2:12" ht="30" customHeight="1" thickBot="1">
      <c r="B21" s="305"/>
      <c r="C21" s="328" t="s">
        <v>335</v>
      </c>
      <c r="D21" s="338"/>
      <c r="E21" s="339"/>
      <c r="F21" s="338"/>
      <c r="G21" s="338"/>
      <c r="H21" s="338"/>
      <c r="I21" s="352"/>
      <c r="J21" s="376"/>
      <c r="K21" s="375">
        <f>SUM(K18:K20)</f>
        <v>3549818.46</v>
      </c>
      <c r="L21" s="304"/>
    </row>
    <row r="22" spans="2:12" ht="30" customHeight="1" thickBot="1">
      <c r="B22" s="305"/>
      <c r="C22" s="422" t="str">
        <f>Hoja1!A10</f>
        <v>3. ESTRUCTURA</v>
      </c>
      <c r="D22" s="423"/>
      <c r="E22" s="423"/>
      <c r="F22" s="423"/>
      <c r="G22" s="423"/>
      <c r="H22" s="423"/>
      <c r="I22" s="423"/>
      <c r="J22" s="423"/>
      <c r="K22" s="424"/>
      <c r="L22" s="304"/>
    </row>
    <row r="23" spans="2:12" ht="44.4" customHeight="1">
      <c r="B23" s="305"/>
      <c r="C23" s="331">
        <v>3.1</v>
      </c>
      <c r="D23" s="329" t="str">
        <f>Hoja1!B11</f>
        <v>2.03.01</v>
      </c>
      <c r="E23" s="329"/>
      <c r="F23" s="329"/>
      <c r="G23" s="330" t="str">
        <f>Hoja1!C11</f>
        <v xml:space="preserve">COLUMNAS Y PEDESTALES EN CONCRETO DE 21 MPa - (3000 PSI), H &lt; 3.00 M. (FORMALETA MADERA) </v>
      </c>
      <c r="H23" s="336" t="str">
        <f>Hoja1!D11</f>
        <v>M3</v>
      </c>
      <c r="I23" s="348">
        <f>Hoja1!E11</f>
        <v>0.2</v>
      </c>
      <c r="J23" s="372">
        <f>ROUND((Hoja1!F11+(Hoja1!F11*Hoja1!G11))*1.3,2)</f>
        <v>1507774.21</v>
      </c>
      <c r="K23" s="373">
        <f t="shared" ref="K23" si="1">ROUND(J23*I23,2)</f>
        <v>301554.84000000003</v>
      </c>
      <c r="L23" s="304"/>
    </row>
    <row r="24" spans="2:12" ht="30" customHeight="1" thickBot="1">
      <c r="B24" s="305"/>
      <c r="C24" s="328" t="s">
        <v>335</v>
      </c>
      <c r="D24" s="338"/>
      <c r="E24" s="339"/>
      <c r="F24" s="338"/>
      <c r="G24" s="338"/>
      <c r="H24" s="338"/>
      <c r="I24" s="352"/>
      <c r="J24" s="376"/>
      <c r="K24" s="375">
        <f>K23</f>
        <v>301554.84000000003</v>
      </c>
      <c r="L24" s="304"/>
    </row>
    <row r="25" spans="2:12" ht="30" customHeight="1" thickBot="1">
      <c r="B25" s="305"/>
      <c r="C25" s="422" t="str">
        <f>Hoja1!A12</f>
        <v>4. MAMPOSTERIA</v>
      </c>
      <c r="D25" s="423"/>
      <c r="E25" s="423"/>
      <c r="F25" s="423"/>
      <c r="G25" s="423"/>
      <c r="H25" s="423"/>
      <c r="I25" s="423"/>
      <c r="J25" s="423"/>
      <c r="K25" s="424"/>
      <c r="L25" s="304"/>
    </row>
    <row r="26" spans="2:12" ht="43.2" customHeight="1">
      <c r="B26" s="305"/>
      <c r="C26" s="331">
        <v>4.0999999999999996</v>
      </c>
      <c r="D26" s="329" t="str">
        <f>Hoja1!B13</f>
        <v>2.04.09</v>
      </c>
      <c r="E26" s="329"/>
      <c r="F26" s="329"/>
      <c r="G26" s="330" t="str">
        <f>Hoja1!C13</f>
        <v>MESONES EN CONCRETO A = 0.60 M. 17.5 MPa - (2500 PSI) INCLUYE REFUERZO, E = 0.10 M.</v>
      </c>
      <c r="H26" s="336" t="str">
        <f>Hoja1!D13</f>
        <v>M2</v>
      </c>
      <c r="I26" s="348">
        <f>Hoja1!E13</f>
        <v>8.59</v>
      </c>
      <c r="J26" s="372">
        <f>ROUND((Hoja1!F13+(Hoja1!F13*Hoja1!G13))*1.3,2)</f>
        <v>248692.35</v>
      </c>
      <c r="K26" s="373">
        <f t="shared" ref="K26:K30" si="2">ROUND(J26*I26,2)</f>
        <v>2136267.29</v>
      </c>
      <c r="L26" s="304"/>
    </row>
    <row r="27" spans="2:12" ht="30" customHeight="1">
      <c r="B27" s="305"/>
      <c r="C27" s="331">
        <v>4.2</v>
      </c>
      <c r="D27" s="329" t="str">
        <f>Hoja1!B14</f>
        <v>2.04.16</v>
      </c>
      <c r="E27" s="329"/>
      <c r="F27" s="329"/>
      <c r="G27" s="340" t="str">
        <f>Hoja1!C14</f>
        <v>MURO EN BLOQUE No.5 E=0.12 MTS</v>
      </c>
      <c r="H27" s="336" t="str">
        <f>Hoja1!D14</f>
        <v>M2</v>
      </c>
      <c r="I27" s="348">
        <f>Hoja1!E14</f>
        <v>9.7300000000000022</v>
      </c>
      <c r="J27" s="372">
        <f>ROUND((Hoja1!F14+(Hoja1!F14*Hoja1!G14))*1.3,2)</f>
        <v>85621.07</v>
      </c>
      <c r="K27" s="373">
        <f t="shared" si="2"/>
        <v>833093.01</v>
      </c>
      <c r="L27" s="304"/>
    </row>
    <row r="28" spans="2:12" ht="30" customHeight="1">
      <c r="B28" s="305"/>
      <c r="C28" s="331">
        <v>4.3</v>
      </c>
      <c r="D28" s="329" t="str">
        <f>Hoja1!B15</f>
        <v>2.04.30</v>
      </c>
      <c r="E28" s="337"/>
      <c r="F28" s="337"/>
      <c r="G28" s="340" t="str">
        <f>Hoja1!C15</f>
        <v>MURO TOLETE COMUN E=0.10 mts.</v>
      </c>
      <c r="H28" s="336" t="str">
        <f>Hoja1!D15</f>
        <v>M2</v>
      </c>
      <c r="I28" s="348">
        <f>Hoja1!E15</f>
        <v>0.96</v>
      </c>
      <c r="J28" s="372">
        <f>ROUND((Hoja1!F15+(Hoja1!F15*Hoja1!G15))*1.3,2)</f>
        <v>107551.22</v>
      </c>
      <c r="K28" s="373">
        <f t="shared" si="2"/>
        <v>103249.17</v>
      </c>
      <c r="L28" s="304"/>
    </row>
    <row r="29" spans="2:12" ht="30" customHeight="1">
      <c r="B29" s="305"/>
      <c r="C29" s="331">
        <v>4.4000000000000004</v>
      </c>
      <c r="D29" s="329" t="str">
        <f>Hoja1!B16</f>
        <v>1.03.12</v>
      </c>
      <c r="E29" s="337"/>
      <c r="F29" s="337"/>
      <c r="G29" s="340" t="str">
        <f>Hoja1!C16</f>
        <v>PAÑETE LISO MUROS  1:4</v>
      </c>
      <c r="H29" s="336" t="str">
        <f>Hoja1!D16</f>
        <v>M2</v>
      </c>
      <c r="I29" s="348">
        <f>Hoja1!E16</f>
        <v>20.97</v>
      </c>
      <c r="J29" s="372">
        <f>ROUND((Hoja1!F16+(Hoja1!F16*Hoja1!G16))*1.3,2)</f>
        <v>47495.29</v>
      </c>
      <c r="K29" s="373">
        <f t="shared" si="2"/>
        <v>995976.23</v>
      </c>
      <c r="L29" s="304"/>
    </row>
    <row r="30" spans="2:12" ht="30" customHeight="1">
      <c r="B30" s="305"/>
      <c r="C30" s="331">
        <v>4.5</v>
      </c>
      <c r="D30" s="329" t="str">
        <f>Hoja1!B17</f>
        <v>2.07.19</v>
      </c>
      <c r="E30" s="329"/>
      <c r="F30" s="329"/>
      <c r="G30" s="340" t="str">
        <f>Hoja1!C17</f>
        <v>VINILO TIPO II SOBRE PAÑETE DOS MANOS EN MUROS</v>
      </c>
      <c r="H30" s="336" t="str">
        <f>Hoja1!D17</f>
        <v>M2</v>
      </c>
      <c r="I30" s="348">
        <f>Hoja1!E17</f>
        <v>320.08</v>
      </c>
      <c r="J30" s="372">
        <f>ROUND((Hoja1!F17+(Hoja1!F17*Hoja1!G17))*1.3,2)</f>
        <v>13182.57</v>
      </c>
      <c r="K30" s="373">
        <f t="shared" si="2"/>
        <v>4219477.01</v>
      </c>
      <c r="L30" s="304"/>
    </row>
    <row r="31" spans="2:12" ht="30" customHeight="1" thickBot="1">
      <c r="B31" s="305"/>
      <c r="C31" s="328" t="s">
        <v>335</v>
      </c>
      <c r="D31" s="338"/>
      <c r="E31" s="339"/>
      <c r="F31" s="338"/>
      <c r="G31" s="338"/>
      <c r="H31" s="338"/>
      <c r="I31" s="352"/>
      <c r="J31" s="376"/>
      <c r="K31" s="375">
        <f>SUM(K26:K30)</f>
        <v>8288062.709999999</v>
      </c>
      <c r="L31" s="304"/>
    </row>
    <row r="32" spans="2:12" ht="30" customHeight="1" thickBot="1">
      <c r="B32" s="305"/>
      <c r="C32" s="422" t="str">
        <f>Hoja1!A18</f>
        <v>5. INSTALACIONES HIDRAULICAS</v>
      </c>
      <c r="D32" s="423"/>
      <c r="E32" s="423"/>
      <c r="F32" s="423"/>
      <c r="G32" s="423"/>
      <c r="H32" s="423"/>
      <c r="I32" s="423"/>
      <c r="J32" s="423"/>
      <c r="K32" s="424"/>
      <c r="L32" s="304"/>
    </row>
    <row r="33" spans="2:12" ht="39.6" customHeight="1">
      <c r="B33" s="305"/>
      <c r="C33" s="331">
        <v>5.0999999999999996</v>
      </c>
      <c r="D33" s="329" t="str">
        <f>Hoja1!B19</f>
        <v>2.12.01</v>
      </c>
      <c r="E33" s="329"/>
      <c r="F33" s="329"/>
      <c r="G33" s="330" t="str">
        <f>Hoja1!C19</f>
        <v>SUMINISTRO E INSTALACIÓN DE TUBERÍA PVC DE 1/2" T.P, PARA RED DE SUMINISTRO</v>
      </c>
      <c r="H33" s="336" t="str">
        <f>Hoja1!D19</f>
        <v>ML</v>
      </c>
      <c r="I33" s="348">
        <f>Hoja1!E19</f>
        <v>8</v>
      </c>
      <c r="J33" s="372">
        <f>ROUND((Hoja1!F19+(Hoja1!F19*Hoja1!G19))*1.3,2)</f>
        <v>10009.51</v>
      </c>
      <c r="K33" s="373">
        <f t="shared" ref="K33:K38" si="3">ROUND(J33*I33,2)</f>
        <v>80076.08</v>
      </c>
      <c r="L33" s="304"/>
    </row>
    <row r="34" spans="2:12" ht="43.2" customHeight="1">
      <c r="B34" s="305"/>
      <c r="C34" s="331">
        <v>5.2</v>
      </c>
      <c r="D34" s="329" t="str">
        <f>Hoja1!B20</f>
        <v>2.12.09</v>
      </c>
      <c r="E34" s="329"/>
      <c r="F34" s="329"/>
      <c r="G34" s="330" t="str">
        <f>Hoja1!C20</f>
        <v>SUMINISTRO E INSTALACIÓN DE SALIDA DE AGUA FRÍA EN TUBERÍA PVC DE 1/2" T.P. (PUNTO HIDRAULICO 1/2")</v>
      </c>
      <c r="H34" s="336" t="str">
        <f>Hoja1!D20</f>
        <v>UND</v>
      </c>
      <c r="I34" s="348">
        <f>Hoja1!E20</f>
        <v>2</v>
      </c>
      <c r="J34" s="372">
        <f>ROUND((Hoja1!F20+(Hoja1!F20*Hoja1!G20))*1.3,2)</f>
        <v>149055.63</v>
      </c>
      <c r="K34" s="373">
        <f t="shared" si="3"/>
        <v>298111.26</v>
      </c>
      <c r="L34" s="304"/>
    </row>
    <row r="35" spans="2:12" ht="42" customHeight="1">
      <c r="B35" s="305"/>
      <c r="C35" s="331">
        <v>5.3</v>
      </c>
      <c r="D35" s="329" t="str">
        <f>Hoja1!B21</f>
        <v>2.12.43</v>
      </c>
      <c r="E35" s="329"/>
      <c r="F35" s="329"/>
      <c r="G35" s="330" t="str">
        <f>Hoja1!C21</f>
        <v>SUMINISTRO E INSTALACIÓN DE REGISTRO DE BOLA ROSCADO PVC DE 3/4" T.P.</v>
      </c>
      <c r="H35" s="336" t="str">
        <f>Hoja1!D21</f>
        <v>UND</v>
      </c>
      <c r="I35" s="348">
        <f>Hoja1!E21</f>
        <v>2</v>
      </c>
      <c r="J35" s="372">
        <f>ROUND((Hoja1!F21+(Hoja1!F21*Hoja1!G21))*1.3,2)</f>
        <v>39802.050000000003</v>
      </c>
      <c r="K35" s="373">
        <f t="shared" si="3"/>
        <v>79604.100000000006</v>
      </c>
      <c r="L35" s="304"/>
    </row>
    <row r="36" spans="2:12" ht="50.4" customHeight="1">
      <c r="B36" s="305"/>
      <c r="C36" s="331">
        <v>5.4</v>
      </c>
      <c r="D36" s="329" t="str">
        <f>Hoja1!B22</f>
        <v>2.12.166</v>
      </c>
      <c r="E36" s="329"/>
      <c r="F36" s="329"/>
      <c r="G36" s="330" t="str">
        <f>Hoja1!C22</f>
        <v>SUMINISTRO E INSTALACIÓN DE TANQUE DE ALMACENAMIENTO DE 500L (INCLUYE CONECTOR DE ENTRADA Y SALIDA)(NO INCLUYE FLOTADOR)</v>
      </c>
      <c r="H36" s="336" t="str">
        <f>Hoja1!D22</f>
        <v>UND</v>
      </c>
      <c r="I36" s="348">
        <f>Hoja1!E22</f>
        <v>2</v>
      </c>
      <c r="J36" s="372">
        <f>ROUND((Hoja1!F22+(Hoja1!F22*Hoja1!G22))*1.3,2)</f>
        <v>698151.01</v>
      </c>
      <c r="K36" s="373">
        <f t="shared" si="3"/>
        <v>1396302.02</v>
      </c>
      <c r="L36" s="304"/>
    </row>
    <row r="37" spans="2:12" ht="39.6" customHeight="1">
      <c r="B37" s="305"/>
      <c r="C37" s="331">
        <v>5.5</v>
      </c>
      <c r="D37" s="329" t="str">
        <f>Hoja1!B23</f>
        <v>2.12.170</v>
      </c>
      <c r="E37" s="337"/>
      <c r="F37" s="337"/>
      <c r="G37" s="330" t="str">
        <f>Hoja1!C23</f>
        <v xml:space="preserve">SUMINISTRO E INSTALACIÓN DE VÁLVULA CON FLOTADOR PARA TANQUE ELEVADO 1/2", CON FLOTADOR EN BOLA PLÁSTICA </v>
      </c>
      <c r="H37" s="336" t="str">
        <f>Hoja1!D23</f>
        <v>UND</v>
      </c>
      <c r="I37" s="348">
        <f>Hoja1!E23</f>
        <v>2</v>
      </c>
      <c r="J37" s="372">
        <f>ROUND((Hoja1!F23+(Hoja1!F23*Hoja1!G23))*1.3,2)</f>
        <v>118171.62</v>
      </c>
      <c r="K37" s="373">
        <f t="shared" si="3"/>
        <v>236343.24</v>
      </c>
      <c r="L37" s="304"/>
    </row>
    <row r="38" spans="2:12" ht="55.2" customHeight="1">
      <c r="B38" s="305"/>
      <c r="C38" s="331">
        <v>5.6</v>
      </c>
      <c r="D38" s="329" t="str">
        <f>Hoja1!B24</f>
        <v>2.12.167</v>
      </c>
      <c r="E38" s="329"/>
      <c r="F38" s="329"/>
      <c r="G38" s="330" t="str">
        <f>Hoja1!C24</f>
        <v>SUMINISTRO E INSTALACIÓN DE TANQUE DE ALMACENAMIENTO DE 1000 L (INCLUYE CONECTOR DE ENTRADA Y SALIDA) (NO INCLUYE
FLOTADOR)</v>
      </c>
      <c r="H38" s="336" t="str">
        <f>Hoja1!D24</f>
        <v>UND</v>
      </c>
      <c r="I38" s="348">
        <f>Hoja1!E24</f>
        <v>1</v>
      </c>
      <c r="J38" s="372">
        <f>ROUND((Hoja1!F24+(Hoja1!F24*Hoja1!G24))*1.3,2)</f>
        <v>1326357.58</v>
      </c>
      <c r="K38" s="373">
        <f t="shared" si="3"/>
        <v>1326357.58</v>
      </c>
      <c r="L38" s="304"/>
    </row>
    <row r="39" spans="2:12" ht="30" customHeight="1" thickBot="1">
      <c r="B39" s="305"/>
      <c r="C39" s="328" t="s">
        <v>335</v>
      </c>
      <c r="D39" s="338"/>
      <c r="E39" s="339"/>
      <c r="F39" s="338"/>
      <c r="G39" s="338"/>
      <c r="H39" s="338"/>
      <c r="I39" s="352"/>
      <c r="J39" s="376"/>
      <c r="K39" s="375">
        <f>SUM(K33:K38)</f>
        <v>3416794.2800000003</v>
      </c>
      <c r="L39" s="304"/>
    </row>
    <row r="40" spans="2:12" ht="30" customHeight="1" thickBot="1">
      <c r="B40" s="305"/>
      <c r="C40" s="422" t="str">
        <f>Hoja1!A25</f>
        <v>6. INSTALACIONES SANITARIAS</v>
      </c>
      <c r="D40" s="423"/>
      <c r="E40" s="423"/>
      <c r="F40" s="423"/>
      <c r="G40" s="423"/>
      <c r="H40" s="423"/>
      <c r="I40" s="423"/>
      <c r="J40" s="423"/>
      <c r="K40" s="424"/>
      <c r="L40" s="304"/>
    </row>
    <row r="41" spans="2:12" ht="30" customHeight="1">
      <c r="B41" s="305"/>
      <c r="C41" s="331">
        <v>6.1</v>
      </c>
      <c r="D41" s="329" t="str">
        <f>Hoja1!B26</f>
        <v>2.02.32</v>
      </c>
      <c r="E41" s="329"/>
      <c r="F41" s="329"/>
      <c r="G41" s="340" t="str">
        <f>Hoja1!C26</f>
        <v>SUMINISTRO E INSTALACION TUBERIA PVC SANITARIA D= 3"</v>
      </c>
      <c r="H41" s="329" t="str">
        <f>Hoja1!D26</f>
        <v>ML</v>
      </c>
      <c r="I41" s="349">
        <f>Hoja1!E26</f>
        <v>15</v>
      </c>
      <c r="J41" s="372">
        <f>ROUND((Hoja1!F26+(Hoja1!F26*Hoja1!G26))*1.3,2)</f>
        <v>49473.97</v>
      </c>
      <c r="K41" s="373">
        <f t="shared" ref="K41:K43" si="4">ROUND(J41*I41,2)</f>
        <v>742109.55</v>
      </c>
      <c r="L41" s="304"/>
    </row>
    <row r="42" spans="2:12" ht="30" customHeight="1">
      <c r="B42" s="305"/>
      <c r="C42" s="331">
        <v>6.2</v>
      </c>
      <c r="D42" s="329" t="str">
        <f>Hoja1!B27</f>
        <v>5.01.11</v>
      </c>
      <c r="E42" s="329"/>
      <c r="F42" s="329"/>
      <c r="G42" s="340" t="str">
        <f>Hoja1!C27</f>
        <v>PUNTO  DE DESAGUES  D=2"</v>
      </c>
      <c r="H42" s="329" t="str">
        <f>Hoja1!D27</f>
        <v>UND</v>
      </c>
      <c r="I42" s="349">
        <f>Hoja1!E27</f>
        <v>4</v>
      </c>
      <c r="J42" s="372">
        <f>ROUND((Hoja1!F27+(Hoja1!F27*Hoja1!G27))*1.3,2)</f>
        <v>109559.42</v>
      </c>
      <c r="K42" s="373">
        <f t="shared" si="4"/>
        <v>438237.68</v>
      </c>
      <c r="L42" s="304"/>
    </row>
    <row r="43" spans="2:12" ht="30" customHeight="1">
      <c r="B43" s="305"/>
      <c r="C43" s="331">
        <v>6.3</v>
      </c>
      <c r="D43" s="329" t="str">
        <f>Hoja1!B28</f>
        <v xml:space="preserve">2.02.33 </v>
      </c>
      <c r="E43" s="337"/>
      <c r="F43" s="337"/>
      <c r="G43" s="340" t="str">
        <f>Hoja1!C28</f>
        <v xml:space="preserve">SUMINISTRO E INSTALACIÓN DE TUBERÍA PVC SANITARIA D = 4" </v>
      </c>
      <c r="H43" s="329" t="str">
        <f>Hoja1!D28</f>
        <v>ML</v>
      </c>
      <c r="I43" s="349">
        <f>Hoja1!E28</f>
        <v>35</v>
      </c>
      <c r="J43" s="372">
        <f>ROUND((Hoja1!F28+(Hoja1!F28*Hoja1!G28))*1.3,2)</f>
        <v>69034.16</v>
      </c>
      <c r="K43" s="373">
        <f t="shared" si="4"/>
        <v>2416195.6</v>
      </c>
      <c r="L43" s="304"/>
    </row>
    <row r="44" spans="2:12" ht="30" customHeight="1" thickBot="1">
      <c r="B44" s="305"/>
      <c r="C44" s="328" t="s">
        <v>335</v>
      </c>
      <c r="D44" s="338"/>
      <c r="E44" s="339"/>
      <c r="F44" s="338"/>
      <c r="G44" s="338"/>
      <c r="H44" s="338"/>
      <c r="I44" s="352"/>
      <c r="J44" s="376"/>
      <c r="K44" s="375">
        <f>SUM(K41:K43)</f>
        <v>3596542.83</v>
      </c>
      <c r="L44" s="304"/>
    </row>
    <row r="45" spans="2:12" ht="30" customHeight="1" thickBot="1">
      <c r="B45" s="305"/>
      <c r="C45" s="422" t="str">
        <f>Hoja1!A29</f>
        <v>7. BASES Y PISOS</v>
      </c>
      <c r="D45" s="423"/>
      <c r="E45" s="423"/>
      <c r="F45" s="423"/>
      <c r="G45" s="423"/>
      <c r="H45" s="423"/>
      <c r="I45" s="423"/>
      <c r="J45" s="423"/>
      <c r="K45" s="424"/>
      <c r="L45" s="304"/>
    </row>
    <row r="46" spans="2:12" ht="30" customHeight="1">
      <c r="B46" s="305"/>
      <c r="C46" s="331">
        <v>7.1</v>
      </c>
      <c r="D46" s="329" t="str">
        <f>Hoja1!B30</f>
        <v>2.05.04</v>
      </c>
      <c r="E46" s="329"/>
      <c r="F46" s="329"/>
      <c r="G46" s="340" t="str">
        <f>Hoja1!C30</f>
        <v>ALISTADO PISO 1:5 E= 4.0 CM.</v>
      </c>
      <c r="H46" s="329" t="str">
        <f>Hoja1!D30</f>
        <v>M2</v>
      </c>
      <c r="I46" s="349">
        <f>Hoja1!E30</f>
        <v>117.4</v>
      </c>
      <c r="J46" s="372">
        <f>ROUND((Hoja1!F30+(Hoja1!F30*Hoja1!G30))*1.3,2)</f>
        <v>43977.55</v>
      </c>
      <c r="K46" s="373">
        <f t="shared" ref="K46:K48" si="5">ROUND(J46*I46,2)</f>
        <v>5162964.37</v>
      </c>
      <c r="L46" s="304"/>
    </row>
    <row r="47" spans="2:12" ht="30" customHeight="1">
      <c r="B47" s="305"/>
      <c r="C47" s="331">
        <v>7.2</v>
      </c>
      <c r="D47" s="329" t="str">
        <f>Hoja1!B31</f>
        <v>2.05.25</v>
      </c>
      <c r="E47" s="329"/>
      <c r="F47" s="329"/>
      <c r="G47" s="340" t="str">
        <f>Hoja1!C31</f>
        <v>PLACA BASE EN CONCRETO E= 8 CM 2500 PSI</v>
      </c>
      <c r="H47" s="329" t="str">
        <f>Hoja1!D31</f>
        <v>M2</v>
      </c>
      <c r="I47" s="349">
        <f>Hoja1!E31</f>
        <v>4.5</v>
      </c>
      <c r="J47" s="372">
        <f>ROUND((Hoja1!F31+(Hoja1!F31*Hoja1!G31))*1.3,2)</f>
        <v>98765.51</v>
      </c>
      <c r="K47" s="373">
        <f t="shared" si="5"/>
        <v>444444.8</v>
      </c>
      <c r="L47" s="304"/>
    </row>
    <row r="48" spans="2:12" ht="30" customHeight="1">
      <c r="B48" s="305"/>
      <c r="C48" s="331">
        <v>7.3</v>
      </c>
      <c r="D48" s="329" t="str">
        <f>Hoja1!B32</f>
        <v>3.13.24</v>
      </c>
      <c r="E48" s="337"/>
      <c r="F48" s="337"/>
      <c r="G48" s="340" t="str">
        <f>Hoja1!C32</f>
        <v xml:space="preserve">SUMINISTRO E INSTALACIÓN DE MALLA ELECTROSOLDADA </v>
      </c>
      <c r="H48" s="329" t="str">
        <f>Hoja1!D32</f>
        <v>KG</v>
      </c>
      <c r="I48" s="349">
        <f>Hoja1!E32</f>
        <v>5.64</v>
      </c>
      <c r="J48" s="372">
        <f>ROUND((Hoja1!F32+(Hoja1!F32*Hoja1!G32))*1.3,2)</f>
        <v>9843.99</v>
      </c>
      <c r="K48" s="373">
        <f t="shared" si="5"/>
        <v>55520.1</v>
      </c>
      <c r="L48" s="304"/>
    </row>
    <row r="49" spans="2:12" ht="30" customHeight="1" thickBot="1">
      <c r="B49" s="305"/>
      <c r="C49" s="328" t="s">
        <v>335</v>
      </c>
      <c r="D49" s="338"/>
      <c r="E49" s="339"/>
      <c r="F49" s="338"/>
      <c r="G49" s="338"/>
      <c r="H49" s="338"/>
      <c r="I49" s="352"/>
      <c r="J49" s="376"/>
      <c r="K49" s="375">
        <f>SUM(K46:K48)</f>
        <v>5662929.2699999996</v>
      </c>
      <c r="L49" s="304"/>
    </row>
    <row r="50" spans="2:12" ht="30" customHeight="1" thickBot="1">
      <c r="B50" s="305"/>
      <c r="C50" s="422" t="str">
        <f>Hoja1!A33</f>
        <v>8. CUBIERTA</v>
      </c>
      <c r="D50" s="423"/>
      <c r="E50" s="423"/>
      <c r="F50" s="423"/>
      <c r="G50" s="423"/>
      <c r="H50" s="423"/>
      <c r="I50" s="423"/>
      <c r="J50" s="423"/>
      <c r="K50" s="424"/>
      <c r="L50" s="304"/>
    </row>
    <row r="51" spans="2:12" ht="38.4" customHeight="1">
      <c r="B51" s="305"/>
      <c r="C51" s="331">
        <v>8.1</v>
      </c>
      <c r="D51" s="329" t="str">
        <f>Hoja1!B34</f>
        <v>2.08.21</v>
      </c>
      <c r="E51" s="329"/>
      <c r="F51" s="329"/>
      <c r="G51" s="330" t="str">
        <f>Hoja1!C34</f>
        <v>SUMINISTRO E INSTALACIÓN CUBIERTA EN TEJA FIBROCEMENTO NUMERO 8</v>
      </c>
      <c r="H51" s="336" t="str">
        <f>Hoja1!D34</f>
        <v>M2</v>
      </c>
      <c r="I51" s="348">
        <f>Hoja1!E34</f>
        <v>20.079999999999998</v>
      </c>
      <c r="J51" s="372">
        <f>ROUND((Hoja1!F34+(Hoja1!F34*Hoja1!G34))*1.3,2)</f>
        <v>88314.53</v>
      </c>
      <c r="K51" s="373">
        <f t="shared" ref="K51" si="6">ROUND(J51*I51,2)</f>
        <v>1773355.76</v>
      </c>
      <c r="L51" s="304"/>
    </row>
    <row r="52" spans="2:12" ht="30" customHeight="1" thickBot="1">
      <c r="B52" s="305"/>
      <c r="C52" s="328" t="s">
        <v>335</v>
      </c>
      <c r="D52" s="338"/>
      <c r="E52" s="339"/>
      <c r="F52" s="338"/>
      <c r="G52" s="338"/>
      <c r="H52" s="338"/>
      <c r="I52" s="352"/>
      <c r="J52" s="376"/>
      <c r="K52" s="375">
        <f>K51</f>
        <v>1773355.76</v>
      </c>
      <c r="L52" s="304"/>
    </row>
    <row r="53" spans="2:12" ht="30" customHeight="1" thickBot="1">
      <c r="B53" s="305"/>
      <c r="C53" s="422" t="str">
        <f>Hoja1!A35</f>
        <v>9. INSTALACIONES ELECTRICAS</v>
      </c>
      <c r="D53" s="423"/>
      <c r="E53" s="423"/>
      <c r="F53" s="423"/>
      <c r="G53" s="423"/>
      <c r="H53" s="423"/>
      <c r="I53" s="423"/>
      <c r="J53" s="423"/>
      <c r="K53" s="424"/>
      <c r="L53" s="304"/>
    </row>
    <row r="54" spans="2:12" ht="56.4" customHeight="1">
      <c r="B54" s="305"/>
      <c r="C54" s="331">
        <v>9.1</v>
      </c>
      <c r="D54" s="329" t="str">
        <f>Hoja1!B36</f>
        <v>2.10.115</v>
      </c>
      <c r="E54" s="329"/>
      <c r="F54" s="329"/>
      <c r="G54" s="330" t="str">
        <f>Hoja1!C36</f>
        <v>SUMINISTRO E INSTALACIÓN DE SALIDA COMPLETA PARA TOMACORRIENTE MONOFÁSICO TIPO GFCI, EN CALIBRE 12 AWG (F, N, T) Y DUCTO PVC DE 1/2". (INCLUYE APARATO).</v>
      </c>
      <c r="H54" s="336" t="str">
        <f>Hoja1!D36</f>
        <v>UND</v>
      </c>
      <c r="I54" s="348">
        <f>Hoja1!E36</f>
        <v>2</v>
      </c>
      <c r="J54" s="372">
        <f>ROUND((Hoja1!F36+(Hoja1!F36*Hoja1!G36))*1.3,2)</f>
        <v>225441.26</v>
      </c>
      <c r="K54" s="373">
        <f t="shared" ref="K54:K57" si="7">ROUND(J54*I54,2)</f>
        <v>450882.52</v>
      </c>
      <c r="L54" s="304"/>
    </row>
    <row r="55" spans="2:12" ht="62.4" customHeight="1">
      <c r="B55" s="305"/>
      <c r="C55" s="331">
        <v>9.1999999999999993</v>
      </c>
      <c r="D55" s="329" t="str">
        <f>Hoja1!B37</f>
        <v>2.10.136</v>
      </c>
      <c r="E55" s="329"/>
      <c r="F55" s="329"/>
      <c r="G55" s="330" t="str">
        <f>Hoja1!C37</f>
        <v>SUMINISTRO E INSTALACIÓN DE SALIDA COMPLETA PARA INTERRUPTOR SENCILLO EN CALIBRE 12 AWG Y DUCTO PVC 1/2 " (INCLUYE APARATO)</v>
      </c>
      <c r="H55" s="336" t="str">
        <f>Hoja1!D37</f>
        <v>UND</v>
      </c>
      <c r="I55" s="348">
        <f>Hoja1!E37</f>
        <v>1</v>
      </c>
      <c r="J55" s="372">
        <f>ROUND((Hoja1!F37+(Hoja1!F37*Hoja1!G37))*1.3,2)</f>
        <v>131761.32</v>
      </c>
      <c r="K55" s="373">
        <f t="shared" si="7"/>
        <v>131761.32</v>
      </c>
      <c r="L55" s="304"/>
    </row>
    <row r="56" spans="2:12" ht="42" customHeight="1">
      <c r="B56" s="305"/>
      <c r="C56" s="331">
        <v>9.3000000000000007</v>
      </c>
      <c r="D56" s="329" t="str">
        <f>Hoja1!B38</f>
        <v xml:space="preserve">2.10.180 </v>
      </c>
      <c r="E56" s="337"/>
      <c r="F56" s="337"/>
      <c r="G56" s="330" t="str">
        <f>Hoja1!C38</f>
        <v xml:space="preserve"> SUMINISTRO E INSTALACIÓN DE PANEL LED REDONDO DE SOBREPONER DE 24 W </v>
      </c>
      <c r="H56" s="336" t="str">
        <f>Hoja1!D38</f>
        <v>UND</v>
      </c>
      <c r="I56" s="348">
        <f>Hoja1!E38</f>
        <v>5</v>
      </c>
      <c r="J56" s="372">
        <f>ROUND((Hoja1!F38+(Hoja1!F38*Hoja1!G38))*1.3,2)</f>
        <v>50468.34</v>
      </c>
      <c r="K56" s="373">
        <f t="shared" si="7"/>
        <v>252341.7</v>
      </c>
      <c r="L56" s="304"/>
    </row>
    <row r="57" spans="2:12" ht="45.6" customHeight="1">
      <c r="B57" s="305"/>
      <c r="C57" s="331">
        <v>9.4</v>
      </c>
      <c r="D57" s="329" t="str">
        <f>Hoja1!B39</f>
        <v xml:space="preserve">2.10.179 </v>
      </c>
      <c r="E57" s="329"/>
      <c r="F57" s="329"/>
      <c r="G57" s="330" t="str">
        <f>Hoja1!C39</f>
        <v xml:space="preserve">SUMINISTRO E INSTALACIÓN DE PANEL LED REDONDO DE INCRUSTAR DE 24 W </v>
      </c>
      <c r="H57" s="336" t="str">
        <f>Hoja1!D39</f>
        <v>UND</v>
      </c>
      <c r="I57" s="348">
        <f>Hoja1!E39</f>
        <v>10</v>
      </c>
      <c r="J57" s="372">
        <f>ROUND((Hoja1!F39+(Hoja1!F39*Hoja1!G39))*1.3,2)</f>
        <v>56196.93</v>
      </c>
      <c r="K57" s="373">
        <f t="shared" si="7"/>
        <v>561969.30000000005</v>
      </c>
      <c r="L57" s="304"/>
    </row>
    <row r="58" spans="2:12" ht="30" customHeight="1" thickBot="1">
      <c r="B58" s="305"/>
      <c r="C58" s="328" t="s">
        <v>335</v>
      </c>
      <c r="D58" s="338"/>
      <c r="E58" s="339"/>
      <c r="F58" s="338"/>
      <c r="G58" s="338"/>
      <c r="H58" s="338"/>
      <c r="I58" s="352"/>
      <c r="J58" s="376"/>
      <c r="K58" s="375">
        <f>SUM(K54:K57)</f>
        <v>1396954.84</v>
      </c>
      <c r="L58" s="304"/>
    </row>
    <row r="59" spans="2:12" ht="30" customHeight="1" thickBot="1">
      <c r="B59" s="305"/>
      <c r="C59" s="422" t="str">
        <f>Hoja1!A40</f>
        <v>10. ACABADOS Y APARATOS</v>
      </c>
      <c r="D59" s="423"/>
      <c r="E59" s="423"/>
      <c r="F59" s="423"/>
      <c r="G59" s="423"/>
      <c r="H59" s="423"/>
      <c r="I59" s="423"/>
      <c r="J59" s="423"/>
      <c r="K59" s="424"/>
      <c r="L59" s="304"/>
    </row>
    <row r="60" spans="2:12" ht="30" customHeight="1">
      <c r="B60" s="305"/>
      <c r="C60" s="331">
        <v>10.1</v>
      </c>
      <c r="D60" s="329" t="str">
        <f>Hoja1!B41</f>
        <v>2.05.19</v>
      </c>
      <c r="E60" s="329"/>
      <c r="F60" s="329"/>
      <c r="G60" s="330" t="str">
        <f>Hoja1!C41</f>
        <v>PISOS EN CERAMICA</v>
      </c>
      <c r="H60" s="336" t="str">
        <f>Hoja1!D41</f>
        <v>M2</v>
      </c>
      <c r="I60" s="348">
        <f>Hoja1!E41</f>
        <v>125.8</v>
      </c>
      <c r="J60" s="372">
        <f>ROUND((Hoja1!F41+(Hoja1!F41*Hoja1!G41))*1.3,2)</f>
        <v>121097.75</v>
      </c>
      <c r="K60" s="373">
        <f t="shared" ref="K60:K64" si="8">ROUND(J60*I60,2)</f>
        <v>15234096.949999999</v>
      </c>
      <c r="L60" s="304"/>
    </row>
    <row r="61" spans="2:12" ht="30" customHeight="1">
      <c r="B61" s="305"/>
      <c r="C61" s="331">
        <v>10.199999999999999</v>
      </c>
      <c r="D61" s="329" t="str">
        <f>Hoja1!B42</f>
        <v>2.05.19</v>
      </c>
      <c r="E61" s="329"/>
      <c r="F61" s="329"/>
      <c r="G61" s="330" t="str">
        <f>Hoja1!C42</f>
        <v>SUMINISTRO E INSTALACION DE ENCHAPE PARED EN CERAMICA</v>
      </c>
      <c r="H61" s="336" t="str">
        <f>Hoja1!D42</f>
        <v>M2</v>
      </c>
      <c r="I61" s="348">
        <f>Hoja1!E42</f>
        <v>16.63</v>
      </c>
      <c r="J61" s="372">
        <f>ROUND((Hoja1!F42+(Hoja1!F42*Hoja1!G42))*1.3,2)</f>
        <v>121097.75</v>
      </c>
      <c r="K61" s="373">
        <f t="shared" si="8"/>
        <v>2013855.58</v>
      </c>
      <c r="L61" s="304"/>
    </row>
    <row r="62" spans="2:12" ht="30" customHeight="1">
      <c r="B62" s="305"/>
      <c r="C62" s="331">
        <v>10.3</v>
      </c>
      <c r="D62" s="329" t="str">
        <f>Hoja1!B43</f>
        <v>2.06.15</v>
      </c>
      <c r="E62" s="329"/>
      <c r="F62" s="329"/>
      <c r="G62" s="330" t="str">
        <f>Hoja1!C43</f>
        <v>SUMINISTRO E INSTALACIÓN DE REMATE BOCEL DE ALUMINIO "WIN"</v>
      </c>
      <c r="H62" s="336" t="str">
        <f>Hoja1!D43</f>
        <v>ML</v>
      </c>
      <c r="I62" s="348">
        <f>Hoja1!E43</f>
        <v>9.5</v>
      </c>
      <c r="J62" s="372">
        <f>ROUND((Hoja1!F43+(Hoja1!F43*Hoja1!G43))*1.3,2)</f>
        <v>27307.67</v>
      </c>
      <c r="K62" s="373">
        <f t="shared" si="8"/>
        <v>259422.87</v>
      </c>
      <c r="L62" s="304"/>
    </row>
    <row r="63" spans="2:12" ht="30" customHeight="1">
      <c r="B63" s="305"/>
      <c r="C63" s="331">
        <v>10.4</v>
      </c>
      <c r="D63" s="329" t="str">
        <f>Hoja1!B44</f>
        <v>2.09.01</v>
      </c>
      <c r="E63" s="329"/>
      <c r="F63" s="329"/>
      <c r="G63" s="330" t="str">
        <f>Hoja1!C44</f>
        <v>SUMINISTRO E INSTALACIÓN DE CIELO RASO EN PVC DE 7 MM.</v>
      </c>
      <c r="H63" s="336" t="str">
        <f>Hoja1!D44</f>
        <v>M2</v>
      </c>
      <c r="I63" s="348">
        <f>Hoja1!E44</f>
        <v>135.80000000000001</v>
      </c>
      <c r="J63" s="372">
        <f>ROUND((Hoja1!F44+(Hoja1!F44*Hoja1!G44))*1.3,2)</f>
        <v>103461.12</v>
      </c>
      <c r="K63" s="373">
        <f t="shared" si="8"/>
        <v>14050020.1</v>
      </c>
      <c r="L63" s="304"/>
    </row>
    <row r="64" spans="2:12" ht="43.2" customHeight="1">
      <c r="B64" s="305"/>
      <c r="C64" s="331">
        <v>10.5</v>
      </c>
      <c r="D64" s="329" t="str">
        <f>Hoja1!B45</f>
        <v>REF. 2.05.19</v>
      </c>
      <c r="E64" s="329"/>
      <c r="F64" s="329"/>
      <c r="G64" s="330" t="str">
        <f>Hoja1!C45</f>
        <v>SUMINISTRO E INSTALACIÓN DE GUARDAESCOBA EN CERÁMICA PARA PISO H= 0.075 m</v>
      </c>
      <c r="H64" s="336" t="str">
        <f>Hoja1!D45</f>
        <v>ML</v>
      </c>
      <c r="I64" s="348">
        <v>77.061082193833599</v>
      </c>
      <c r="J64" s="372">
        <f>ROUND((Hoja1!F45+(Hoja1!F45*Hoja1!G45))*1.3,2)</f>
        <v>31841.24</v>
      </c>
      <c r="K64" s="373">
        <f t="shared" si="8"/>
        <v>2453720.41</v>
      </c>
      <c r="L64" s="304"/>
    </row>
    <row r="65" spans="2:12" ht="30" customHeight="1" thickBot="1">
      <c r="B65" s="305"/>
      <c r="C65" s="335" t="s">
        <v>335</v>
      </c>
      <c r="D65" s="322"/>
      <c r="E65" s="322"/>
      <c r="F65" s="322"/>
      <c r="G65" s="334"/>
      <c r="H65" s="322"/>
      <c r="I65" s="352"/>
      <c r="J65" s="377"/>
      <c r="K65" s="375">
        <f>SUM(K60:K64)</f>
        <v>34011115.909999996</v>
      </c>
      <c r="L65" s="304"/>
    </row>
    <row r="66" spans="2:12" ht="30" customHeight="1" thickBot="1">
      <c r="B66" s="305"/>
      <c r="C66" s="422" t="str">
        <f>Hoja1!A46</f>
        <v>11. CARPINTERIAS</v>
      </c>
      <c r="D66" s="423"/>
      <c r="E66" s="423"/>
      <c r="F66" s="423"/>
      <c r="G66" s="423"/>
      <c r="H66" s="423"/>
      <c r="I66" s="423"/>
      <c r="J66" s="423"/>
      <c r="K66" s="424"/>
      <c r="L66" s="304"/>
    </row>
    <row r="67" spans="2:12" ht="44.4" customHeight="1">
      <c r="B67" s="305"/>
      <c r="C67" s="331">
        <v>11.1</v>
      </c>
      <c r="D67" s="329" t="str">
        <f>Hoja1!B47</f>
        <v>2.15.05</v>
      </c>
      <c r="E67" s="329"/>
      <c r="F67" s="329"/>
      <c r="G67" s="330" t="str">
        <f>Hoja1!C47</f>
        <v>SUMINISTRO E INSTALACIÓN DE MARCO EN LÁMINA 0.80 &lt; A &lt; 1.00 M. CAL. 18 INC. (INCLUYE ANTICORROSIVO).</v>
      </c>
      <c r="H67" s="336" t="str">
        <f>Hoja1!D47</f>
        <v>UND</v>
      </c>
      <c r="I67" s="348">
        <f>Hoja1!E47</f>
        <v>2</v>
      </c>
      <c r="J67" s="372">
        <f>ROUND((Hoja1!F47+(Hoja1!F47*Hoja1!G47))*1.3,2)</f>
        <v>296211.12</v>
      </c>
      <c r="K67" s="373">
        <f t="shared" ref="K67:K72" si="9">ROUND(J67*I67,2)</f>
        <v>592422.24</v>
      </c>
      <c r="L67" s="304"/>
    </row>
    <row r="68" spans="2:12" ht="43.2" customHeight="1">
      <c r="B68" s="305"/>
      <c r="C68" s="331">
        <v>11.2</v>
      </c>
      <c r="D68" s="329" t="str">
        <f>Hoja1!B48</f>
        <v>2.15.06</v>
      </c>
      <c r="E68" s="329"/>
      <c r="F68" s="329"/>
      <c r="G68" s="330" t="str">
        <f>Hoja1!C48</f>
        <v>SUMINISTRO E INSTALACIÓN DE PUERTA EN LÁMINA CAL. 18. (INCLUYE ANTICORROSIVO). (NO INCLUYE CERRADURA).</v>
      </c>
      <c r="H68" s="336" t="str">
        <f>Hoja1!D48</f>
        <v>M2</v>
      </c>
      <c r="I68" s="348">
        <f>Hoja1!E48</f>
        <v>3.2</v>
      </c>
      <c r="J68" s="372">
        <f>ROUND((Hoja1!F48+(Hoja1!F48*Hoja1!G48))*1.3,2)</f>
        <v>352362.38</v>
      </c>
      <c r="K68" s="373">
        <f t="shared" si="9"/>
        <v>1127559.6200000001</v>
      </c>
      <c r="L68" s="304"/>
    </row>
    <row r="69" spans="2:12" ht="40.799999999999997" customHeight="1">
      <c r="B69" s="305"/>
      <c r="C69" s="331">
        <v>11.3</v>
      </c>
      <c r="D69" s="329" t="str">
        <f>Hoja1!B49</f>
        <v>2.15.12</v>
      </c>
      <c r="E69" s="329"/>
      <c r="F69" s="329"/>
      <c r="G69" s="330" t="str">
        <f>Hoja1!C49</f>
        <v>SUMINSITRO E INSTALACIÓN DE VENTANA EN LÁMINA COLD ROLLED CAL.18 CON VIDRIO. (INCLUYE ANTICORROSIVO).</v>
      </c>
      <c r="H69" s="336" t="str">
        <f>Hoja1!D49</f>
        <v>M2</v>
      </c>
      <c r="I69" s="348">
        <f>Hoja1!E49</f>
        <v>3.3</v>
      </c>
      <c r="J69" s="372">
        <f>ROUND((Hoja1!F49+(Hoja1!F49*Hoja1!G49))*1.3,2)</f>
        <v>368608.07</v>
      </c>
      <c r="K69" s="373">
        <f t="shared" si="9"/>
        <v>1216406.6299999999</v>
      </c>
      <c r="L69" s="304"/>
    </row>
    <row r="70" spans="2:12" ht="40.799999999999997" customHeight="1">
      <c r="B70" s="305"/>
      <c r="C70" s="331">
        <v>11.4</v>
      </c>
      <c r="D70" s="329" t="str">
        <f>Hoja1!B50</f>
        <v>2.17.05</v>
      </c>
      <c r="E70" s="329"/>
      <c r="F70" s="329"/>
      <c r="G70" s="330" t="str">
        <f>Hoja1!C50</f>
        <v>SUMINISTRO E INSTALACIÓN DE CERRADURA DOBLE CILINDRO TIPO YALE 105 O SIMILAR</v>
      </c>
      <c r="H70" s="336" t="str">
        <f>Hoja1!D50</f>
        <v>UND</v>
      </c>
      <c r="I70" s="348">
        <f>Hoja1!E50</f>
        <v>2</v>
      </c>
      <c r="J70" s="372">
        <f>ROUND((Hoja1!F50+(Hoja1!F50*Hoja1!G50))*1.3,2)</f>
        <v>183036.57</v>
      </c>
      <c r="K70" s="373">
        <f t="shared" si="9"/>
        <v>366073.14</v>
      </c>
      <c r="L70" s="304"/>
    </row>
    <row r="71" spans="2:12" ht="33.6" customHeight="1">
      <c r="B71" s="305"/>
      <c r="C71" s="331">
        <v>11.5</v>
      </c>
      <c r="D71" s="329" t="str">
        <f>Hoja1!B51</f>
        <v>2.17.09</v>
      </c>
      <c r="E71" s="329"/>
      <c r="F71" s="329"/>
      <c r="G71" s="330" t="str">
        <f>Hoja1!C51</f>
        <v>SUMINISTRO E INSTALACIÓN DE VIDRIO CRUDO INCOLORO DE 5.0 MM.</v>
      </c>
      <c r="H71" s="336" t="str">
        <f>Hoja1!D51</f>
        <v>M2</v>
      </c>
      <c r="I71" s="348">
        <f>Hoja1!E51</f>
        <v>3.8</v>
      </c>
      <c r="J71" s="372">
        <f>ROUND((Hoja1!F51+(Hoja1!F51*Hoja1!G51))*1.3,2)</f>
        <v>131764.32999999999</v>
      </c>
      <c r="K71" s="373">
        <f t="shared" si="9"/>
        <v>500704.45</v>
      </c>
      <c r="L71" s="304"/>
    </row>
    <row r="72" spans="2:12" ht="44.4" customHeight="1">
      <c r="B72" s="305"/>
      <c r="C72" s="333">
        <v>11.6</v>
      </c>
      <c r="D72" s="329" t="str">
        <f>Hoja1!B52</f>
        <v xml:space="preserve">2.15.09 </v>
      </c>
      <c r="E72" s="329"/>
      <c r="F72" s="329"/>
      <c r="G72" s="330" t="str">
        <f>Hoja1!C52</f>
        <v>SUMINISTRO E INSTALACIÓN DE REJA TIPO BANCARIA EN VARILLA CUADRADA. ( INCLUYE ANTICORROSIVO).</v>
      </c>
      <c r="H72" s="336" t="str">
        <f>Hoja1!D52</f>
        <v>M2</v>
      </c>
      <c r="I72" s="348">
        <f>Hoja1!E52</f>
        <v>0.96</v>
      </c>
      <c r="J72" s="372">
        <f>ROUND((Hoja1!F52+(Hoja1!F52*Hoja1!G52))*1.3,2)</f>
        <v>216141.32</v>
      </c>
      <c r="K72" s="373">
        <f t="shared" si="9"/>
        <v>207495.67</v>
      </c>
      <c r="L72" s="304"/>
    </row>
    <row r="73" spans="2:12" ht="30" customHeight="1" thickBot="1">
      <c r="B73" s="305"/>
      <c r="C73" s="328" t="s">
        <v>335</v>
      </c>
      <c r="D73" s="327"/>
      <c r="E73" s="327"/>
      <c r="F73" s="327"/>
      <c r="G73" s="332"/>
      <c r="H73" s="325"/>
      <c r="I73" s="352"/>
      <c r="J73" s="374"/>
      <c r="K73" s="375">
        <f>SUM(K67:K72)</f>
        <v>4010661.7500000005</v>
      </c>
      <c r="L73" s="304"/>
    </row>
    <row r="74" spans="2:12" ht="30" customHeight="1" thickBot="1">
      <c r="B74" s="305"/>
      <c r="C74" s="422" t="str">
        <f>Hoja1!A53</f>
        <v>12.APARATOS SANITARIOS</v>
      </c>
      <c r="D74" s="423"/>
      <c r="E74" s="423"/>
      <c r="F74" s="423"/>
      <c r="G74" s="423"/>
      <c r="H74" s="423"/>
      <c r="I74" s="423"/>
      <c r="J74" s="423"/>
      <c r="K74" s="424"/>
      <c r="L74" s="304"/>
    </row>
    <row r="75" spans="2:12" ht="40.799999999999997" customHeight="1">
      <c r="B75" s="305"/>
      <c r="C75" s="331">
        <v>12.1</v>
      </c>
      <c r="D75" s="329" t="str">
        <f>Hoja1!B54</f>
        <v>2.12.199</v>
      </c>
      <c r="E75" s="329"/>
      <c r="F75" s="329"/>
      <c r="G75" s="330" t="str">
        <f>Hoja1!C54</f>
        <v>SUMINISTRO E INSTALACIÓN LAVAPLATOS ACERO INOXIDABLE 0.50 X 0.35 M</v>
      </c>
      <c r="H75" s="336" t="str">
        <f>Hoja1!D54</f>
        <v>UND</v>
      </c>
      <c r="I75" s="348">
        <f>Hoja1!E54</f>
        <v>3</v>
      </c>
      <c r="J75" s="372">
        <f>ROUND((Hoja1!F54+(Hoja1!F54*Hoja1!G54))*1.3,2)</f>
        <v>210874.19</v>
      </c>
      <c r="K75" s="373">
        <f t="shared" ref="K75:K76" si="10">ROUND(J75*I75,2)</f>
        <v>632622.56999999995</v>
      </c>
      <c r="L75" s="304"/>
    </row>
    <row r="76" spans="2:12" ht="43.2" customHeight="1">
      <c r="B76" s="305"/>
      <c r="C76" s="331">
        <v>12.2</v>
      </c>
      <c r="D76" s="329" t="str">
        <f>Hoja1!B55</f>
        <v>2.12.183</v>
      </c>
      <c r="E76" s="329"/>
      <c r="F76" s="329"/>
      <c r="G76" s="330" t="str">
        <f>Hoja1!C55</f>
        <v xml:space="preserve">SUMINISTRO E INSTALACIÓN DE GRIFERÍA COMPLETA CON LLAVE TIPO GANSO </v>
      </c>
      <c r="H76" s="336" t="str">
        <f>Hoja1!D55</f>
        <v>UND</v>
      </c>
      <c r="I76" s="348">
        <f>Hoja1!E55</f>
        <v>2</v>
      </c>
      <c r="J76" s="372">
        <f>ROUND((Hoja1!F55+(Hoja1!F55*Hoja1!G55))*1.3,2)</f>
        <v>178510.24</v>
      </c>
      <c r="K76" s="373">
        <f t="shared" si="10"/>
        <v>357020.48</v>
      </c>
      <c r="L76" s="304"/>
    </row>
    <row r="77" spans="2:12" ht="30" customHeight="1" thickBot="1">
      <c r="B77" s="305"/>
      <c r="C77" s="328" t="s">
        <v>335</v>
      </c>
      <c r="D77" s="327"/>
      <c r="E77" s="327"/>
      <c r="F77" s="327"/>
      <c r="G77" s="332"/>
      <c r="H77" s="325"/>
      <c r="I77" s="352"/>
      <c r="J77" s="374"/>
      <c r="K77" s="375">
        <f>SUM(K75:K76)</f>
        <v>989643.04999999993</v>
      </c>
      <c r="L77" s="304"/>
    </row>
    <row r="78" spans="2:12" ht="30" customHeight="1" thickBot="1">
      <c r="B78" s="305"/>
      <c r="C78" s="422" t="str">
        <f>Hoja1!A56</f>
        <v>13.ESTRUCTURAS DE CONCRETO</v>
      </c>
      <c r="D78" s="423"/>
      <c r="E78" s="423"/>
      <c r="F78" s="423"/>
      <c r="G78" s="423"/>
      <c r="H78" s="423"/>
      <c r="I78" s="423"/>
      <c r="J78" s="423"/>
      <c r="K78" s="424"/>
      <c r="L78" s="304"/>
    </row>
    <row r="79" spans="2:12" ht="30" customHeight="1">
      <c r="B79" s="305"/>
      <c r="C79" s="331">
        <v>13.1</v>
      </c>
      <c r="D79" s="329" t="str">
        <f>Hoja1!B57</f>
        <v xml:space="preserve"> 2.03.26</v>
      </c>
      <c r="E79" s="329"/>
      <c r="F79" s="329"/>
      <c r="G79" s="330" t="str">
        <f>Hoja1!C57</f>
        <v xml:space="preserve">PLACA MACIZA EN CONCRETO DE 21 MPa - (3000 PSI) E = 0.10 M. </v>
      </c>
      <c r="H79" s="336" t="str">
        <f>Hoja1!D57</f>
        <v>M2</v>
      </c>
      <c r="I79" s="348">
        <f>Hoja1!E57</f>
        <v>2</v>
      </c>
      <c r="J79" s="372">
        <f>ROUND((Hoja1!F57+(Hoja1!F57*Hoja1!G57))*1.3,2)</f>
        <v>215805.01</v>
      </c>
      <c r="K79" s="373">
        <f t="shared" ref="K79" si="11">ROUND(J79*I79,2)</f>
        <v>431610.02</v>
      </c>
      <c r="L79" s="304"/>
    </row>
    <row r="80" spans="2:12" ht="30" customHeight="1" thickBot="1">
      <c r="B80" s="305"/>
      <c r="C80" s="328" t="s">
        <v>335</v>
      </c>
      <c r="D80" s="327"/>
      <c r="E80" s="327"/>
      <c r="F80" s="327"/>
      <c r="G80" s="332"/>
      <c r="H80" s="325"/>
      <c r="I80" s="352"/>
      <c r="J80" s="374"/>
      <c r="K80" s="375">
        <f>K79</f>
        <v>431610.02</v>
      </c>
      <c r="L80" s="304"/>
    </row>
    <row r="81" spans="2:12" ht="30" customHeight="1" thickBot="1">
      <c r="B81" s="305"/>
      <c r="C81" s="422" t="str">
        <f>Hoja1!A58</f>
        <v>14.PINTURAS Y ESMALTES</v>
      </c>
      <c r="D81" s="423"/>
      <c r="E81" s="423"/>
      <c r="F81" s="423"/>
      <c r="G81" s="423"/>
      <c r="H81" s="423"/>
      <c r="I81" s="423"/>
      <c r="J81" s="423"/>
      <c r="K81" s="424"/>
      <c r="L81" s="304"/>
    </row>
    <row r="82" spans="2:12" ht="30" customHeight="1">
      <c r="B82" s="305"/>
      <c r="C82" s="331">
        <v>14.1</v>
      </c>
      <c r="D82" s="329" t="str">
        <f>Hoja1!B59</f>
        <v>2.07.01</v>
      </c>
      <c r="E82" s="329"/>
      <c r="F82" s="329"/>
      <c r="G82" s="330" t="str">
        <f>Hoja1!C59</f>
        <v xml:space="preserve">SUMINISTRO E INSTALACIÓN DE ESMALTE LÁMINA LINEAL 3 MANOS </v>
      </c>
      <c r="H82" s="336" t="str">
        <f>Hoja1!D59</f>
        <v>ML</v>
      </c>
      <c r="I82" s="348">
        <f>Hoja1!E59</f>
        <v>68.2</v>
      </c>
      <c r="J82" s="372">
        <f>ROUND((Hoja1!F59+(Hoja1!F59*Hoja1!G59))*1.3,2)</f>
        <v>10908.79</v>
      </c>
      <c r="K82" s="373">
        <f t="shared" ref="K82:K83" si="12">ROUND(J82*I82,2)</f>
        <v>743979.48</v>
      </c>
      <c r="L82" s="304"/>
    </row>
    <row r="83" spans="2:12" ht="48" customHeight="1">
      <c r="B83" s="305"/>
      <c r="C83" s="331">
        <v>14.2</v>
      </c>
      <c r="D83" s="329" t="str">
        <f>Hoja1!B60</f>
        <v>2.07.18</v>
      </c>
      <c r="E83" s="329"/>
      <c r="F83" s="329"/>
      <c r="G83" s="330" t="str">
        <f>Hoja1!C60</f>
        <v xml:space="preserve">SUMINISTRO E INSTALACIÓN DE VINILO TIPO II SOBRE PAÑETE O ESTUCO A DOS MANOS BAJO PLACA </v>
      </c>
      <c r="H83" s="336" t="str">
        <f>Hoja1!D60</f>
        <v>M2</v>
      </c>
      <c r="I83" s="348">
        <f>Hoja1!E60</f>
        <v>51.97</v>
      </c>
      <c r="J83" s="372">
        <f>ROUND((Hoja1!F60+(Hoja1!F60*Hoja1!G60))*1.3,2)</f>
        <v>24885.21</v>
      </c>
      <c r="K83" s="373">
        <f t="shared" si="12"/>
        <v>1293284.3600000001</v>
      </c>
      <c r="L83" s="304"/>
    </row>
    <row r="84" spans="2:12" ht="30" customHeight="1" thickBot="1">
      <c r="B84" s="305"/>
      <c r="C84" s="328" t="s">
        <v>335</v>
      </c>
      <c r="D84" s="327"/>
      <c r="E84" s="327"/>
      <c r="F84" s="327"/>
      <c r="G84" s="332"/>
      <c r="H84" s="325"/>
      <c r="I84" s="352"/>
      <c r="J84" s="374"/>
      <c r="K84" s="375">
        <f>SUM(K82:K83)</f>
        <v>2037263.84</v>
      </c>
      <c r="L84" s="304"/>
    </row>
    <row r="85" spans="2:12" ht="30" customHeight="1" thickBot="1">
      <c r="B85" s="305"/>
      <c r="C85" s="422" t="str">
        <f>Hoja1!A61</f>
        <v>15. INSTALACIONES HIDRÁULICAS Y SANITARIAS</v>
      </c>
      <c r="D85" s="423"/>
      <c r="E85" s="423"/>
      <c r="F85" s="423"/>
      <c r="G85" s="423"/>
      <c r="H85" s="423"/>
      <c r="I85" s="423"/>
      <c r="J85" s="423"/>
      <c r="K85" s="424"/>
      <c r="L85" s="304"/>
    </row>
    <row r="86" spans="2:12" ht="40.799999999999997" customHeight="1">
      <c r="B86" s="305"/>
      <c r="C86" s="331">
        <v>15.1</v>
      </c>
      <c r="D86" s="329" t="str">
        <f>Hoja1!B62</f>
        <v xml:space="preserve"> 2.12.03</v>
      </c>
      <c r="E86" s="329"/>
      <c r="F86" s="329"/>
      <c r="G86" s="330" t="str">
        <f>Hoja1!C62</f>
        <v>SUMINISTRO E INSTALACIÓN DE TUBERÍA PVC DE 1" T.P. PARA RED DE SUMINISTRO.</v>
      </c>
      <c r="H86" s="336" t="str">
        <f>Hoja1!D62</f>
        <v>ML</v>
      </c>
      <c r="I86" s="348">
        <f>Hoja1!E62</f>
        <v>2</v>
      </c>
      <c r="J86" s="372">
        <f>ROUND((Hoja1!F62+(Hoja1!F62*Hoja1!G62))*1.3,2)</f>
        <v>17851.71</v>
      </c>
      <c r="K86" s="373">
        <f t="shared" ref="K86" si="13">ROUND(J86*I86,2)</f>
        <v>35703.42</v>
      </c>
      <c r="L86" s="304"/>
    </row>
    <row r="87" spans="2:12" ht="30" customHeight="1" thickBot="1">
      <c r="B87" s="305"/>
      <c r="C87" s="328" t="s">
        <v>335</v>
      </c>
      <c r="D87" s="327"/>
      <c r="E87" s="327"/>
      <c r="F87" s="327"/>
      <c r="G87" s="326"/>
      <c r="H87" s="325"/>
      <c r="I87" s="352"/>
      <c r="J87" s="374"/>
      <c r="K87" s="375">
        <f>K86</f>
        <v>35703.42</v>
      </c>
      <c r="L87" s="304"/>
    </row>
    <row r="88" spans="2:12" s="306" customFormat="1" ht="30" customHeight="1" thickBot="1">
      <c r="B88" s="308"/>
      <c r="C88" s="409" t="s">
        <v>334</v>
      </c>
      <c r="D88" s="410"/>
      <c r="E88" s="410"/>
      <c r="F88" s="410"/>
      <c r="G88" s="410"/>
      <c r="H88" s="410"/>
      <c r="I88" s="410"/>
      <c r="J88" s="411"/>
      <c r="K88" s="378">
        <f>K87+K84+K80+K77+K73+K65+K58+K52+K49+K44+K39+K31+K24+K21+K16</f>
        <v>70064184</v>
      </c>
      <c r="L88" s="307"/>
    </row>
    <row r="89" spans="2:12" s="306" customFormat="1">
      <c r="B89" s="308"/>
      <c r="C89" s="324"/>
      <c r="D89" s="324"/>
      <c r="E89" s="324"/>
      <c r="F89" s="324"/>
      <c r="G89" s="324"/>
      <c r="H89" s="324"/>
      <c r="I89" s="353"/>
      <c r="J89" s="379"/>
      <c r="K89" s="379"/>
      <c r="L89" s="307"/>
    </row>
    <row r="90" spans="2:12" s="306" customFormat="1" ht="30" hidden="1" customHeight="1">
      <c r="B90" s="308"/>
      <c r="C90" s="313"/>
      <c r="D90" s="314"/>
      <c r="E90" s="313"/>
      <c r="F90" s="313"/>
      <c r="G90" s="415"/>
      <c r="H90" s="416"/>
      <c r="I90" s="417"/>
      <c r="J90" s="380"/>
      <c r="K90" s="381"/>
      <c r="L90" s="307"/>
    </row>
    <row r="91" spans="2:12" s="306" customFormat="1" ht="30" hidden="1" customHeight="1">
      <c r="B91" s="308"/>
      <c r="C91" s="313"/>
      <c r="D91" s="314"/>
      <c r="E91" s="313"/>
      <c r="F91" s="313"/>
      <c r="G91" s="320"/>
      <c r="H91" s="323"/>
      <c r="I91" s="354"/>
      <c r="J91" s="382"/>
      <c r="K91" s="383"/>
      <c r="L91" s="307"/>
    </row>
    <row r="92" spans="2:12" s="306" customFormat="1" ht="30" hidden="1" customHeight="1">
      <c r="B92" s="308"/>
      <c r="C92" s="313"/>
      <c r="D92" s="322"/>
      <c r="E92" s="322"/>
      <c r="F92" s="322"/>
      <c r="G92" s="320"/>
      <c r="H92" s="317"/>
      <c r="I92" s="355"/>
      <c r="J92" s="384"/>
      <c r="K92" s="383"/>
      <c r="L92" s="307"/>
    </row>
    <row r="93" spans="2:12" s="306" customFormat="1" ht="30" customHeight="1" thickBot="1">
      <c r="B93" s="308"/>
      <c r="C93" s="313"/>
      <c r="D93" s="322"/>
      <c r="E93" s="322"/>
      <c r="F93" s="322"/>
      <c r="G93" s="321" t="s">
        <v>333</v>
      </c>
      <c r="H93" s="317"/>
      <c r="I93" s="355"/>
      <c r="J93" s="384"/>
      <c r="K93" s="385">
        <f>K88</f>
        <v>70064184</v>
      </c>
      <c r="L93" s="307"/>
    </row>
    <row r="94" spans="2:12" s="306" customFormat="1" ht="30" hidden="1" customHeight="1">
      <c r="B94" s="308"/>
      <c r="C94" s="313"/>
      <c r="D94" s="314"/>
      <c r="E94" s="313"/>
      <c r="F94" s="313"/>
      <c r="G94" s="320"/>
      <c r="H94" s="320"/>
      <c r="I94" s="356"/>
      <c r="J94" s="386"/>
      <c r="K94" s="383"/>
      <c r="L94" s="307"/>
    </row>
    <row r="95" spans="2:12" s="306" customFormat="1" ht="30" hidden="1" customHeight="1">
      <c r="B95" s="308"/>
      <c r="C95" s="313"/>
      <c r="D95" s="314"/>
      <c r="E95" s="313"/>
      <c r="F95" s="313"/>
      <c r="G95" s="318"/>
      <c r="H95" s="317"/>
      <c r="I95" s="355"/>
      <c r="J95" s="384"/>
      <c r="K95" s="383"/>
      <c r="L95" s="307"/>
    </row>
    <row r="96" spans="2:12" s="306" customFormat="1" ht="30" hidden="1" customHeight="1" thickBot="1">
      <c r="B96" s="308"/>
      <c r="C96" s="313"/>
      <c r="D96" s="314"/>
      <c r="E96" s="313"/>
      <c r="F96" s="319"/>
      <c r="G96" s="318"/>
      <c r="H96" s="317"/>
      <c r="I96" s="355"/>
      <c r="J96" s="384"/>
      <c r="K96" s="385"/>
      <c r="L96" s="307"/>
    </row>
    <row r="97" spans="2:12" s="306" customFormat="1" ht="30" customHeight="1" thickBot="1">
      <c r="B97" s="308"/>
      <c r="C97" s="313"/>
      <c r="D97" s="314"/>
      <c r="E97" s="313"/>
      <c r="F97" s="313"/>
      <c r="G97" s="316" t="s">
        <v>8</v>
      </c>
      <c r="H97" s="315"/>
      <c r="I97" s="357"/>
      <c r="J97" s="387"/>
      <c r="K97" s="378">
        <f>K93</f>
        <v>70064184</v>
      </c>
      <c r="L97" s="307"/>
    </row>
    <row r="98" spans="2:12" s="306" customFormat="1" ht="14.4" thickBot="1">
      <c r="B98" s="308"/>
      <c r="C98" s="313"/>
      <c r="D98" s="314"/>
      <c r="E98" s="314"/>
      <c r="F98" s="314"/>
      <c r="G98" s="313"/>
      <c r="H98" s="313"/>
      <c r="I98" s="312"/>
      <c r="J98" s="388"/>
      <c r="K98" s="389"/>
      <c r="L98" s="307"/>
    </row>
    <row r="99" spans="2:12" s="306" customFormat="1">
      <c r="B99" s="308"/>
      <c r="C99" s="311"/>
      <c r="D99" s="413"/>
      <c r="E99" s="413"/>
      <c r="F99" s="413"/>
      <c r="G99" s="413"/>
      <c r="H99" s="413"/>
      <c r="I99" s="413"/>
      <c r="J99" s="413"/>
      <c r="K99" s="414"/>
      <c r="L99" s="310"/>
    </row>
    <row r="100" spans="2:12" s="306" customFormat="1" ht="46.5" customHeight="1">
      <c r="B100" s="308"/>
      <c r="C100" s="393" t="s">
        <v>332</v>
      </c>
      <c r="D100" s="394"/>
      <c r="E100" s="394"/>
      <c r="F100" s="394"/>
      <c r="G100" s="394"/>
      <c r="H100" s="412" t="s">
        <v>331</v>
      </c>
      <c r="I100" s="412"/>
      <c r="J100" s="412"/>
      <c r="K100" s="368" t="s">
        <v>330</v>
      </c>
      <c r="L100" s="309"/>
    </row>
    <row r="101" spans="2:12" s="306" customFormat="1" ht="43.8" customHeight="1">
      <c r="B101" s="308"/>
      <c r="C101" s="393" t="s">
        <v>329</v>
      </c>
      <c r="D101" s="394"/>
      <c r="E101" s="394"/>
      <c r="F101" s="394"/>
      <c r="G101" s="394"/>
      <c r="H101" s="398" t="s">
        <v>141</v>
      </c>
      <c r="I101" s="398"/>
      <c r="J101" s="369" t="s">
        <v>328</v>
      </c>
      <c r="K101" s="370">
        <v>0.24</v>
      </c>
      <c r="L101" s="309"/>
    </row>
    <row r="102" spans="2:12" s="306" customFormat="1" ht="42" customHeight="1">
      <c r="B102" s="308"/>
      <c r="C102" s="393" t="s">
        <v>327</v>
      </c>
      <c r="D102" s="394"/>
      <c r="E102" s="394"/>
      <c r="F102" s="394"/>
      <c r="G102" s="394"/>
      <c r="H102" s="395" t="s">
        <v>326</v>
      </c>
      <c r="I102" s="396"/>
      <c r="J102" s="369" t="s">
        <v>325</v>
      </c>
      <c r="K102" s="370">
        <v>0.01</v>
      </c>
      <c r="L102" s="309"/>
    </row>
    <row r="103" spans="2:12" s="306" customFormat="1" ht="58.5" customHeight="1">
      <c r="B103" s="308"/>
      <c r="C103" s="359"/>
      <c r="D103" s="360"/>
      <c r="E103" s="360"/>
      <c r="F103" s="360"/>
      <c r="G103" s="361"/>
      <c r="H103" s="397" t="s">
        <v>324</v>
      </c>
      <c r="I103" s="398"/>
      <c r="J103" s="369" t="s">
        <v>323</v>
      </c>
      <c r="K103" s="370">
        <v>0.05</v>
      </c>
      <c r="L103" s="307"/>
    </row>
    <row r="104" spans="2:12" ht="39" customHeight="1">
      <c r="B104" s="305"/>
      <c r="C104" s="362"/>
      <c r="D104" s="363"/>
      <c r="E104" s="363"/>
      <c r="F104" s="363"/>
      <c r="G104" s="364"/>
      <c r="H104" s="398" t="s">
        <v>322</v>
      </c>
      <c r="I104" s="398"/>
      <c r="J104" s="369" t="s">
        <v>321</v>
      </c>
      <c r="K104" s="370">
        <f>K103+K102+K101</f>
        <v>0.3</v>
      </c>
      <c r="L104" s="304"/>
    </row>
    <row r="105" spans="2:12" ht="47.25" customHeight="1" thickBot="1">
      <c r="B105" s="305"/>
      <c r="C105" s="365"/>
      <c r="D105" s="366"/>
      <c r="E105" s="366"/>
      <c r="F105" s="366"/>
      <c r="G105" s="367"/>
      <c r="H105" s="391"/>
      <c r="I105" s="391"/>
      <c r="J105" s="391"/>
      <c r="K105" s="392"/>
      <c r="L105" s="304"/>
    </row>
    <row r="106" spans="2:12" ht="14.4" thickBot="1">
      <c r="B106" s="303"/>
      <c r="C106" s="300"/>
      <c r="D106" s="300"/>
      <c r="E106" s="302"/>
      <c r="F106" s="300"/>
      <c r="G106" s="301"/>
      <c r="H106" s="300"/>
      <c r="I106" s="358"/>
      <c r="J106" s="390"/>
      <c r="K106" s="390"/>
      <c r="L106" s="299"/>
    </row>
    <row r="107" spans="2:12" ht="14.4" thickTop="1"/>
  </sheetData>
  <mergeCells count="43">
    <mergeCell ref="C74:K74"/>
    <mergeCell ref="C78:K78"/>
    <mergeCell ref="C81:K81"/>
    <mergeCell ref="C85:K85"/>
    <mergeCell ref="C45:K45"/>
    <mergeCell ref="C50:K50"/>
    <mergeCell ref="C53:K53"/>
    <mergeCell ref="C59:K59"/>
    <mergeCell ref="C66:K66"/>
    <mergeCell ref="C7:K8"/>
    <mergeCell ref="C9:K9"/>
    <mergeCell ref="B1:G1"/>
    <mergeCell ref="B2:E2"/>
    <mergeCell ref="B4:L4"/>
    <mergeCell ref="C5:K5"/>
    <mergeCell ref="C6:K6"/>
    <mergeCell ref="C101:G101"/>
    <mergeCell ref="C10:K10"/>
    <mergeCell ref="C88:J88"/>
    <mergeCell ref="C100:G100"/>
    <mergeCell ref="H100:J100"/>
    <mergeCell ref="H101:I101"/>
    <mergeCell ref="D99:K99"/>
    <mergeCell ref="G90:I90"/>
    <mergeCell ref="I11:I12"/>
    <mergeCell ref="J11:J12"/>
    <mergeCell ref="C13:K13"/>
    <mergeCell ref="C17:K17"/>
    <mergeCell ref="C22:K22"/>
    <mergeCell ref="C25:K25"/>
    <mergeCell ref="C32:K32"/>
    <mergeCell ref="C40:K40"/>
    <mergeCell ref="K11:K12"/>
    <mergeCell ref="C11:C12"/>
    <mergeCell ref="D11:D12"/>
    <mergeCell ref="G11:G12"/>
    <mergeCell ref="H11:H12"/>
    <mergeCell ref="E11:F11"/>
    <mergeCell ref="H105:K105"/>
    <mergeCell ref="C102:G102"/>
    <mergeCell ref="H102:I102"/>
    <mergeCell ref="H103:I103"/>
    <mergeCell ref="H104:I104"/>
  </mergeCells>
  <pageMargins left="0.11811023622047245" right="0.11811023622047245" top="0.15748031496062992" bottom="0.15748031496062992" header="0.31496062992125984" footer="0.31496062992125984"/>
  <pageSetup scale="4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Y1047336"/>
  <sheetViews>
    <sheetView view="pageBreakPreview" topLeftCell="A58" zoomScale="60" zoomScaleNormal="55" workbookViewId="0">
      <selection activeCell="G65" sqref="G65"/>
    </sheetView>
  </sheetViews>
  <sheetFormatPr baseColWidth="10" defaultRowHeight="14.4"/>
  <cols>
    <col min="1" max="1" width="8.109375" customWidth="1"/>
    <col min="2" max="2" width="20.5546875" style="49" customWidth="1"/>
    <col min="3" max="3" width="77.5546875" style="50" customWidth="1"/>
    <col min="4" max="4" width="18.109375" customWidth="1"/>
    <col min="5" max="5" width="16.88671875" style="41" customWidth="1"/>
    <col min="6" max="6" width="17.44140625" customWidth="1"/>
    <col min="7" max="7" width="15.5546875" customWidth="1"/>
    <col min="8" max="8" width="27.33203125" customWidth="1"/>
    <col min="9" max="9" width="17.109375" style="24" hidden="1" customWidth="1"/>
    <col min="10" max="10" width="17.21875" customWidth="1"/>
    <col min="11" max="12" width="18.6640625" customWidth="1"/>
    <col min="13" max="13" width="21.88671875" customWidth="1"/>
    <col min="14" max="14" width="20.6640625" customWidth="1"/>
    <col min="15" max="15" width="21" hidden="1" customWidth="1"/>
    <col min="16" max="16" width="6.33203125" hidden="1" customWidth="1"/>
    <col min="17" max="17" width="18.109375" hidden="1" customWidth="1"/>
    <col min="18" max="18" width="6.33203125" hidden="1" customWidth="1"/>
    <col min="19" max="19" width="18.109375" hidden="1" customWidth="1"/>
    <col min="20" max="20" width="6.33203125" hidden="1" customWidth="1"/>
    <col min="21" max="21" width="18.109375" hidden="1" customWidth="1"/>
    <col min="22" max="22" width="6.33203125" hidden="1" customWidth="1"/>
    <col min="23" max="23" width="18.109375" hidden="1" customWidth="1"/>
    <col min="24" max="24" width="6.33203125" hidden="1" customWidth="1"/>
    <col min="25" max="25" width="18.109375" hidden="1" customWidth="1"/>
    <col min="26" max="85" width="21" customWidth="1"/>
    <col min="86" max="86" width="6.5546875" customWidth="1"/>
    <col min="87" max="87" width="46" bestFit="1" customWidth="1"/>
    <col min="88" max="89" width="21" customWidth="1"/>
    <col min="90" max="90" width="22.33203125" customWidth="1"/>
    <col min="91" max="91" width="24.88671875" customWidth="1"/>
  </cols>
  <sheetData>
    <row r="1" spans="1:76" ht="36.6" customHeight="1">
      <c r="A1" s="444" t="s">
        <v>313</v>
      </c>
      <c r="B1" s="444"/>
      <c r="C1" s="444"/>
      <c r="D1" s="444"/>
      <c r="E1" s="444"/>
      <c r="F1" s="444"/>
      <c r="G1" s="444"/>
      <c r="H1" s="444"/>
      <c r="I1" s="7"/>
      <c r="J1" s="7"/>
      <c r="K1" s="7"/>
      <c r="L1" s="7"/>
      <c r="M1" s="7"/>
      <c r="N1" s="7"/>
      <c r="O1" s="7"/>
      <c r="P1" s="445" t="s">
        <v>177</v>
      </c>
      <c r="Q1" s="445"/>
      <c r="R1" s="445" t="s">
        <v>252</v>
      </c>
      <c r="S1" s="445"/>
      <c r="T1" s="445" t="s">
        <v>297</v>
      </c>
      <c r="U1" s="445"/>
      <c r="V1" s="445" t="s">
        <v>305</v>
      </c>
      <c r="W1" s="445"/>
      <c r="X1" s="445" t="s">
        <v>308</v>
      </c>
      <c r="Y1" s="445"/>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row>
    <row r="2" spans="1:76" s="8" customFormat="1" ht="58.2" customHeight="1">
      <c r="A2" s="1" t="s">
        <v>0</v>
      </c>
      <c r="B2" s="2" t="s">
        <v>1</v>
      </c>
      <c r="C2" s="3" t="s">
        <v>2</v>
      </c>
      <c r="D2" s="1" t="s">
        <v>3</v>
      </c>
      <c r="E2" s="1" t="s">
        <v>4</v>
      </c>
      <c r="F2" s="1" t="s">
        <v>5</v>
      </c>
      <c r="G2" s="1" t="s">
        <v>6</v>
      </c>
      <c r="H2" s="1" t="s">
        <v>7</v>
      </c>
      <c r="I2" s="275" t="s">
        <v>310</v>
      </c>
      <c r="J2" s="9"/>
      <c r="K2" s="9"/>
      <c r="L2" s="9"/>
      <c r="M2" s="9"/>
      <c r="N2" s="9"/>
      <c r="O2" s="9"/>
      <c r="P2" s="273" t="s">
        <v>4</v>
      </c>
      <c r="Q2" s="273" t="s">
        <v>8</v>
      </c>
      <c r="R2" s="273" t="s">
        <v>4</v>
      </c>
      <c r="S2" s="273" t="s">
        <v>8</v>
      </c>
      <c r="T2" s="273" t="s">
        <v>4</v>
      </c>
      <c r="U2" s="273" t="s">
        <v>8</v>
      </c>
      <c r="V2" s="273" t="s">
        <v>4</v>
      </c>
      <c r="W2" s="273" t="s">
        <v>8</v>
      </c>
      <c r="X2" s="273" t="s">
        <v>4</v>
      </c>
      <c r="Y2" s="273" t="s">
        <v>8</v>
      </c>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10" t="s">
        <v>91</v>
      </c>
      <c r="BU2" s="11" t="s">
        <v>92</v>
      </c>
      <c r="BV2" s="10" t="s">
        <v>93</v>
      </c>
      <c r="BW2" s="10" t="s">
        <v>94</v>
      </c>
    </row>
    <row r="3" spans="1:76" s="8" customFormat="1" ht="24" customHeight="1">
      <c r="A3" s="444" t="s">
        <v>9</v>
      </c>
      <c r="B3" s="444"/>
      <c r="C3" s="444"/>
      <c r="D3" s="444"/>
      <c r="E3" s="444"/>
      <c r="F3" s="444"/>
      <c r="G3" s="444"/>
      <c r="H3" s="444"/>
      <c r="I3" s="12"/>
      <c r="J3" s="12"/>
      <c r="K3" s="12"/>
      <c r="L3" s="12"/>
      <c r="M3" s="12"/>
      <c r="N3" s="12"/>
      <c r="O3" s="12"/>
      <c r="P3" s="274"/>
      <c r="Q3" s="274"/>
      <c r="R3" s="274"/>
      <c r="S3" s="274"/>
      <c r="T3" s="274"/>
      <c r="U3" s="274"/>
      <c r="V3" s="274"/>
      <c r="W3" s="274"/>
      <c r="X3" s="274"/>
      <c r="Y3" s="274"/>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3">
        <v>1</v>
      </c>
      <c r="BU3" s="14" t="s">
        <v>95</v>
      </c>
      <c r="BV3" s="15">
        <f>'[112]01_USU_MCPC_M1 '!P56</f>
        <v>8107556.2599999998</v>
      </c>
      <c r="BW3" s="15">
        <f>BV3</f>
        <v>8107556.2599999998</v>
      </c>
    </row>
    <row r="4" spans="1:76" s="8" customFormat="1" ht="38.4" customHeight="1">
      <c r="A4" s="278">
        <v>1.1000000000000001</v>
      </c>
      <c r="B4" s="278" t="s">
        <v>11</v>
      </c>
      <c r="C4" s="279" t="s">
        <v>12</v>
      </c>
      <c r="D4" s="4" t="s">
        <v>10</v>
      </c>
      <c r="E4" s="5">
        <v>7.5</v>
      </c>
      <c r="F4" s="280">
        <v>36956</v>
      </c>
      <c r="G4" s="23">
        <v>0</v>
      </c>
      <c r="H4" s="6">
        <f>ROUND((E4*F4)+(E4*F4*G4),2)</f>
        <v>277170</v>
      </c>
      <c r="I4" s="17">
        <f t="shared" ref="I4:I5" si="0">F4</f>
        <v>36956</v>
      </c>
      <c r="J4" s="17">
        <f>H4*1.3</f>
        <v>360321</v>
      </c>
      <c r="K4" s="17"/>
      <c r="L4" s="17"/>
      <c r="M4" s="17"/>
      <c r="N4" s="17"/>
      <c r="O4" s="17"/>
      <c r="P4" s="281">
        <f>'ESCUELA EL CARMEN'!O17</f>
        <v>6.14</v>
      </c>
      <c r="Q4" s="282">
        <f t="shared" ref="Q4:Q7" si="1">P4*I4</f>
        <v>226909.84</v>
      </c>
      <c r="R4" s="281"/>
      <c r="S4" s="282">
        <f t="shared" ref="S4:S42" si="2">R4*I4</f>
        <v>0</v>
      </c>
      <c r="T4" s="281"/>
      <c r="U4" s="282">
        <f t="shared" ref="U4:U42" si="3">T4*I4</f>
        <v>0</v>
      </c>
      <c r="V4" s="281"/>
      <c r="W4" s="282">
        <f t="shared" ref="W4:W42" si="4">V4*I4</f>
        <v>0</v>
      </c>
      <c r="X4" s="281"/>
      <c r="Y4" s="282">
        <f t="shared" ref="Y4:Y42" si="5">X4*I4</f>
        <v>0</v>
      </c>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4">
        <v>3</v>
      </c>
      <c r="BU4" s="283" t="s">
        <v>96</v>
      </c>
      <c r="BV4" s="6">
        <f>'[112]03_USU_SPM_M1 '!P32</f>
        <v>11368810</v>
      </c>
      <c r="BW4" s="6" t="e">
        <f>BV4+#REF!</f>
        <v>#REF!</v>
      </c>
    </row>
    <row r="5" spans="1:76" s="8" customFormat="1" ht="27" customHeight="1">
      <c r="A5" s="278">
        <v>1.2</v>
      </c>
      <c r="B5" s="278" t="s">
        <v>13</v>
      </c>
      <c r="C5" s="279" t="s">
        <v>14</v>
      </c>
      <c r="D5" s="4" t="s">
        <v>15</v>
      </c>
      <c r="E5" s="5">
        <v>2.2000000000000002</v>
      </c>
      <c r="F5" s="280">
        <v>70577.63</v>
      </c>
      <c r="G5" s="23">
        <v>0</v>
      </c>
      <c r="H5" s="6">
        <f>ROUND((E5*F5)+(E5*F5*G5),2)</f>
        <v>155270.79</v>
      </c>
      <c r="I5" s="17">
        <f t="shared" si="0"/>
        <v>70577.63</v>
      </c>
      <c r="J5" s="17">
        <f t="shared" ref="J5:J62" si="6">H5*1.3</f>
        <v>201852.02700000003</v>
      </c>
      <c r="K5" s="17"/>
      <c r="L5" s="17"/>
      <c r="M5" s="17"/>
      <c r="N5" s="17"/>
      <c r="O5" s="17"/>
      <c r="P5" s="4"/>
      <c r="Q5" s="282">
        <f t="shared" si="1"/>
        <v>0</v>
      </c>
      <c r="R5" s="281">
        <f>'ESCUELA DE SAN FRANCISCO'!O48</f>
        <v>0.22</v>
      </c>
      <c r="S5" s="282">
        <f t="shared" si="2"/>
        <v>15527.078600000001</v>
      </c>
      <c r="T5" s="281">
        <f>'ESCUELA LA ESPERANZA'!O31</f>
        <v>0.22</v>
      </c>
      <c r="U5" s="282">
        <f t="shared" si="3"/>
        <v>15527.078600000001</v>
      </c>
      <c r="V5" s="281"/>
      <c r="W5" s="282">
        <f t="shared" si="4"/>
        <v>0</v>
      </c>
      <c r="X5" s="281"/>
      <c r="Y5" s="282">
        <f t="shared" si="5"/>
        <v>0</v>
      </c>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4">
        <v>7</v>
      </c>
      <c r="BU5" s="4" t="s">
        <v>97</v>
      </c>
      <c r="BV5" s="6">
        <f>'[112]07_USU_JM_M1 '!P20</f>
        <v>5800075</v>
      </c>
      <c r="BW5" s="6" t="e">
        <f>#REF!+BV5</f>
        <v>#REF!</v>
      </c>
      <c r="BX5" s="284"/>
    </row>
    <row r="6" spans="1:76" s="8" customFormat="1" ht="25.5" customHeight="1">
      <c r="A6" s="444" t="s">
        <v>16</v>
      </c>
      <c r="B6" s="444"/>
      <c r="C6" s="444"/>
      <c r="D6" s="444"/>
      <c r="E6" s="444"/>
      <c r="F6" s="444"/>
      <c r="G6" s="444"/>
      <c r="H6" s="444"/>
      <c r="I6" s="17"/>
      <c r="J6" s="17">
        <f t="shared" si="6"/>
        <v>0</v>
      </c>
      <c r="K6" s="17"/>
      <c r="L6" s="17"/>
      <c r="M6" s="17"/>
      <c r="N6" s="17"/>
      <c r="O6" s="17"/>
      <c r="P6" s="274"/>
      <c r="Q6" s="276"/>
      <c r="R6" s="276"/>
      <c r="S6" s="277"/>
      <c r="T6" s="276"/>
      <c r="U6" s="277"/>
      <c r="V6" s="276"/>
      <c r="W6" s="277"/>
      <c r="X6" s="276"/>
      <c r="Y6" s="27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6">
        <v>8</v>
      </c>
      <c r="BU6" s="22" t="s">
        <v>98</v>
      </c>
      <c r="BV6" s="15">
        <f>'[112]08_USU_LS_M1   '!P66</f>
        <v>10431090</v>
      </c>
      <c r="BW6" s="15" t="e">
        <f>BW5+BV6</f>
        <v>#REF!</v>
      </c>
      <c r="BX6" s="21"/>
    </row>
    <row r="7" spans="1:76" s="8" customFormat="1" ht="25.2" customHeight="1">
      <c r="A7" s="278">
        <v>2.1</v>
      </c>
      <c r="B7" s="278" t="s">
        <v>17</v>
      </c>
      <c r="C7" s="279" t="s">
        <v>18</v>
      </c>
      <c r="D7" s="4" t="s">
        <v>19</v>
      </c>
      <c r="E7" s="5">
        <v>123.6</v>
      </c>
      <c r="F7" s="280">
        <v>7675.05</v>
      </c>
      <c r="G7" s="23">
        <v>0.02</v>
      </c>
      <c r="H7" s="6">
        <f t="shared" ref="H7:H45" si="7">ROUND((E7*F7)+(E7*F7*G7),2)</f>
        <v>967608.9</v>
      </c>
      <c r="I7" s="17">
        <f>F7*1.02</f>
        <v>7828.5510000000004</v>
      </c>
      <c r="J7" s="17">
        <f t="shared" si="6"/>
        <v>1257891.57</v>
      </c>
      <c r="K7" s="17"/>
      <c r="L7" s="17"/>
      <c r="M7" s="17"/>
      <c r="N7" s="17"/>
      <c r="O7" s="17"/>
      <c r="P7" s="4"/>
      <c r="Q7" s="282">
        <f t="shared" si="1"/>
        <v>0</v>
      </c>
      <c r="R7" s="281">
        <f>'ESCUELA DE SAN FRANCISCO'!O56</f>
        <v>50.1</v>
      </c>
      <c r="S7" s="282">
        <f t="shared" si="2"/>
        <v>392210.40510000003</v>
      </c>
      <c r="T7" s="281">
        <f>'ESCUELA LA ESPERANZA'!O39</f>
        <v>50.1</v>
      </c>
      <c r="U7" s="282">
        <f t="shared" si="3"/>
        <v>392210.40510000003</v>
      </c>
      <c r="V7" s="281"/>
      <c r="W7" s="282">
        <f t="shared" si="4"/>
        <v>0</v>
      </c>
      <c r="X7" s="281"/>
      <c r="Y7" s="282">
        <f t="shared" si="5"/>
        <v>0</v>
      </c>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4">
        <v>12</v>
      </c>
      <c r="BU7" s="4" t="s">
        <v>99</v>
      </c>
      <c r="BV7" s="6">
        <f>'[112]12_USU_JDS_M1 '!P21</f>
        <v>7305418</v>
      </c>
      <c r="BW7" s="6" t="e">
        <f>#REF!+BV7</f>
        <v>#REF!</v>
      </c>
    </row>
    <row r="8" spans="1:76" s="8" customFormat="1" ht="55.5" customHeight="1">
      <c r="A8" s="278">
        <v>2.2000000000000002</v>
      </c>
      <c r="B8" s="278" t="s">
        <v>295</v>
      </c>
      <c r="C8" s="279" t="s">
        <v>296</v>
      </c>
      <c r="D8" s="4" t="s">
        <v>41</v>
      </c>
      <c r="E8" s="5">
        <v>2</v>
      </c>
      <c r="F8" s="280">
        <v>662168.46</v>
      </c>
      <c r="G8" s="23">
        <v>0.02</v>
      </c>
      <c r="H8" s="6">
        <f t="shared" ref="H8:H9" si="8">ROUND((E8*F8)+(E8*F8*G8),2)</f>
        <v>1350823.66</v>
      </c>
      <c r="I8" s="17">
        <f t="shared" ref="I8:I47" si="9">F8*1.02</f>
        <v>675411.82919999992</v>
      </c>
      <c r="J8" s="17">
        <f t="shared" si="6"/>
        <v>1756070.7579999999</v>
      </c>
      <c r="K8" s="17"/>
      <c r="L8" s="17"/>
      <c r="M8" s="17"/>
      <c r="N8" s="17"/>
      <c r="O8" s="17"/>
      <c r="P8" s="4"/>
      <c r="Q8" s="282">
        <f>P8*I8</f>
        <v>0</v>
      </c>
      <c r="R8" s="281">
        <f>'ESCUELA DE SAN FRANCISCO'!O89</f>
        <v>1</v>
      </c>
      <c r="S8" s="282">
        <f t="shared" si="2"/>
        <v>675411.82919999992</v>
      </c>
      <c r="T8" s="281"/>
      <c r="U8" s="282">
        <f t="shared" si="3"/>
        <v>0</v>
      </c>
      <c r="V8" s="281"/>
      <c r="W8" s="282">
        <f t="shared" si="4"/>
        <v>0</v>
      </c>
      <c r="X8" s="281"/>
      <c r="Y8" s="282">
        <f t="shared" si="5"/>
        <v>0</v>
      </c>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4"/>
      <c r="BU8" s="4"/>
      <c r="BV8" s="6"/>
      <c r="BW8" s="6"/>
    </row>
    <row r="9" spans="1:76" s="8" customFormat="1" ht="24.6" customHeight="1">
      <c r="A9" s="278">
        <v>2.2999999999999998</v>
      </c>
      <c r="B9" s="278" t="s">
        <v>136</v>
      </c>
      <c r="C9" s="279" t="s">
        <v>137</v>
      </c>
      <c r="D9" s="4" t="s">
        <v>15</v>
      </c>
      <c r="E9" s="5">
        <v>0.44</v>
      </c>
      <c r="F9" s="280">
        <v>918441.77</v>
      </c>
      <c r="G9" s="23">
        <v>0.02</v>
      </c>
      <c r="H9" s="6">
        <f t="shared" si="8"/>
        <v>412196.67</v>
      </c>
      <c r="I9" s="17"/>
      <c r="J9" s="17">
        <f t="shared" si="6"/>
        <v>535855.67099999997</v>
      </c>
      <c r="K9" s="17"/>
      <c r="L9" s="17"/>
      <c r="M9" s="17"/>
      <c r="N9" s="17"/>
      <c r="O9" s="17"/>
      <c r="P9" s="4"/>
      <c r="Q9" s="282"/>
      <c r="R9" s="281"/>
      <c r="S9" s="282"/>
      <c r="T9" s="281"/>
      <c r="U9" s="282"/>
      <c r="V9" s="281"/>
      <c r="W9" s="282"/>
      <c r="X9" s="281"/>
      <c r="Y9" s="282"/>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4"/>
      <c r="BU9" s="4"/>
      <c r="BV9" s="6"/>
      <c r="BW9" s="6"/>
    </row>
    <row r="10" spans="1:76" s="8" customFormat="1" ht="24" customHeight="1">
      <c r="A10" s="444" t="s">
        <v>21</v>
      </c>
      <c r="B10" s="444"/>
      <c r="C10" s="444"/>
      <c r="D10" s="444"/>
      <c r="E10" s="444"/>
      <c r="F10" s="444"/>
      <c r="G10" s="444"/>
      <c r="H10" s="444"/>
      <c r="I10" s="17"/>
      <c r="J10" s="17">
        <f t="shared" si="6"/>
        <v>0</v>
      </c>
      <c r="K10" s="17"/>
      <c r="L10" s="17"/>
      <c r="M10" s="17"/>
      <c r="N10" s="17"/>
      <c r="O10" s="17"/>
      <c r="P10" s="274"/>
      <c r="Q10" s="276"/>
      <c r="R10" s="276"/>
      <c r="S10" s="277"/>
      <c r="T10" s="276"/>
      <c r="U10" s="277"/>
      <c r="V10" s="276"/>
      <c r="W10" s="277"/>
      <c r="X10" s="276"/>
      <c r="Y10" s="27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6">
        <v>14</v>
      </c>
      <c r="BU10" s="16" t="s">
        <v>100</v>
      </c>
      <c r="BV10" s="15">
        <f>'[112]14_USU_FMYH_M1 '!P47</f>
        <v>8514682</v>
      </c>
      <c r="BW10" s="15" t="e">
        <f>#REF!+BV10</f>
        <v>#REF!</v>
      </c>
    </row>
    <row r="11" spans="1:76" s="8" customFormat="1" ht="37.200000000000003" customHeight="1">
      <c r="A11" s="278">
        <v>3.1</v>
      </c>
      <c r="B11" s="278" t="s">
        <v>22</v>
      </c>
      <c r="C11" s="279" t="s">
        <v>23</v>
      </c>
      <c r="D11" s="4" t="s">
        <v>15</v>
      </c>
      <c r="E11" s="5">
        <v>0.2</v>
      </c>
      <c r="F11" s="280">
        <v>1137084.6200000001</v>
      </c>
      <c r="G11" s="23">
        <v>0.02</v>
      </c>
      <c r="H11" s="6">
        <f>ROUND((E11*F11)+(E11*F11*G11),2)</f>
        <v>231965.26</v>
      </c>
      <c r="I11" s="17">
        <f>F11*1.02</f>
        <v>1159826.3124000002</v>
      </c>
      <c r="J11" s="17">
        <f t="shared" si="6"/>
        <v>301554.83800000005</v>
      </c>
      <c r="K11" s="17"/>
      <c r="L11" s="17"/>
      <c r="M11" s="17"/>
      <c r="N11" s="17"/>
      <c r="O11" s="17"/>
      <c r="P11" s="4"/>
      <c r="Q11" s="282">
        <f>P11*I11</f>
        <v>0</v>
      </c>
      <c r="R11" s="281">
        <f>'ESCUELA DE SAN FRANCISCO'!O50</f>
        <v>0.1</v>
      </c>
      <c r="S11" s="282">
        <f t="shared" si="2"/>
        <v>115982.63124000002</v>
      </c>
      <c r="T11" s="281">
        <f>'ESCUELA LA ESPERANZA'!O33</f>
        <v>0.1</v>
      </c>
      <c r="U11" s="282">
        <f t="shared" si="3"/>
        <v>115982.63124000002</v>
      </c>
      <c r="V11" s="281"/>
      <c r="W11" s="282">
        <f t="shared" si="4"/>
        <v>0</v>
      </c>
      <c r="X11" s="281"/>
      <c r="Y11" s="282">
        <f t="shared" si="5"/>
        <v>0</v>
      </c>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4">
        <v>16</v>
      </c>
      <c r="BU11" s="4" t="s">
        <v>101</v>
      </c>
      <c r="BV11" s="6">
        <f>'[112]16_USU_MAFF_M1'!P66</f>
        <v>7032442</v>
      </c>
      <c r="BW11" s="6" t="e">
        <f>#REF!+BV11</f>
        <v>#REF!</v>
      </c>
    </row>
    <row r="12" spans="1:76" s="8" customFormat="1" ht="27" customHeight="1">
      <c r="A12" s="444" t="s">
        <v>24</v>
      </c>
      <c r="B12" s="444"/>
      <c r="C12" s="444"/>
      <c r="D12" s="444"/>
      <c r="E12" s="444"/>
      <c r="F12" s="444"/>
      <c r="G12" s="444"/>
      <c r="H12" s="444"/>
      <c r="I12" s="17"/>
      <c r="J12" s="17">
        <f t="shared" si="6"/>
        <v>0</v>
      </c>
      <c r="K12" s="17"/>
      <c r="L12" s="17"/>
      <c r="M12" s="17"/>
      <c r="N12" s="17"/>
      <c r="O12" s="17"/>
      <c r="P12" s="276"/>
      <c r="Q12" s="276"/>
      <c r="R12" s="276"/>
      <c r="S12" s="277"/>
      <c r="T12" s="276"/>
      <c r="U12" s="277"/>
      <c r="V12" s="276"/>
      <c r="W12" s="277"/>
      <c r="X12" s="276"/>
      <c r="Y12" s="27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8">
        <v>17</v>
      </c>
      <c r="BU12" s="19" t="s">
        <v>102</v>
      </c>
      <c r="BV12" s="20">
        <f>'[112]17_USU_CJS_M1'!P88</f>
        <v>12024779</v>
      </c>
      <c r="BW12" s="20" t="e">
        <f t="shared" ref="BW12" si="10">BW11+BV12</f>
        <v>#REF!</v>
      </c>
    </row>
    <row r="13" spans="1:76" s="8" customFormat="1" ht="36" customHeight="1">
      <c r="A13" s="278">
        <v>4.0999999999999996</v>
      </c>
      <c r="B13" s="278" t="s">
        <v>25</v>
      </c>
      <c r="C13" s="279" t="s">
        <v>26</v>
      </c>
      <c r="D13" s="4" t="s">
        <v>10</v>
      </c>
      <c r="E13" s="5">
        <v>8.59</v>
      </c>
      <c r="F13" s="280">
        <v>187550.79</v>
      </c>
      <c r="G13" s="23">
        <v>0.02</v>
      </c>
      <c r="H13" s="6">
        <f t="shared" si="7"/>
        <v>1643282.51</v>
      </c>
      <c r="I13" s="17">
        <f t="shared" si="9"/>
        <v>191301.8058</v>
      </c>
      <c r="J13" s="17">
        <f t="shared" si="6"/>
        <v>2136267.2630000003</v>
      </c>
      <c r="K13" s="17"/>
      <c r="L13" s="17"/>
      <c r="M13" s="17"/>
      <c r="N13" s="17"/>
      <c r="O13" s="17"/>
      <c r="P13" s="281">
        <f>'ESCUELA EL CARMEN'!O22</f>
        <v>4.1100000000000003</v>
      </c>
      <c r="Q13" s="282">
        <f>P13*I13</f>
        <v>786250.42183800007</v>
      </c>
      <c r="R13" s="281">
        <f>'ESCUELA DE SAN FRANCISCO'!O28</f>
        <v>4.4800000000000004</v>
      </c>
      <c r="S13" s="282">
        <f t="shared" si="2"/>
        <v>857032.08998400008</v>
      </c>
      <c r="T13" s="281"/>
      <c r="U13" s="282">
        <f t="shared" si="3"/>
        <v>0</v>
      </c>
      <c r="V13" s="281"/>
      <c r="W13" s="282">
        <f t="shared" si="4"/>
        <v>0</v>
      </c>
      <c r="X13" s="281"/>
      <c r="Y13" s="282">
        <f t="shared" si="5"/>
        <v>0</v>
      </c>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4">
        <v>18</v>
      </c>
      <c r="BU13" s="4" t="s">
        <v>103</v>
      </c>
      <c r="BV13" s="6">
        <f>'[112]18_USU_YRSS_M1'!P32</f>
        <v>8567407</v>
      </c>
      <c r="BW13" s="6" t="e">
        <f>BV13+BW12</f>
        <v>#REF!</v>
      </c>
    </row>
    <row r="14" spans="1:76" s="8" customFormat="1" ht="21" customHeight="1">
      <c r="A14" s="278">
        <v>4.2</v>
      </c>
      <c r="B14" s="278" t="s">
        <v>27</v>
      </c>
      <c r="C14" s="279" t="s">
        <v>28</v>
      </c>
      <c r="D14" s="4" t="s">
        <v>10</v>
      </c>
      <c r="E14" s="5">
        <v>9.7300000000000022</v>
      </c>
      <c r="F14" s="280">
        <v>64570.94</v>
      </c>
      <c r="G14" s="23">
        <v>0.02</v>
      </c>
      <c r="H14" s="6">
        <f t="shared" si="7"/>
        <v>640840.75</v>
      </c>
      <c r="I14" s="17">
        <f t="shared" si="9"/>
        <v>65862.358800000002</v>
      </c>
      <c r="J14" s="17">
        <f t="shared" si="6"/>
        <v>833092.97499999998</v>
      </c>
      <c r="K14" s="17"/>
      <c r="L14" s="17"/>
      <c r="M14" s="17"/>
      <c r="N14" s="17"/>
      <c r="O14" s="17"/>
      <c r="P14" s="4"/>
      <c r="Q14" s="282">
        <f t="shared" ref="Q14:Q34" si="11">P14*I14</f>
        <v>0</v>
      </c>
      <c r="R14" s="281">
        <f>'ESCUELA DE SAN FRANCISCO'!O66</f>
        <v>9.7300000000000022</v>
      </c>
      <c r="S14" s="282">
        <f t="shared" si="2"/>
        <v>640840.75112400018</v>
      </c>
      <c r="T14" s="281"/>
      <c r="U14" s="282">
        <f t="shared" si="3"/>
        <v>0</v>
      </c>
      <c r="V14" s="281"/>
      <c r="W14" s="282">
        <f t="shared" si="4"/>
        <v>0</v>
      </c>
      <c r="X14" s="281"/>
      <c r="Y14" s="282">
        <f t="shared" si="5"/>
        <v>0</v>
      </c>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4">
        <v>20</v>
      </c>
      <c r="BU14" s="4" t="s">
        <v>104</v>
      </c>
      <c r="BV14" s="6">
        <f>'[112]20_USU_FEM_M1'!P43</f>
        <v>6195759</v>
      </c>
      <c r="BW14" s="6" t="e">
        <f>BV14+#REF!</f>
        <v>#REF!</v>
      </c>
    </row>
    <row r="15" spans="1:76" s="8" customFormat="1" ht="22.2" customHeight="1">
      <c r="A15" s="278">
        <v>4.3</v>
      </c>
      <c r="B15" s="278" t="s">
        <v>29</v>
      </c>
      <c r="C15" s="279" t="s">
        <v>30</v>
      </c>
      <c r="D15" s="4" t="s">
        <v>10</v>
      </c>
      <c r="E15" s="5">
        <v>0.96</v>
      </c>
      <c r="F15" s="280">
        <v>81109.52</v>
      </c>
      <c r="G15" s="23">
        <v>0.02</v>
      </c>
      <c r="H15" s="6">
        <f>ROUND((E15*F15)+(E15*F15*G15),2)</f>
        <v>79422.44</v>
      </c>
      <c r="I15" s="17">
        <f t="shared" si="9"/>
        <v>82731.710400000011</v>
      </c>
      <c r="J15" s="17">
        <f t="shared" si="6"/>
        <v>103249.17200000001</v>
      </c>
      <c r="K15" s="17"/>
      <c r="L15" s="17"/>
      <c r="M15" s="17"/>
      <c r="N15" s="17"/>
      <c r="O15" s="17"/>
      <c r="P15" s="281"/>
      <c r="Q15" s="282">
        <f t="shared" si="11"/>
        <v>0</v>
      </c>
      <c r="R15" s="281">
        <f>'ESCUELA DE SAN FRANCISCO'!O87</f>
        <v>0.96</v>
      </c>
      <c r="S15" s="282">
        <f t="shared" si="2"/>
        <v>79422.441984000005</v>
      </c>
      <c r="T15" s="281"/>
      <c r="U15" s="282">
        <f t="shared" si="3"/>
        <v>0</v>
      </c>
      <c r="V15" s="281"/>
      <c r="W15" s="282">
        <f t="shared" si="4"/>
        <v>0</v>
      </c>
      <c r="X15" s="281"/>
      <c r="Y15" s="282">
        <f t="shared" si="5"/>
        <v>0</v>
      </c>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4">
        <v>21</v>
      </c>
      <c r="BU15" s="283" t="s">
        <v>105</v>
      </c>
      <c r="BV15" s="6">
        <f>'[112]21_USU_STSM_M1'!P152</f>
        <v>16292883</v>
      </c>
      <c r="BW15" s="6" t="e">
        <f>BW14+BV15</f>
        <v>#REF!</v>
      </c>
    </row>
    <row r="16" spans="1:76" s="8" customFormat="1" ht="25.95" customHeight="1">
      <c r="A16" s="278">
        <v>4.4000000000000004</v>
      </c>
      <c r="B16" s="278" t="s">
        <v>32</v>
      </c>
      <c r="C16" s="279" t="s">
        <v>33</v>
      </c>
      <c r="D16" s="4" t="s">
        <v>10</v>
      </c>
      <c r="E16" s="5">
        <v>20.97</v>
      </c>
      <c r="F16" s="280">
        <v>35818.47</v>
      </c>
      <c r="G16" s="23">
        <v>0.02</v>
      </c>
      <c r="H16" s="6">
        <f t="shared" si="7"/>
        <v>766135.58</v>
      </c>
      <c r="I16" s="17">
        <f t="shared" si="9"/>
        <v>36534.839400000004</v>
      </c>
      <c r="J16" s="17">
        <f t="shared" si="6"/>
        <v>995976.25399999996</v>
      </c>
      <c r="K16" s="17"/>
      <c r="L16" s="17"/>
      <c r="M16" s="17"/>
      <c r="N16" s="17"/>
      <c r="O16" s="17"/>
      <c r="P16" s="4"/>
      <c r="Q16" s="282">
        <f t="shared" si="11"/>
        <v>0</v>
      </c>
      <c r="R16" s="281">
        <f>'ESCUELA DE SAN FRANCISCO'!O76</f>
        <v>11.970000000000002</v>
      </c>
      <c r="S16" s="282">
        <f t="shared" si="2"/>
        <v>437322.02761800017</v>
      </c>
      <c r="T16" s="281"/>
      <c r="U16" s="282">
        <f t="shared" si="3"/>
        <v>0</v>
      </c>
      <c r="V16" s="281"/>
      <c r="W16" s="282">
        <f t="shared" si="4"/>
        <v>0</v>
      </c>
      <c r="X16" s="281"/>
      <c r="Y16" s="282">
        <f t="shared" si="5"/>
        <v>0</v>
      </c>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4">
        <v>24</v>
      </c>
      <c r="BU16" s="283" t="s">
        <v>106</v>
      </c>
      <c r="BV16" s="6">
        <f>'[112]24_USU_LR_M1'!P107</f>
        <v>17936976</v>
      </c>
      <c r="BW16" s="6" t="e">
        <f>BV16+#REF!</f>
        <v>#REF!</v>
      </c>
    </row>
    <row r="17" spans="1:77" s="8" customFormat="1" ht="26.4" customHeight="1">
      <c r="A17" s="278">
        <v>4.5</v>
      </c>
      <c r="B17" s="278" t="s">
        <v>34</v>
      </c>
      <c r="C17" s="279" t="s">
        <v>35</v>
      </c>
      <c r="D17" s="4" t="s">
        <v>10</v>
      </c>
      <c r="E17" s="5">
        <v>320.08</v>
      </c>
      <c r="F17" s="280">
        <v>9941.61</v>
      </c>
      <c r="G17" s="23">
        <v>0.02</v>
      </c>
      <c r="H17" s="6">
        <f>ROUND((E17*F17)+(E17*F17*G17),2)</f>
        <v>3245752.74</v>
      </c>
      <c r="I17" s="17">
        <f t="shared" si="9"/>
        <v>10140.442200000001</v>
      </c>
      <c r="J17" s="17">
        <f t="shared" si="6"/>
        <v>4219478.5620000008</v>
      </c>
      <c r="K17" s="17"/>
      <c r="L17" s="17"/>
      <c r="M17" s="17"/>
      <c r="N17" s="17"/>
      <c r="O17" s="17"/>
      <c r="P17" s="281"/>
      <c r="Q17" s="282">
        <f t="shared" si="11"/>
        <v>0</v>
      </c>
      <c r="R17" s="281">
        <f>'ESCUELA DE SAN FRANCISCO'!O23</f>
        <v>85.6</v>
      </c>
      <c r="S17" s="282">
        <f t="shared" si="2"/>
        <v>868021.85232000006</v>
      </c>
      <c r="T17" s="281">
        <f>'ESCUELA LA ESPERANZA'!O29</f>
        <v>117.07</v>
      </c>
      <c r="U17" s="282">
        <f t="shared" si="3"/>
        <v>1187141.5683540001</v>
      </c>
      <c r="V17" s="281">
        <f>'ESCUELA EL ROBLE'!O21</f>
        <v>87.42</v>
      </c>
      <c r="W17" s="282">
        <f t="shared" si="4"/>
        <v>886477.45712400018</v>
      </c>
      <c r="X17" s="281"/>
      <c r="Y17" s="282">
        <f t="shared" si="5"/>
        <v>0</v>
      </c>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4">
        <v>28</v>
      </c>
      <c r="BU17" s="4" t="s">
        <v>107</v>
      </c>
      <c r="BV17" s="6">
        <f>'[112]28_USU_MR_M1'!P60</f>
        <v>4784212</v>
      </c>
      <c r="BW17" s="6" t="e">
        <f>#REF!+BV17</f>
        <v>#REF!</v>
      </c>
    </row>
    <row r="18" spans="1:77" s="8" customFormat="1" ht="27" customHeight="1">
      <c r="A18" s="444" t="s">
        <v>36</v>
      </c>
      <c r="B18" s="444"/>
      <c r="C18" s="444"/>
      <c r="D18" s="444"/>
      <c r="E18" s="444"/>
      <c r="F18" s="444"/>
      <c r="G18" s="444"/>
      <c r="H18" s="444"/>
      <c r="I18" s="17"/>
      <c r="J18" s="17">
        <f t="shared" si="6"/>
        <v>0</v>
      </c>
      <c r="K18" s="17"/>
      <c r="L18" s="17"/>
      <c r="M18" s="17"/>
      <c r="N18" s="17"/>
      <c r="O18" s="17"/>
      <c r="P18" s="276"/>
      <c r="Q18" s="276"/>
      <c r="R18" s="276"/>
      <c r="S18" s="277"/>
      <c r="T18" s="276"/>
      <c r="U18" s="277"/>
      <c r="V18" s="276"/>
      <c r="W18" s="277"/>
      <c r="X18" s="276"/>
      <c r="Y18" s="27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6">
        <v>29</v>
      </c>
      <c r="BU18" s="16" t="s">
        <v>108</v>
      </c>
      <c r="BV18" s="15">
        <f>'[112]29_USU_MGH_M1'!P85</f>
        <v>11532694</v>
      </c>
      <c r="BW18" s="15" t="e">
        <f>BV18+BW17</f>
        <v>#REF!</v>
      </c>
    </row>
    <row r="19" spans="1:77" s="8" customFormat="1" ht="31.95" customHeight="1">
      <c r="A19" s="278">
        <v>5.0999999999999996</v>
      </c>
      <c r="B19" s="278" t="s">
        <v>37</v>
      </c>
      <c r="C19" s="279" t="s">
        <v>38</v>
      </c>
      <c r="D19" s="4" t="s">
        <v>31</v>
      </c>
      <c r="E19" s="5">
        <v>8</v>
      </c>
      <c r="F19" s="280">
        <v>7548.65</v>
      </c>
      <c r="G19" s="23">
        <v>0.02</v>
      </c>
      <c r="H19" s="6">
        <f t="shared" si="7"/>
        <v>61596.98</v>
      </c>
      <c r="I19" s="17">
        <f t="shared" si="9"/>
        <v>7699.6229999999996</v>
      </c>
      <c r="J19" s="17">
        <f t="shared" si="6"/>
        <v>80076.074000000008</v>
      </c>
      <c r="K19" s="17"/>
      <c r="L19" s="17"/>
      <c r="M19" s="17"/>
      <c r="N19" s="17"/>
      <c r="O19" s="17"/>
      <c r="P19" s="4"/>
      <c r="Q19" s="282">
        <f t="shared" si="11"/>
        <v>0</v>
      </c>
      <c r="R19" s="281">
        <f>'ESCUELA DE SAN FRANCISCO'!O59</f>
        <v>3</v>
      </c>
      <c r="S19" s="282">
        <f t="shared" si="2"/>
        <v>23098.868999999999</v>
      </c>
      <c r="T19" s="281">
        <f>'ESCUELA LA ESPERANZA'!O42</f>
        <v>3</v>
      </c>
      <c r="U19" s="282">
        <f t="shared" si="3"/>
        <v>23098.868999999999</v>
      </c>
      <c r="V19" s="281"/>
      <c r="W19" s="282">
        <f t="shared" si="4"/>
        <v>0</v>
      </c>
      <c r="X19" s="281"/>
      <c r="Y19" s="282">
        <f t="shared" si="5"/>
        <v>0</v>
      </c>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4">
        <v>30</v>
      </c>
      <c r="BU19" s="4" t="s">
        <v>109</v>
      </c>
      <c r="BV19" s="6">
        <f>'[112]30_USU_NCC_M1'!P61</f>
        <v>9772497</v>
      </c>
      <c r="BW19" s="6" t="e">
        <f t="shared" ref="BW19:BW27" si="12">BW18+BV19</f>
        <v>#REF!</v>
      </c>
    </row>
    <row r="20" spans="1:77" s="8" customFormat="1" ht="39" customHeight="1">
      <c r="A20" s="278">
        <v>5.2</v>
      </c>
      <c r="B20" s="278" t="s">
        <v>39</v>
      </c>
      <c r="C20" s="279" t="s">
        <v>40</v>
      </c>
      <c r="D20" s="4" t="s">
        <v>41</v>
      </c>
      <c r="E20" s="5">
        <v>2</v>
      </c>
      <c r="F20" s="280">
        <v>112409.98</v>
      </c>
      <c r="G20" s="23">
        <v>0.02</v>
      </c>
      <c r="H20" s="6">
        <f t="shared" si="7"/>
        <v>229316.36</v>
      </c>
      <c r="I20" s="17">
        <f t="shared" si="9"/>
        <v>114658.1796</v>
      </c>
      <c r="J20" s="17">
        <f t="shared" si="6"/>
        <v>298111.26799999998</v>
      </c>
      <c r="K20" s="17"/>
      <c r="L20" s="17"/>
      <c r="M20" s="17"/>
      <c r="N20" s="17"/>
      <c r="O20" s="17"/>
      <c r="P20" s="4"/>
      <c r="Q20" s="282">
        <f t="shared" si="11"/>
        <v>0</v>
      </c>
      <c r="R20" s="281">
        <f>'ESCUELA DE SAN FRANCISCO'!O77</f>
        <v>1</v>
      </c>
      <c r="S20" s="282">
        <f t="shared" si="2"/>
        <v>114658.1796</v>
      </c>
      <c r="T20" s="281"/>
      <c r="U20" s="282">
        <f t="shared" si="3"/>
        <v>0</v>
      </c>
      <c r="V20" s="281"/>
      <c r="W20" s="282">
        <f t="shared" si="4"/>
        <v>0</v>
      </c>
      <c r="X20" s="281"/>
      <c r="Y20" s="282">
        <f t="shared" si="5"/>
        <v>0</v>
      </c>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4">
        <v>31</v>
      </c>
      <c r="BU20" s="4" t="s">
        <v>110</v>
      </c>
      <c r="BV20" s="6">
        <f>'[112]31_USU_MS_M1 '!P39</f>
        <v>8435817</v>
      </c>
      <c r="BW20" s="6" t="e">
        <f t="shared" si="12"/>
        <v>#REF!</v>
      </c>
    </row>
    <row r="21" spans="1:77" s="8" customFormat="1" ht="38.25" customHeight="1">
      <c r="A21" s="278">
        <v>5.3</v>
      </c>
      <c r="B21" s="278" t="s">
        <v>42</v>
      </c>
      <c r="C21" s="279" t="s">
        <v>43</v>
      </c>
      <c r="D21" s="4" t="s">
        <v>41</v>
      </c>
      <c r="E21" s="5">
        <v>2</v>
      </c>
      <c r="F21" s="280">
        <v>30016.63</v>
      </c>
      <c r="G21" s="23">
        <v>0.02</v>
      </c>
      <c r="H21" s="6">
        <f t="shared" si="7"/>
        <v>61233.93</v>
      </c>
      <c r="I21" s="17">
        <f t="shared" si="9"/>
        <v>30616.962600000003</v>
      </c>
      <c r="J21" s="17">
        <f t="shared" si="6"/>
        <v>79604.108999999997</v>
      </c>
      <c r="K21" s="17"/>
      <c r="L21" s="17"/>
      <c r="M21" s="17"/>
      <c r="N21" s="17"/>
      <c r="O21" s="17"/>
      <c r="P21" s="4"/>
      <c r="Q21" s="282">
        <f t="shared" si="11"/>
        <v>0</v>
      </c>
      <c r="R21" s="281">
        <f>'ESCUELA DE SAN FRANCISCO'!O61</f>
        <v>1</v>
      </c>
      <c r="S21" s="282">
        <f t="shared" si="2"/>
        <v>30616.962600000003</v>
      </c>
      <c r="T21" s="281">
        <f>'ESCUELA LA ESPERANZA'!O44</f>
        <v>1</v>
      </c>
      <c r="U21" s="282">
        <f t="shared" si="3"/>
        <v>30616.962600000003</v>
      </c>
      <c r="V21" s="281"/>
      <c r="W21" s="282">
        <f t="shared" si="4"/>
        <v>0</v>
      </c>
      <c r="X21" s="281"/>
      <c r="Y21" s="282">
        <f t="shared" si="5"/>
        <v>0</v>
      </c>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c r="BP21" s="17"/>
      <c r="BQ21" s="17"/>
      <c r="BR21" s="17"/>
      <c r="BS21" s="17"/>
      <c r="BT21" s="4">
        <v>32</v>
      </c>
      <c r="BU21" s="4" t="s">
        <v>111</v>
      </c>
      <c r="BV21" s="285">
        <f>'[112]32_USU_MR_M1'!P22</f>
        <v>18668884</v>
      </c>
      <c r="BW21" s="6" t="e">
        <f t="shared" si="12"/>
        <v>#REF!</v>
      </c>
    </row>
    <row r="22" spans="1:77" s="8" customFormat="1" ht="43.95" customHeight="1">
      <c r="A22" s="278">
        <v>5.4</v>
      </c>
      <c r="B22" s="4" t="s">
        <v>44</v>
      </c>
      <c r="C22" s="286" t="s">
        <v>45</v>
      </c>
      <c r="D22" s="4" t="s">
        <v>41</v>
      </c>
      <c r="E22" s="5">
        <v>2</v>
      </c>
      <c r="F22" s="6">
        <v>526509.06000000006</v>
      </c>
      <c r="G22" s="23">
        <v>0.02</v>
      </c>
      <c r="H22" s="6">
        <f t="shared" si="7"/>
        <v>1074078.48</v>
      </c>
      <c r="I22" s="17">
        <f t="shared" si="9"/>
        <v>537039.24120000005</v>
      </c>
      <c r="J22" s="17">
        <f t="shared" si="6"/>
        <v>1396302.024</v>
      </c>
      <c r="K22" s="17"/>
      <c r="L22" s="17"/>
      <c r="M22" s="17"/>
      <c r="N22" s="17"/>
      <c r="O22" s="17"/>
      <c r="P22" s="4"/>
      <c r="Q22" s="282">
        <f t="shared" si="11"/>
        <v>0</v>
      </c>
      <c r="R22" s="281">
        <f>'ESCUELA DE SAN FRANCISCO'!O57</f>
        <v>1</v>
      </c>
      <c r="S22" s="282">
        <f t="shared" si="2"/>
        <v>537039.24120000005</v>
      </c>
      <c r="T22" s="281"/>
      <c r="U22" s="282">
        <f t="shared" si="3"/>
        <v>0</v>
      </c>
      <c r="V22" s="281"/>
      <c r="W22" s="282">
        <f t="shared" si="4"/>
        <v>0</v>
      </c>
      <c r="X22" s="281"/>
      <c r="Y22" s="282">
        <f t="shared" si="5"/>
        <v>0</v>
      </c>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4">
        <v>34</v>
      </c>
      <c r="BU22" s="283" t="s">
        <v>112</v>
      </c>
      <c r="BV22" s="6">
        <f>'[112]34_USU_ALG_M1'!P48</f>
        <v>5208921</v>
      </c>
      <c r="BW22" s="6" t="e">
        <f>#REF!+BV22</f>
        <v>#REF!</v>
      </c>
    </row>
    <row r="23" spans="1:77" s="8" customFormat="1" ht="42" customHeight="1">
      <c r="A23" s="278">
        <v>5.5</v>
      </c>
      <c r="B23" s="4" t="s">
        <v>46</v>
      </c>
      <c r="C23" s="286" t="s">
        <v>47</v>
      </c>
      <c r="D23" s="4" t="s">
        <v>41</v>
      </c>
      <c r="E23" s="5">
        <v>2</v>
      </c>
      <c r="F23" s="6">
        <v>89118.87</v>
      </c>
      <c r="G23" s="23">
        <v>0.02</v>
      </c>
      <c r="H23" s="6">
        <f t="shared" si="7"/>
        <v>181802.49</v>
      </c>
      <c r="I23" s="17">
        <f t="shared" si="9"/>
        <v>90901.247399999993</v>
      </c>
      <c r="J23" s="17">
        <f t="shared" si="6"/>
        <v>236343.23699999999</v>
      </c>
      <c r="K23" s="17"/>
      <c r="L23" s="17"/>
      <c r="M23" s="17"/>
      <c r="N23" s="17"/>
      <c r="O23" s="17"/>
      <c r="P23" s="4"/>
      <c r="Q23" s="282">
        <f t="shared" si="11"/>
        <v>0</v>
      </c>
      <c r="R23" s="281">
        <f>'ESCUELA DE SAN FRANCISCO'!O58</f>
        <v>1</v>
      </c>
      <c r="S23" s="282">
        <f t="shared" si="2"/>
        <v>90901.247399999993</v>
      </c>
      <c r="T23" s="281">
        <f>'ESCUELA LA ESPERANZA'!O41</f>
        <v>1</v>
      </c>
      <c r="U23" s="282">
        <f t="shared" si="3"/>
        <v>90901.247399999993</v>
      </c>
      <c r="V23" s="281"/>
      <c r="W23" s="282">
        <f t="shared" si="4"/>
        <v>0</v>
      </c>
      <c r="X23" s="281"/>
      <c r="Y23" s="282">
        <f t="shared" si="5"/>
        <v>0</v>
      </c>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4">
        <v>35</v>
      </c>
      <c r="BU23" s="283" t="s">
        <v>113</v>
      </c>
      <c r="BV23" s="6">
        <f>'[112]35_USU_BB_M1'!P86</f>
        <v>11852666</v>
      </c>
      <c r="BW23" s="6" t="e">
        <f t="shared" si="12"/>
        <v>#REF!</v>
      </c>
    </row>
    <row r="24" spans="1:77" s="8" customFormat="1" ht="42" customHeight="1">
      <c r="A24" s="278">
        <v>5.6</v>
      </c>
      <c r="B24" s="4" t="s">
        <v>303</v>
      </c>
      <c r="C24" s="286" t="s">
        <v>304</v>
      </c>
      <c r="D24" s="4" t="s">
        <v>41</v>
      </c>
      <c r="E24" s="5">
        <v>1</v>
      </c>
      <c r="F24" s="6">
        <v>1000269.67</v>
      </c>
      <c r="G24" s="23">
        <v>0.02</v>
      </c>
      <c r="H24" s="6">
        <f t="shared" ref="H24" si="13">ROUND((E24*F24)+(E24*F24*G24),2)</f>
        <v>1020275.06</v>
      </c>
      <c r="I24" s="17">
        <f t="shared" si="9"/>
        <v>1020275.0634000001</v>
      </c>
      <c r="J24" s="17">
        <f t="shared" si="6"/>
        <v>1326357.5780000002</v>
      </c>
      <c r="K24" s="17"/>
      <c r="L24" s="17"/>
      <c r="M24" s="17"/>
      <c r="N24" s="17"/>
      <c r="O24" s="17"/>
      <c r="P24" s="4"/>
      <c r="Q24" s="282">
        <f t="shared" si="11"/>
        <v>0</v>
      </c>
      <c r="R24" s="4"/>
      <c r="S24" s="282">
        <f t="shared" si="2"/>
        <v>0</v>
      </c>
      <c r="T24" s="281">
        <f>'ESCUELA LA ESPERANZA'!O40</f>
        <v>1</v>
      </c>
      <c r="U24" s="282">
        <f t="shared" si="3"/>
        <v>1020275.0634000001</v>
      </c>
      <c r="V24" s="281"/>
      <c r="W24" s="282">
        <f t="shared" si="4"/>
        <v>0</v>
      </c>
      <c r="X24" s="281"/>
      <c r="Y24" s="282">
        <f t="shared" si="5"/>
        <v>0</v>
      </c>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7"/>
      <c r="BT24" s="4"/>
      <c r="BU24" s="283"/>
      <c r="BV24" s="6"/>
      <c r="BW24" s="6"/>
    </row>
    <row r="25" spans="1:77" ht="30" customHeight="1">
      <c r="A25" s="444" t="s">
        <v>48</v>
      </c>
      <c r="B25" s="444"/>
      <c r="C25" s="444"/>
      <c r="D25" s="444"/>
      <c r="E25" s="444"/>
      <c r="F25" s="444"/>
      <c r="G25" s="444"/>
      <c r="H25" s="444"/>
      <c r="I25" s="17"/>
      <c r="J25" s="17">
        <f t="shared" si="6"/>
        <v>0</v>
      </c>
      <c r="K25" s="17"/>
      <c r="L25" s="17"/>
      <c r="M25" s="17"/>
      <c r="N25" s="17"/>
      <c r="O25" s="17"/>
      <c r="P25" s="276"/>
      <c r="Q25" s="276"/>
      <c r="R25" s="276"/>
      <c r="S25" s="277"/>
      <c r="T25" s="276"/>
      <c r="U25" s="277"/>
      <c r="V25" s="276"/>
      <c r="W25" s="277"/>
      <c r="X25" s="276"/>
      <c r="Y25" s="27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8">
        <v>36</v>
      </c>
      <c r="BU25" s="19" t="s">
        <v>114</v>
      </c>
      <c r="BV25" s="20">
        <f>'[112]36_USU_RTF_M1'!P57</f>
        <v>10786875</v>
      </c>
      <c r="BW25" s="20" t="e">
        <f>BW23+BV25</f>
        <v>#REF!</v>
      </c>
    </row>
    <row r="26" spans="1:77" ht="25.95" customHeight="1">
      <c r="A26" s="278">
        <v>6.1</v>
      </c>
      <c r="B26" s="278" t="s">
        <v>49</v>
      </c>
      <c r="C26" s="279" t="s">
        <v>50</v>
      </c>
      <c r="D26" s="4" t="s">
        <v>31</v>
      </c>
      <c r="E26" s="5">
        <v>15</v>
      </c>
      <c r="F26" s="280">
        <v>37310.69</v>
      </c>
      <c r="G26" s="23">
        <v>0.02</v>
      </c>
      <c r="H26" s="6">
        <f t="shared" si="7"/>
        <v>570853.56000000006</v>
      </c>
      <c r="I26" s="17">
        <f t="shared" si="9"/>
        <v>38056.9038</v>
      </c>
      <c r="J26" s="17">
        <f t="shared" si="6"/>
        <v>742109.62800000014</v>
      </c>
      <c r="K26" s="17"/>
      <c r="L26" s="17"/>
      <c r="M26" s="17"/>
      <c r="N26" s="17"/>
      <c r="O26" s="17"/>
      <c r="P26" s="4"/>
      <c r="Q26" s="282">
        <f t="shared" si="11"/>
        <v>0</v>
      </c>
      <c r="R26" s="4"/>
      <c r="S26" s="282">
        <f t="shared" si="2"/>
        <v>0</v>
      </c>
      <c r="T26" s="4"/>
      <c r="U26" s="282">
        <f t="shared" si="3"/>
        <v>0</v>
      </c>
      <c r="V26" s="4"/>
      <c r="W26" s="282">
        <f t="shared" si="4"/>
        <v>0</v>
      </c>
      <c r="X26" s="4"/>
      <c r="Y26" s="282">
        <f t="shared" si="5"/>
        <v>0</v>
      </c>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4">
        <v>38</v>
      </c>
      <c r="BU26" s="283" t="s">
        <v>115</v>
      </c>
      <c r="BV26" s="6">
        <f>'[112]38_USU_LS_AP1'!P55</f>
        <v>8430724</v>
      </c>
      <c r="BW26" s="6" t="e">
        <f>#REF!+BV26</f>
        <v>#REF!</v>
      </c>
    </row>
    <row r="27" spans="1:77" ht="27" customHeight="1">
      <c r="A27" s="278">
        <v>6.2</v>
      </c>
      <c r="B27" s="278" t="s">
        <v>51</v>
      </c>
      <c r="C27" s="279" t="s">
        <v>52</v>
      </c>
      <c r="D27" s="4" t="s">
        <v>41</v>
      </c>
      <c r="E27" s="5">
        <v>4</v>
      </c>
      <c r="F27" s="280">
        <v>82624</v>
      </c>
      <c r="G27" s="23">
        <v>0.02</v>
      </c>
      <c r="H27" s="6">
        <f t="shared" si="7"/>
        <v>337105.91999999998</v>
      </c>
      <c r="I27" s="17">
        <f t="shared" si="9"/>
        <v>84276.479999999996</v>
      </c>
      <c r="J27" s="17">
        <f t="shared" si="6"/>
        <v>438237.696</v>
      </c>
      <c r="K27" s="17"/>
      <c r="L27" s="17"/>
      <c r="M27" s="17"/>
      <c r="N27" s="17"/>
      <c r="O27" s="17"/>
      <c r="P27" s="281">
        <f>'ESCUELA EL CARMEN'!O32</f>
        <v>1</v>
      </c>
      <c r="Q27" s="282">
        <f t="shared" si="11"/>
        <v>84276.479999999996</v>
      </c>
      <c r="R27" s="281">
        <f>'ESCUELA DE SAN FRANCISCO'!O39</f>
        <v>1</v>
      </c>
      <c r="S27" s="282">
        <f t="shared" si="2"/>
        <v>84276.479999999996</v>
      </c>
      <c r="T27" s="281"/>
      <c r="U27" s="282">
        <f t="shared" si="3"/>
        <v>0</v>
      </c>
      <c r="V27" s="281"/>
      <c r="W27" s="282">
        <f t="shared" si="4"/>
        <v>0</v>
      </c>
      <c r="X27" s="281"/>
      <c r="Y27" s="282">
        <f t="shared" si="5"/>
        <v>0</v>
      </c>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4">
        <v>39</v>
      </c>
      <c r="BU27" s="283" t="s">
        <v>116</v>
      </c>
      <c r="BV27" s="6">
        <f>'[112]39_USU_MLL_AP1'!P61</f>
        <v>8734620</v>
      </c>
      <c r="BW27" s="6" t="e">
        <f t="shared" si="12"/>
        <v>#REF!</v>
      </c>
    </row>
    <row r="28" spans="1:77" ht="27" customHeight="1">
      <c r="A28" s="278">
        <v>6.3</v>
      </c>
      <c r="B28" s="278" t="s">
        <v>311</v>
      </c>
      <c r="C28" s="279" t="s">
        <v>134</v>
      </c>
      <c r="D28" s="4" t="s">
        <v>31</v>
      </c>
      <c r="E28" s="5">
        <v>35</v>
      </c>
      <c r="F28" s="280">
        <v>52061.96</v>
      </c>
      <c r="G28" s="23">
        <v>0.02</v>
      </c>
      <c r="H28" s="6">
        <f t="shared" ref="H28" si="14">ROUND((E28*F28)+(E28*F28*G28),2)</f>
        <v>1858611.97</v>
      </c>
      <c r="I28" s="17">
        <f t="shared" ref="I28" si="15">F28*1.02</f>
        <v>53103.199200000003</v>
      </c>
      <c r="J28" s="17">
        <f t="shared" si="6"/>
        <v>2416195.5610000002</v>
      </c>
      <c r="K28" s="17"/>
      <c r="L28" s="17"/>
      <c r="M28" s="17"/>
      <c r="N28" s="17"/>
      <c r="O28" s="17"/>
      <c r="P28" s="281"/>
      <c r="Q28" s="282"/>
      <c r="R28" s="281"/>
      <c r="S28" s="282"/>
      <c r="T28" s="281"/>
      <c r="U28" s="282"/>
      <c r="V28" s="281"/>
      <c r="W28" s="282"/>
      <c r="X28" s="281"/>
      <c r="Y28" s="282"/>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7"/>
      <c r="BK28" s="17"/>
      <c r="BL28" s="17"/>
      <c r="BM28" s="17"/>
      <c r="BN28" s="17"/>
      <c r="BO28" s="17"/>
      <c r="BP28" s="17"/>
      <c r="BQ28" s="17"/>
      <c r="BR28" s="17"/>
      <c r="BS28" s="17"/>
      <c r="BT28" s="41"/>
      <c r="BU28" s="287"/>
      <c r="BV28" s="288"/>
      <c r="BW28" s="288"/>
    </row>
    <row r="29" spans="1:77" ht="27.6" customHeight="1">
      <c r="A29" s="444" t="s">
        <v>53</v>
      </c>
      <c r="B29" s="444"/>
      <c r="C29" s="444"/>
      <c r="D29" s="444"/>
      <c r="E29" s="444"/>
      <c r="F29" s="444"/>
      <c r="G29" s="444"/>
      <c r="H29" s="444"/>
      <c r="I29" s="17"/>
      <c r="J29" s="17">
        <f t="shared" si="6"/>
        <v>0</v>
      </c>
      <c r="K29" s="17"/>
      <c r="L29" s="17"/>
      <c r="M29" s="17"/>
      <c r="N29" s="17"/>
      <c r="O29" s="17"/>
      <c r="P29" s="276"/>
      <c r="Q29" s="276"/>
      <c r="R29" s="276"/>
      <c r="S29" s="277"/>
      <c r="T29" s="276"/>
      <c r="U29" s="277"/>
      <c r="V29" s="276"/>
      <c r="W29" s="277"/>
      <c r="X29" s="276"/>
      <c r="Y29" s="27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X29" s="6">
        <f>H67</f>
        <v>70064184</v>
      </c>
      <c r="BY29" s="4" t="s">
        <v>117</v>
      </c>
    </row>
    <row r="30" spans="1:77" ht="26.4" customHeight="1">
      <c r="A30" s="278">
        <v>7.1</v>
      </c>
      <c r="B30" s="278" t="s">
        <v>54</v>
      </c>
      <c r="C30" s="279" t="s">
        <v>55</v>
      </c>
      <c r="D30" s="4" t="s">
        <v>10</v>
      </c>
      <c r="E30" s="5">
        <v>117.4</v>
      </c>
      <c r="F30" s="280">
        <v>33165.57</v>
      </c>
      <c r="G30" s="23">
        <v>0.02</v>
      </c>
      <c r="H30" s="6">
        <f t="shared" si="7"/>
        <v>3971510.68</v>
      </c>
      <c r="I30" s="17">
        <f t="shared" si="9"/>
        <v>33828.881399999998</v>
      </c>
      <c r="J30" s="17">
        <f t="shared" si="6"/>
        <v>5162963.8840000005</v>
      </c>
      <c r="K30" s="17"/>
      <c r="L30" s="17"/>
      <c r="M30" s="17"/>
      <c r="N30" s="17"/>
      <c r="O30" s="17"/>
      <c r="P30" s="4"/>
      <c r="Q30" s="282">
        <f t="shared" si="11"/>
        <v>0</v>
      </c>
      <c r="R30" s="4"/>
      <c r="S30" s="282">
        <f t="shared" si="2"/>
        <v>0</v>
      </c>
      <c r="T30" s="4"/>
      <c r="U30" s="282">
        <f t="shared" si="3"/>
        <v>0</v>
      </c>
      <c r="V30" s="281">
        <f>'ESCUELA EL ROBLE'!O31</f>
        <v>56.7</v>
      </c>
      <c r="W30" s="282">
        <f t="shared" si="4"/>
        <v>1918097.5753800001</v>
      </c>
      <c r="X30" s="281">
        <f>'ESCUELA INTEGRADA MIXTA'!O23</f>
        <v>56.7</v>
      </c>
      <c r="Y30" s="282">
        <f t="shared" si="5"/>
        <v>1918097.5753800001</v>
      </c>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X30" s="282" t="e">
        <f>#REF!</f>
        <v>#REF!</v>
      </c>
      <c r="BY30" s="4" t="s">
        <v>8</v>
      </c>
    </row>
    <row r="31" spans="1:77" ht="27" customHeight="1">
      <c r="A31" s="278">
        <v>7.2</v>
      </c>
      <c r="B31" s="278" t="s">
        <v>20</v>
      </c>
      <c r="C31" s="279" t="s">
        <v>56</v>
      </c>
      <c r="D31" s="4" t="s">
        <v>10</v>
      </c>
      <c r="E31" s="5">
        <v>4.5</v>
      </c>
      <c r="F31" s="280">
        <v>74483.789999999994</v>
      </c>
      <c r="G31" s="23">
        <v>0.02</v>
      </c>
      <c r="H31" s="6">
        <f t="shared" si="7"/>
        <v>341880.6</v>
      </c>
      <c r="I31" s="17">
        <f t="shared" si="9"/>
        <v>75973.465799999991</v>
      </c>
      <c r="J31" s="17">
        <f t="shared" si="6"/>
        <v>444444.77999999997</v>
      </c>
      <c r="K31" s="17"/>
      <c r="L31" s="17"/>
      <c r="M31" s="17"/>
      <c r="N31" s="17"/>
      <c r="O31" s="17"/>
      <c r="P31" s="4"/>
      <c r="Q31" s="282">
        <f t="shared" si="11"/>
        <v>0</v>
      </c>
      <c r="R31" s="281">
        <f>'ESCUELA DE SAN FRANCISCO'!O82</f>
        <v>4.5</v>
      </c>
      <c r="S31" s="282">
        <f t="shared" si="2"/>
        <v>341880.59609999997</v>
      </c>
      <c r="T31" s="281"/>
      <c r="U31" s="282">
        <f t="shared" si="3"/>
        <v>0</v>
      </c>
      <c r="V31" s="281"/>
      <c r="W31" s="282">
        <f t="shared" si="4"/>
        <v>0</v>
      </c>
      <c r="X31" s="281"/>
      <c r="Y31" s="282">
        <f t="shared" si="5"/>
        <v>0</v>
      </c>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7"/>
      <c r="BK31" s="17"/>
      <c r="BL31" s="17"/>
      <c r="BM31" s="17"/>
      <c r="BN31" s="17"/>
      <c r="BO31" s="17"/>
      <c r="BP31" s="17"/>
      <c r="BQ31" s="17"/>
      <c r="BR31" s="17"/>
      <c r="BS31" s="17"/>
      <c r="BX31" s="289" t="e">
        <f>BX29-BX30</f>
        <v>#REF!</v>
      </c>
      <c r="BY31" s="4" t="s">
        <v>118</v>
      </c>
    </row>
    <row r="32" spans="1:77" ht="26.4" customHeight="1">
      <c r="A32" s="278">
        <v>7.3</v>
      </c>
      <c r="B32" s="278" t="s">
        <v>58</v>
      </c>
      <c r="C32" s="279" t="s">
        <v>59</v>
      </c>
      <c r="D32" s="4" t="s">
        <v>19</v>
      </c>
      <c r="E32" s="5">
        <v>5.64</v>
      </c>
      <c r="F32" s="280">
        <v>7423.82</v>
      </c>
      <c r="G32" s="23">
        <v>0.02</v>
      </c>
      <c r="H32" s="6">
        <f t="shared" si="7"/>
        <v>42707.75</v>
      </c>
      <c r="I32" s="17">
        <f t="shared" si="9"/>
        <v>7572.2964000000002</v>
      </c>
      <c r="J32" s="17">
        <f t="shared" si="6"/>
        <v>55520.075000000004</v>
      </c>
      <c r="K32" s="17"/>
      <c r="L32" s="17"/>
      <c r="M32" s="17"/>
      <c r="N32" s="17"/>
      <c r="O32" s="17"/>
      <c r="P32" s="4"/>
      <c r="Q32" s="282">
        <f t="shared" si="11"/>
        <v>0</v>
      </c>
      <c r="R32" s="281">
        <f>'ESCUELA DE SAN FRANCISCO'!O86</f>
        <v>4.6399999999999997</v>
      </c>
      <c r="S32" s="282">
        <f t="shared" si="2"/>
        <v>35135.455296</v>
      </c>
      <c r="T32" s="281"/>
      <c r="U32" s="282">
        <f t="shared" si="3"/>
        <v>0</v>
      </c>
      <c r="V32" s="281"/>
      <c r="W32" s="282">
        <f t="shared" si="4"/>
        <v>0</v>
      </c>
      <c r="X32" s="281"/>
      <c r="Y32" s="282">
        <f t="shared" si="5"/>
        <v>0</v>
      </c>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7"/>
      <c r="BK32" s="17"/>
      <c r="BL32" s="17"/>
      <c r="BM32" s="17"/>
      <c r="BN32" s="17"/>
      <c r="BO32" s="17"/>
      <c r="BP32" s="17"/>
      <c r="BQ32" s="17"/>
      <c r="BR32" s="17"/>
      <c r="BS32" s="17"/>
    </row>
    <row r="33" spans="1:71" ht="27" customHeight="1">
      <c r="A33" s="444" t="s">
        <v>60</v>
      </c>
      <c r="B33" s="444"/>
      <c r="C33" s="444"/>
      <c r="D33" s="444"/>
      <c r="E33" s="444"/>
      <c r="F33" s="444"/>
      <c r="G33" s="444"/>
      <c r="H33" s="444"/>
      <c r="I33" s="17"/>
      <c r="J33" s="17">
        <f t="shared" si="6"/>
        <v>0</v>
      </c>
      <c r="K33" s="17"/>
      <c r="L33" s="17"/>
      <c r="M33" s="17"/>
      <c r="N33" s="17"/>
      <c r="O33" s="17"/>
      <c r="P33" s="276"/>
      <c r="Q33" s="276"/>
      <c r="R33" s="276"/>
      <c r="S33" s="277"/>
      <c r="T33" s="276"/>
      <c r="U33" s="277"/>
      <c r="V33" s="276"/>
      <c r="W33" s="277"/>
      <c r="X33" s="276"/>
      <c r="Y33" s="27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7"/>
      <c r="BK33" s="17"/>
      <c r="BL33" s="17"/>
      <c r="BM33" s="17"/>
      <c r="BN33" s="17"/>
      <c r="BO33" s="17"/>
      <c r="BP33" s="17"/>
      <c r="BQ33" s="17"/>
      <c r="BR33" s="17"/>
      <c r="BS33" s="17"/>
    </row>
    <row r="34" spans="1:71" ht="34.200000000000003" customHeight="1">
      <c r="A34" s="278">
        <v>8.1</v>
      </c>
      <c r="B34" s="278" t="s">
        <v>61</v>
      </c>
      <c r="C34" s="279" t="s">
        <v>62</v>
      </c>
      <c r="D34" s="4" t="s">
        <v>10</v>
      </c>
      <c r="E34" s="5">
        <v>20.079999999999998</v>
      </c>
      <c r="F34" s="280">
        <v>66602.210000000006</v>
      </c>
      <c r="G34" s="23">
        <v>0.02</v>
      </c>
      <c r="H34" s="6">
        <f t="shared" si="7"/>
        <v>1364119.82</v>
      </c>
      <c r="I34" s="17">
        <f t="shared" si="9"/>
        <v>67934.25420000001</v>
      </c>
      <c r="J34" s="17">
        <f t="shared" si="6"/>
        <v>1773355.7660000001</v>
      </c>
      <c r="K34" s="17"/>
      <c r="L34" s="17"/>
      <c r="M34" s="17"/>
      <c r="N34" s="17"/>
      <c r="O34" s="17"/>
      <c r="P34" s="4"/>
      <c r="Q34" s="282">
        <f t="shared" si="11"/>
        <v>0</v>
      </c>
      <c r="R34" s="4"/>
      <c r="S34" s="282">
        <f t="shared" si="2"/>
        <v>0</v>
      </c>
      <c r="T34" s="281">
        <f>'ESCUELA LA ESPERANZA'!O45</f>
        <v>20.079999999999998</v>
      </c>
      <c r="U34" s="282">
        <f t="shared" si="3"/>
        <v>1364119.824336</v>
      </c>
      <c r="V34" s="281"/>
      <c r="W34" s="282">
        <f t="shared" si="4"/>
        <v>0</v>
      </c>
      <c r="X34" s="281"/>
      <c r="Y34" s="282">
        <f t="shared" si="5"/>
        <v>0</v>
      </c>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c r="AY34" s="17"/>
      <c r="AZ34" s="17"/>
      <c r="BA34" s="17"/>
      <c r="BB34" s="17"/>
      <c r="BC34" s="17"/>
      <c r="BD34" s="17"/>
      <c r="BE34" s="17"/>
      <c r="BF34" s="17"/>
      <c r="BG34" s="17"/>
      <c r="BH34" s="17"/>
      <c r="BI34" s="17"/>
      <c r="BJ34" s="17"/>
      <c r="BK34" s="17"/>
      <c r="BL34" s="17"/>
      <c r="BM34" s="17"/>
      <c r="BN34" s="17"/>
      <c r="BO34" s="17"/>
      <c r="BP34" s="17"/>
      <c r="BQ34" s="17"/>
      <c r="BR34" s="17"/>
      <c r="BS34" s="17"/>
    </row>
    <row r="35" spans="1:71" ht="28.2" customHeight="1">
      <c r="A35" s="444" t="s">
        <v>63</v>
      </c>
      <c r="B35" s="444"/>
      <c r="C35" s="444"/>
      <c r="D35" s="444"/>
      <c r="E35" s="444"/>
      <c r="F35" s="444"/>
      <c r="G35" s="444"/>
      <c r="H35" s="444"/>
      <c r="I35" s="17"/>
      <c r="J35" s="17">
        <f t="shared" si="6"/>
        <v>0</v>
      </c>
      <c r="K35" s="17"/>
      <c r="L35" s="17"/>
      <c r="M35" s="17"/>
      <c r="N35" s="17"/>
      <c r="O35" s="17"/>
      <c r="P35" s="276"/>
      <c r="Q35" s="276"/>
      <c r="R35" s="276"/>
      <c r="S35" s="277"/>
      <c r="T35" s="276"/>
      <c r="U35" s="277"/>
      <c r="V35" s="276"/>
      <c r="W35" s="277"/>
      <c r="X35" s="276"/>
      <c r="Y35" s="27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c r="AY35" s="17"/>
      <c r="AZ35" s="17"/>
      <c r="BA35" s="17"/>
      <c r="BB35" s="17"/>
      <c r="BC35" s="17"/>
      <c r="BD35" s="17"/>
      <c r="BE35" s="17"/>
      <c r="BF35" s="17"/>
      <c r="BG35" s="17"/>
      <c r="BH35" s="17"/>
      <c r="BI35" s="17"/>
      <c r="BJ35" s="17"/>
      <c r="BK35" s="17"/>
      <c r="BL35" s="17"/>
      <c r="BM35" s="17"/>
      <c r="BN35" s="17"/>
      <c r="BO35" s="17"/>
      <c r="BP35" s="17"/>
      <c r="BQ35" s="17"/>
      <c r="BR35" s="17"/>
      <c r="BS35" s="17"/>
    </row>
    <row r="36" spans="1:71" ht="58.8" customHeight="1">
      <c r="A36" s="278">
        <v>9.1</v>
      </c>
      <c r="B36" s="278" t="s">
        <v>64</v>
      </c>
      <c r="C36" s="279" t="s">
        <v>65</v>
      </c>
      <c r="D36" s="4" t="s">
        <v>41</v>
      </c>
      <c r="E36" s="5">
        <v>2</v>
      </c>
      <c r="F36" s="280">
        <v>170016.03</v>
      </c>
      <c r="G36" s="23">
        <v>0.02</v>
      </c>
      <c r="H36" s="6">
        <f t="shared" si="7"/>
        <v>346832.7</v>
      </c>
      <c r="I36" s="17">
        <f t="shared" si="9"/>
        <v>173416.35060000001</v>
      </c>
      <c r="J36" s="17">
        <f t="shared" si="6"/>
        <v>450882.51</v>
      </c>
      <c r="K36" s="17"/>
      <c r="L36" s="17"/>
      <c r="M36" s="17"/>
      <c r="N36" s="17"/>
      <c r="O36" s="17"/>
      <c r="P36" s="4"/>
      <c r="Q36" s="282">
        <f t="shared" ref="Q36:Q37" si="16">P36*I36</f>
        <v>0</v>
      </c>
      <c r="R36" s="281">
        <f>'ESCUELA DE SAN FRANCISCO'!O79</f>
        <v>2</v>
      </c>
      <c r="S36" s="282">
        <f t="shared" si="2"/>
        <v>346832.70120000001</v>
      </c>
      <c r="T36" s="281"/>
      <c r="U36" s="282">
        <f t="shared" si="3"/>
        <v>0</v>
      </c>
      <c r="V36" s="281"/>
      <c r="W36" s="282">
        <f t="shared" si="4"/>
        <v>0</v>
      </c>
      <c r="X36" s="281"/>
      <c r="Y36" s="282">
        <f t="shared" si="5"/>
        <v>0</v>
      </c>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7"/>
      <c r="BK36" s="17"/>
      <c r="BL36" s="17"/>
      <c r="BM36" s="17"/>
      <c r="BN36" s="17"/>
      <c r="BO36" s="17"/>
      <c r="BP36" s="17"/>
      <c r="BQ36" s="17"/>
      <c r="BR36" s="17"/>
      <c r="BS36" s="17"/>
    </row>
    <row r="37" spans="1:71" ht="53.4" customHeight="1">
      <c r="A37" s="278">
        <v>9.1999999999999993</v>
      </c>
      <c r="B37" s="278" t="s">
        <v>66</v>
      </c>
      <c r="C37" s="279" t="s">
        <v>67</v>
      </c>
      <c r="D37" s="4" t="s">
        <v>41</v>
      </c>
      <c r="E37" s="5">
        <v>1</v>
      </c>
      <c r="F37" s="280">
        <v>99367.51</v>
      </c>
      <c r="G37" s="23">
        <v>0.02</v>
      </c>
      <c r="H37" s="6">
        <f t="shared" si="7"/>
        <v>101354.86</v>
      </c>
      <c r="I37" s="17">
        <f t="shared" si="9"/>
        <v>101354.8602</v>
      </c>
      <c r="J37" s="17">
        <f t="shared" si="6"/>
        <v>131761.318</v>
      </c>
      <c r="K37" s="17"/>
      <c r="L37" s="17"/>
      <c r="M37" s="17"/>
      <c r="N37" s="17"/>
      <c r="O37" s="17"/>
      <c r="P37" s="4"/>
      <c r="Q37" s="282">
        <f t="shared" si="16"/>
        <v>0</v>
      </c>
      <c r="R37" s="281">
        <f>'ESCUELA DE SAN FRANCISCO'!O78</f>
        <v>1</v>
      </c>
      <c r="S37" s="282">
        <f t="shared" si="2"/>
        <v>101354.8602</v>
      </c>
      <c r="T37" s="281"/>
      <c r="U37" s="282">
        <f t="shared" si="3"/>
        <v>0</v>
      </c>
      <c r="V37" s="281"/>
      <c r="W37" s="282">
        <f t="shared" si="4"/>
        <v>0</v>
      </c>
      <c r="X37" s="281"/>
      <c r="Y37" s="282">
        <f t="shared" si="5"/>
        <v>0</v>
      </c>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7"/>
      <c r="BK37" s="17"/>
      <c r="BL37" s="17"/>
      <c r="BM37" s="17"/>
      <c r="BN37" s="17"/>
      <c r="BO37" s="17"/>
      <c r="BP37" s="17"/>
      <c r="BQ37" s="17"/>
      <c r="BR37" s="17"/>
      <c r="BS37" s="17"/>
    </row>
    <row r="38" spans="1:71" ht="33.6" customHeight="1">
      <c r="A38" s="4">
        <v>9.3000000000000007</v>
      </c>
      <c r="B38" s="4" t="s">
        <v>264</v>
      </c>
      <c r="C38" s="290" t="s">
        <v>263</v>
      </c>
      <c r="D38" s="291" t="s">
        <v>41</v>
      </c>
      <c r="E38" s="5">
        <v>5</v>
      </c>
      <c r="F38" s="282">
        <v>38060.589999999997</v>
      </c>
      <c r="G38" s="23">
        <v>0.02</v>
      </c>
      <c r="H38" s="6">
        <f t="shared" ref="H38" si="17">ROUND((E38*F38)+(E38*F38*G38),2)</f>
        <v>194109.01</v>
      </c>
      <c r="I38" s="17">
        <f t="shared" si="9"/>
        <v>38821.801799999994</v>
      </c>
      <c r="J38" s="17">
        <f t="shared" si="6"/>
        <v>252341.71300000002</v>
      </c>
      <c r="K38" s="17"/>
      <c r="L38" s="17"/>
      <c r="M38" s="17"/>
      <c r="N38" s="17"/>
      <c r="O38" s="17"/>
      <c r="P38" s="4"/>
      <c r="Q38" s="282">
        <f t="shared" ref="Q38:Q39" si="18">P38*I38</f>
        <v>0</v>
      </c>
      <c r="R38" s="281">
        <f>'ESCUELA DE SAN FRANCISCO'!O47</f>
        <v>5</v>
      </c>
      <c r="S38" s="282">
        <f t="shared" si="2"/>
        <v>194109.00899999996</v>
      </c>
      <c r="T38" s="281"/>
      <c r="U38" s="282">
        <f t="shared" si="3"/>
        <v>0</v>
      </c>
      <c r="V38" s="281"/>
      <c r="W38" s="282">
        <f t="shared" si="4"/>
        <v>0</v>
      </c>
      <c r="X38" s="281"/>
      <c r="Y38" s="282">
        <f t="shared" si="5"/>
        <v>0</v>
      </c>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7"/>
      <c r="BK38" s="17"/>
      <c r="BL38" s="17"/>
      <c r="BM38" s="17"/>
      <c r="BN38" s="17"/>
      <c r="BO38" s="17"/>
      <c r="BP38" s="17"/>
      <c r="BQ38" s="17"/>
      <c r="BR38" s="17"/>
      <c r="BS38" s="17"/>
    </row>
    <row r="39" spans="1:71" ht="42.6" customHeight="1">
      <c r="A39" s="4">
        <v>9.4</v>
      </c>
      <c r="B39" s="4" t="s">
        <v>300</v>
      </c>
      <c r="C39" s="290" t="s">
        <v>301</v>
      </c>
      <c r="D39" s="291" t="s">
        <v>41</v>
      </c>
      <c r="E39" s="5">
        <v>10</v>
      </c>
      <c r="F39" s="282">
        <v>42380.79</v>
      </c>
      <c r="G39" s="23">
        <v>0.02</v>
      </c>
      <c r="H39" s="6">
        <f t="shared" ref="H39" si="19">ROUND((E39*F39)+(E39*F39*G39),2)</f>
        <v>432284.06</v>
      </c>
      <c r="I39" s="17">
        <f t="shared" si="9"/>
        <v>43228.4058</v>
      </c>
      <c r="J39" s="17">
        <f t="shared" si="6"/>
        <v>561969.27800000005</v>
      </c>
      <c r="K39" s="17"/>
      <c r="L39" s="17"/>
      <c r="M39" s="17"/>
      <c r="N39" s="17"/>
      <c r="O39" s="17"/>
      <c r="P39" s="4"/>
      <c r="Q39" s="282">
        <f t="shared" si="18"/>
        <v>0</v>
      </c>
      <c r="R39" s="4"/>
      <c r="S39" s="282">
        <f t="shared" si="2"/>
        <v>0</v>
      </c>
      <c r="T39" s="281">
        <f>'ESCUELA LA ESPERANZA'!O30</f>
        <v>10</v>
      </c>
      <c r="U39" s="282">
        <f t="shared" si="3"/>
        <v>432284.05800000002</v>
      </c>
      <c r="V39" s="281"/>
      <c r="W39" s="282">
        <f t="shared" si="4"/>
        <v>0</v>
      </c>
      <c r="X39" s="281"/>
      <c r="Y39" s="282">
        <f t="shared" si="5"/>
        <v>0</v>
      </c>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7"/>
      <c r="BK39" s="17"/>
      <c r="BL39" s="17"/>
      <c r="BM39" s="17"/>
      <c r="BN39" s="17"/>
      <c r="BO39" s="17"/>
      <c r="BP39" s="17"/>
      <c r="BQ39" s="17"/>
      <c r="BR39" s="17"/>
      <c r="BS39" s="17"/>
    </row>
    <row r="40" spans="1:71" ht="25.95" customHeight="1">
      <c r="A40" s="444" t="s">
        <v>68</v>
      </c>
      <c r="B40" s="444"/>
      <c r="C40" s="444"/>
      <c r="D40" s="444"/>
      <c r="E40" s="444"/>
      <c r="F40" s="444"/>
      <c r="G40" s="444"/>
      <c r="H40" s="444"/>
      <c r="I40" s="17"/>
      <c r="J40" s="17">
        <f t="shared" si="6"/>
        <v>0</v>
      </c>
      <c r="K40" s="17"/>
      <c r="L40" s="17"/>
      <c r="M40" s="17"/>
      <c r="N40" s="17"/>
      <c r="O40" s="17"/>
      <c r="P40" s="276"/>
      <c r="Q40" s="276"/>
      <c r="R40" s="276"/>
      <c r="S40" s="277"/>
      <c r="T40" s="276"/>
      <c r="U40" s="277"/>
      <c r="V40" s="276"/>
      <c r="W40" s="277"/>
      <c r="X40" s="276"/>
      <c r="Y40" s="27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7"/>
      <c r="BK40" s="17"/>
      <c r="BL40" s="17"/>
      <c r="BM40" s="17"/>
      <c r="BN40" s="17"/>
      <c r="BO40" s="17"/>
      <c r="BP40" s="17"/>
      <c r="BQ40" s="17"/>
      <c r="BR40" s="17"/>
      <c r="BS40" s="17"/>
    </row>
    <row r="41" spans="1:71" ht="25.2" customHeight="1">
      <c r="A41" s="278">
        <v>10.1</v>
      </c>
      <c r="B41" s="278" t="s">
        <v>69</v>
      </c>
      <c r="C41" s="279" t="s">
        <v>70</v>
      </c>
      <c r="D41" s="4" t="s">
        <v>10</v>
      </c>
      <c r="E41" s="5">
        <v>125.8</v>
      </c>
      <c r="F41" s="280">
        <v>91325.6</v>
      </c>
      <c r="G41" s="23">
        <v>0.02</v>
      </c>
      <c r="H41" s="6">
        <f>ROUND((E41*F41)+(E41*F41*G41),2)</f>
        <v>11718535.689999999</v>
      </c>
      <c r="I41" s="17">
        <f t="shared" si="9"/>
        <v>93152.112000000008</v>
      </c>
      <c r="J41" s="17">
        <f t="shared" si="6"/>
        <v>15234096.397</v>
      </c>
      <c r="K41" s="17"/>
      <c r="L41" s="17"/>
      <c r="M41" s="17"/>
      <c r="N41" s="17"/>
      <c r="O41" s="17"/>
      <c r="P41" s="4"/>
      <c r="Q41" s="282">
        <f t="shared" ref="Q41:Q44" si="20">P41*I41</f>
        <v>0</v>
      </c>
      <c r="R41" s="4"/>
      <c r="S41" s="282">
        <f t="shared" si="2"/>
        <v>0</v>
      </c>
      <c r="T41" s="4"/>
      <c r="U41" s="282">
        <f t="shared" si="3"/>
        <v>0</v>
      </c>
      <c r="V41" s="281">
        <f>'ESCUELA EL ROBLE'!O26</f>
        <v>56.7</v>
      </c>
      <c r="W41" s="282">
        <f t="shared" si="4"/>
        <v>5281724.7504000012</v>
      </c>
      <c r="X41" s="281">
        <f>'ESCUELA INTEGRADA MIXTA'!O18</f>
        <v>56.7</v>
      </c>
      <c r="Y41" s="282">
        <f t="shared" si="5"/>
        <v>5281724.7504000012</v>
      </c>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7"/>
      <c r="BK41" s="17"/>
      <c r="BL41" s="17"/>
      <c r="BM41" s="17"/>
      <c r="BN41" s="17"/>
      <c r="BO41" s="17"/>
      <c r="BP41" s="17"/>
      <c r="BQ41" s="17"/>
      <c r="BR41" s="17"/>
      <c r="BS41" s="17"/>
    </row>
    <row r="42" spans="1:71" ht="39.75" customHeight="1">
      <c r="A42" s="278">
        <v>10.199999999999999</v>
      </c>
      <c r="B42" s="278" t="s">
        <v>69</v>
      </c>
      <c r="C42" s="279" t="s">
        <v>72</v>
      </c>
      <c r="D42" s="4" t="s">
        <v>10</v>
      </c>
      <c r="E42" s="5">
        <v>16.63</v>
      </c>
      <c r="F42" s="280">
        <v>91325.6</v>
      </c>
      <c r="G42" s="23">
        <v>0.02</v>
      </c>
      <c r="H42" s="6">
        <f t="shared" si="7"/>
        <v>1549119.62</v>
      </c>
      <c r="I42" s="17">
        <f t="shared" si="9"/>
        <v>93152.112000000008</v>
      </c>
      <c r="J42" s="17">
        <f t="shared" si="6"/>
        <v>2013855.5060000003</v>
      </c>
      <c r="K42" s="17"/>
      <c r="L42" s="17"/>
      <c r="M42" s="17"/>
      <c r="N42" s="17"/>
      <c r="O42" s="17"/>
      <c r="P42" s="281">
        <f>'ESCUELA EL CARMEN'!O28</f>
        <v>3.9299999999999997</v>
      </c>
      <c r="Q42" s="282">
        <f t="shared" si="20"/>
        <v>366087.80015999998</v>
      </c>
      <c r="R42" s="281">
        <f>'ESCUELA DE SAN FRANCISCO'!O35</f>
        <v>12.7</v>
      </c>
      <c r="S42" s="282">
        <f t="shared" si="2"/>
        <v>1183031.8223999999</v>
      </c>
      <c r="T42" s="281"/>
      <c r="U42" s="282">
        <f t="shared" si="3"/>
        <v>0</v>
      </c>
      <c r="V42" s="281"/>
      <c r="W42" s="282">
        <f t="shared" si="4"/>
        <v>0</v>
      </c>
      <c r="X42" s="281"/>
      <c r="Y42" s="282">
        <f t="shared" si="5"/>
        <v>0</v>
      </c>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7"/>
      <c r="BK42" s="17"/>
      <c r="BL42" s="17"/>
      <c r="BM42" s="17"/>
      <c r="BN42" s="17"/>
      <c r="BO42" s="17"/>
      <c r="BP42" s="17"/>
      <c r="BQ42" s="17"/>
      <c r="BR42" s="17"/>
      <c r="BS42" s="17"/>
    </row>
    <row r="43" spans="1:71" ht="34.200000000000003" customHeight="1">
      <c r="A43" s="278">
        <v>10.3</v>
      </c>
      <c r="B43" s="278" t="s">
        <v>73</v>
      </c>
      <c r="C43" s="279" t="s">
        <v>74</v>
      </c>
      <c r="D43" s="4" t="s">
        <v>31</v>
      </c>
      <c r="E43" s="5">
        <v>9.5</v>
      </c>
      <c r="F43" s="280">
        <v>20594.02</v>
      </c>
      <c r="G43" s="23">
        <v>0.02</v>
      </c>
      <c r="H43" s="6">
        <f t="shared" si="7"/>
        <v>199556.05</v>
      </c>
      <c r="I43" s="17">
        <f t="shared" si="9"/>
        <v>21005.900400000002</v>
      </c>
      <c r="J43" s="17">
        <f t="shared" si="6"/>
        <v>259422.86499999999</v>
      </c>
      <c r="K43" s="17"/>
      <c r="L43" s="17"/>
      <c r="M43" s="17"/>
      <c r="N43" s="17"/>
      <c r="O43" s="17"/>
      <c r="P43" s="281">
        <f>'ESCUELA EL CARMEN'!O29</f>
        <v>4.38</v>
      </c>
      <c r="Q43" s="282">
        <f t="shared" si="20"/>
        <v>92005.843752000001</v>
      </c>
      <c r="R43" s="281">
        <f>'ESCUELA DE SAN FRANCISCO'!O36</f>
        <v>5.12</v>
      </c>
      <c r="S43" s="282">
        <f t="shared" ref="S43:S52" si="21">R43*I43</f>
        <v>107550.21004800001</v>
      </c>
      <c r="T43" s="281"/>
      <c r="U43" s="282">
        <f t="shared" ref="U43:U52" si="22">T43*I43</f>
        <v>0</v>
      </c>
      <c r="V43" s="281"/>
      <c r="W43" s="282">
        <f t="shared" ref="W43:W52" si="23">V43*I43</f>
        <v>0</v>
      </c>
      <c r="X43" s="281"/>
      <c r="Y43" s="282">
        <f t="shared" ref="Y43:Y52" si="24">X43*I43</f>
        <v>0</v>
      </c>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7"/>
      <c r="BK43" s="17"/>
      <c r="BL43" s="17"/>
      <c r="BM43" s="17"/>
      <c r="BN43" s="17"/>
      <c r="BO43" s="17"/>
      <c r="BP43" s="17"/>
      <c r="BQ43" s="17"/>
      <c r="BR43" s="17"/>
      <c r="BS43" s="17"/>
    </row>
    <row r="44" spans="1:71" ht="22.95" customHeight="1">
      <c r="A44" s="278">
        <v>10.4</v>
      </c>
      <c r="B44" s="4" t="s">
        <v>75</v>
      </c>
      <c r="C44" s="286" t="s">
        <v>76</v>
      </c>
      <c r="D44" s="291" t="s">
        <v>10</v>
      </c>
      <c r="E44" s="5">
        <v>135.80000000000001</v>
      </c>
      <c r="F44" s="292">
        <v>78024.98</v>
      </c>
      <c r="G44" s="23">
        <v>0.02</v>
      </c>
      <c r="H44" s="6">
        <f t="shared" si="7"/>
        <v>10807708.130000001</v>
      </c>
      <c r="I44" s="17">
        <f t="shared" si="9"/>
        <v>79585.479599999991</v>
      </c>
      <c r="J44" s="17">
        <f t="shared" si="6"/>
        <v>14050020.569000002</v>
      </c>
      <c r="K44" s="17"/>
      <c r="L44" s="17"/>
      <c r="M44" s="17"/>
      <c r="N44" s="17"/>
      <c r="O44" s="17"/>
      <c r="P44" s="4"/>
      <c r="Q44" s="282">
        <f t="shared" si="20"/>
        <v>0</v>
      </c>
      <c r="R44" s="4"/>
      <c r="S44" s="282">
        <f t="shared" si="21"/>
        <v>0</v>
      </c>
      <c r="T44" s="281">
        <f>'ESCUELA LA ESPERANZA'!O18</f>
        <v>57.34</v>
      </c>
      <c r="U44" s="282">
        <f t="shared" si="22"/>
        <v>4563431.4002639996</v>
      </c>
      <c r="V44" s="281">
        <f>'ESCUELA EL ROBLE'!O16</f>
        <v>56.7</v>
      </c>
      <c r="W44" s="282">
        <f t="shared" si="23"/>
        <v>4512496.6933199996</v>
      </c>
      <c r="X44" s="281"/>
      <c r="Y44" s="282">
        <f t="shared" si="24"/>
        <v>0</v>
      </c>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7"/>
      <c r="BK44" s="17"/>
      <c r="BL44" s="17"/>
      <c r="BM44" s="17"/>
      <c r="BN44" s="17"/>
      <c r="BO44" s="17"/>
      <c r="BP44" s="17"/>
      <c r="BQ44" s="17"/>
      <c r="BR44" s="17"/>
      <c r="BS44" s="17"/>
    </row>
    <row r="45" spans="1:71" ht="42.6" customHeight="1">
      <c r="A45" s="278">
        <v>10.5</v>
      </c>
      <c r="B45" s="278" t="s">
        <v>71</v>
      </c>
      <c r="C45" s="279" t="s">
        <v>120</v>
      </c>
      <c r="D45" s="4" t="s">
        <v>31</v>
      </c>
      <c r="E45" s="296">
        <v>77.061065548753945</v>
      </c>
      <c r="F45" s="280">
        <v>24013</v>
      </c>
      <c r="G45" s="23">
        <v>0.02</v>
      </c>
      <c r="H45" s="6">
        <f t="shared" si="7"/>
        <v>1887476.71</v>
      </c>
      <c r="I45" s="17"/>
      <c r="J45" s="17">
        <f t="shared" si="6"/>
        <v>2453719.7230000002</v>
      </c>
      <c r="L45" s="17"/>
      <c r="M45" s="17"/>
      <c r="N45" s="17"/>
      <c r="O45" s="17"/>
      <c r="P45" s="4"/>
      <c r="Q45" s="282"/>
      <c r="R45" s="4"/>
      <c r="S45" s="282"/>
      <c r="T45" s="281"/>
      <c r="U45" s="282"/>
      <c r="V45" s="281"/>
      <c r="W45" s="282"/>
      <c r="X45" s="281"/>
      <c r="Y45" s="282"/>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7"/>
      <c r="BK45" s="17"/>
      <c r="BL45" s="17"/>
      <c r="BM45" s="17"/>
      <c r="BN45" s="17"/>
      <c r="BO45" s="17"/>
      <c r="BP45" s="17"/>
      <c r="BQ45" s="17"/>
      <c r="BR45" s="17"/>
      <c r="BS45" s="17"/>
    </row>
    <row r="46" spans="1:71" ht="25.2" customHeight="1">
      <c r="A46" s="444" t="s">
        <v>77</v>
      </c>
      <c r="B46" s="444"/>
      <c r="C46" s="444"/>
      <c r="D46" s="444"/>
      <c r="E46" s="444"/>
      <c r="F46" s="444"/>
      <c r="G46" s="444"/>
      <c r="H46" s="444"/>
      <c r="I46" s="17"/>
      <c r="J46" s="17">
        <f t="shared" si="6"/>
        <v>0</v>
      </c>
      <c r="K46" s="17"/>
      <c r="L46" s="17"/>
      <c r="M46" s="17"/>
      <c r="N46" s="17"/>
      <c r="O46" s="17"/>
      <c r="P46" s="276"/>
      <c r="Q46" s="276"/>
      <c r="R46" s="276"/>
      <c r="S46" s="277"/>
      <c r="T46" s="276"/>
      <c r="U46" s="277"/>
      <c r="V46" s="276"/>
      <c r="W46" s="277"/>
      <c r="X46" s="276"/>
      <c r="Y46" s="27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7"/>
      <c r="BK46" s="17"/>
      <c r="BL46" s="17"/>
      <c r="BM46" s="17"/>
      <c r="BN46" s="17"/>
      <c r="BO46" s="17"/>
      <c r="BP46" s="17"/>
      <c r="BQ46" s="17"/>
      <c r="BR46" s="17"/>
      <c r="BS46" s="17"/>
    </row>
    <row r="47" spans="1:71" ht="42" customHeight="1">
      <c r="A47" s="278">
        <v>11.1</v>
      </c>
      <c r="B47" s="278" t="s">
        <v>78</v>
      </c>
      <c r="C47" s="279" t="s">
        <v>79</v>
      </c>
      <c r="D47" s="4" t="s">
        <v>41</v>
      </c>
      <c r="E47" s="5">
        <v>2</v>
      </c>
      <c r="F47" s="280">
        <v>223386.97</v>
      </c>
      <c r="G47" s="23">
        <v>0.02</v>
      </c>
      <c r="H47" s="6">
        <f t="shared" ref="H47:H51" si="25">ROUND((E47*F47)+(E47*F47*G47),2)</f>
        <v>455709.42</v>
      </c>
      <c r="I47" s="17">
        <f t="shared" si="9"/>
        <v>227854.70939999999</v>
      </c>
      <c r="J47" s="17">
        <f t="shared" si="6"/>
        <v>592422.24600000004</v>
      </c>
      <c r="K47" s="17"/>
      <c r="L47" s="17"/>
      <c r="M47" s="17"/>
      <c r="N47" s="17"/>
      <c r="O47" s="17"/>
      <c r="P47" s="4"/>
      <c r="Q47" s="282">
        <f>P47*I47</f>
        <v>0</v>
      </c>
      <c r="R47" s="281">
        <f>'ESCUELA DE SAN FRANCISCO'!O67</f>
        <v>1</v>
      </c>
      <c r="S47" s="282">
        <f t="shared" si="21"/>
        <v>227854.70939999999</v>
      </c>
      <c r="T47" s="281"/>
      <c r="U47" s="282">
        <f t="shared" si="22"/>
        <v>0</v>
      </c>
      <c r="V47" s="281"/>
      <c r="W47" s="282">
        <f t="shared" si="23"/>
        <v>0</v>
      </c>
      <c r="X47" s="281"/>
      <c r="Y47" s="282">
        <f t="shared" si="24"/>
        <v>0</v>
      </c>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7"/>
      <c r="BK47" s="17"/>
      <c r="BL47" s="17"/>
      <c r="BM47" s="17"/>
      <c r="BN47" s="17"/>
      <c r="BO47" s="17"/>
      <c r="BP47" s="17"/>
      <c r="BQ47" s="17"/>
      <c r="BR47" s="17"/>
      <c r="BS47" s="17"/>
    </row>
    <row r="48" spans="1:71" ht="42.6" customHeight="1">
      <c r="A48" s="278">
        <v>11.2</v>
      </c>
      <c r="B48" s="278" t="s">
        <v>80</v>
      </c>
      <c r="C48" s="279" t="s">
        <v>81</v>
      </c>
      <c r="D48" s="4" t="s">
        <v>10</v>
      </c>
      <c r="E48" s="5">
        <v>3.2</v>
      </c>
      <c r="F48" s="280">
        <v>265733.32</v>
      </c>
      <c r="G48" s="23">
        <v>0.02</v>
      </c>
      <c r="H48" s="6">
        <f t="shared" si="25"/>
        <v>867353.56</v>
      </c>
      <c r="I48" s="17">
        <f t="shared" ref="I48:I52" si="26">F48*1.02</f>
        <v>271047.98639999999</v>
      </c>
      <c r="J48" s="17">
        <f t="shared" si="6"/>
        <v>1127559.628</v>
      </c>
      <c r="K48" s="17"/>
      <c r="L48" s="17"/>
      <c r="M48" s="17"/>
      <c r="N48" s="17"/>
      <c r="O48" s="17"/>
      <c r="P48" s="293"/>
      <c r="Q48" s="293"/>
      <c r="R48" s="294">
        <f>'ESCUELA DE SAN FRANCISCO'!O68</f>
        <v>1.6</v>
      </c>
      <c r="S48" s="282">
        <f t="shared" si="21"/>
        <v>433676.77824000001</v>
      </c>
      <c r="T48" s="294"/>
      <c r="U48" s="282">
        <f t="shared" si="22"/>
        <v>0</v>
      </c>
      <c r="V48" s="294"/>
      <c r="W48" s="282">
        <f t="shared" si="23"/>
        <v>0</v>
      </c>
      <c r="X48" s="294"/>
      <c r="Y48" s="282">
        <f t="shared" si="24"/>
        <v>0</v>
      </c>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7"/>
      <c r="BK48" s="17"/>
      <c r="BL48" s="17"/>
      <c r="BM48" s="17"/>
      <c r="BN48" s="17"/>
      <c r="BO48" s="17"/>
      <c r="BP48" s="17"/>
      <c r="BQ48" s="17"/>
      <c r="BR48" s="17"/>
      <c r="BS48" s="17"/>
    </row>
    <row r="49" spans="1:71" ht="43.95" customHeight="1">
      <c r="A49" s="278">
        <v>11.3</v>
      </c>
      <c r="B49" s="278" t="s">
        <v>82</v>
      </c>
      <c r="C49" s="279" t="s">
        <v>83</v>
      </c>
      <c r="D49" s="4" t="s">
        <v>10</v>
      </c>
      <c r="E49" s="5">
        <v>3.3</v>
      </c>
      <c r="F49" s="280">
        <v>277984.96999999997</v>
      </c>
      <c r="G49" s="23">
        <v>0.02</v>
      </c>
      <c r="H49" s="6">
        <f t="shared" si="25"/>
        <v>935697.41</v>
      </c>
      <c r="I49" s="17">
        <f t="shared" si="26"/>
        <v>283544.66939999996</v>
      </c>
      <c r="J49" s="17">
        <f t="shared" si="6"/>
        <v>1216406.6330000001</v>
      </c>
      <c r="K49" s="17"/>
      <c r="L49" s="17"/>
      <c r="M49" s="17"/>
      <c r="N49" s="17"/>
      <c r="O49" s="17"/>
      <c r="P49" s="4"/>
      <c r="Q49" s="282">
        <f t="shared" ref="Q49:Q52" si="27">P49*I49</f>
        <v>0</v>
      </c>
      <c r="R49" s="281">
        <f>'ESCUELA DE SAN FRANCISCO'!O69</f>
        <v>1.5</v>
      </c>
      <c r="S49" s="282">
        <f t="shared" si="21"/>
        <v>425317.0040999999</v>
      </c>
      <c r="T49" s="281"/>
      <c r="U49" s="282">
        <f t="shared" si="22"/>
        <v>0</v>
      </c>
      <c r="V49" s="281"/>
      <c r="W49" s="282">
        <f t="shared" si="23"/>
        <v>0</v>
      </c>
      <c r="X49" s="281"/>
      <c r="Y49" s="282">
        <f t="shared" si="24"/>
        <v>0</v>
      </c>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c r="BP49" s="17"/>
      <c r="BQ49" s="17"/>
      <c r="BR49" s="17"/>
      <c r="BS49" s="17"/>
    </row>
    <row r="50" spans="1:71" ht="43.2" customHeight="1">
      <c r="A50" s="278">
        <v>11.4</v>
      </c>
      <c r="B50" s="278" t="s">
        <v>84</v>
      </c>
      <c r="C50" s="279" t="s">
        <v>85</v>
      </c>
      <c r="D50" s="4" t="s">
        <v>41</v>
      </c>
      <c r="E50" s="5">
        <v>2</v>
      </c>
      <c r="F50" s="280">
        <v>138036.63</v>
      </c>
      <c r="G50" s="23">
        <v>0.02</v>
      </c>
      <c r="H50" s="6">
        <f t="shared" si="25"/>
        <v>281594.73</v>
      </c>
      <c r="I50" s="17">
        <f t="shared" si="26"/>
        <v>140797.36259999999</v>
      </c>
      <c r="J50" s="17">
        <f t="shared" si="6"/>
        <v>366073.14899999998</v>
      </c>
      <c r="K50" s="17"/>
      <c r="L50" s="17"/>
      <c r="M50" s="17"/>
      <c r="N50" s="17"/>
      <c r="O50" s="17"/>
      <c r="P50" s="4"/>
      <c r="Q50" s="282">
        <f t="shared" si="27"/>
        <v>0</v>
      </c>
      <c r="R50" s="281">
        <f>'ESCUELA DE SAN FRANCISCO'!O70</f>
        <v>1</v>
      </c>
      <c r="S50" s="282">
        <f t="shared" si="21"/>
        <v>140797.36259999999</v>
      </c>
      <c r="T50" s="281"/>
      <c r="U50" s="282">
        <f t="shared" si="22"/>
        <v>0</v>
      </c>
      <c r="V50" s="281"/>
      <c r="W50" s="282">
        <f t="shared" si="23"/>
        <v>0</v>
      </c>
      <c r="X50" s="281"/>
      <c r="Y50" s="282">
        <f t="shared" si="24"/>
        <v>0</v>
      </c>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7"/>
      <c r="BK50" s="17"/>
      <c r="BL50" s="17"/>
      <c r="BM50" s="17"/>
      <c r="BN50" s="17"/>
      <c r="BO50" s="17"/>
      <c r="BP50" s="17"/>
      <c r="BQ50" s="17"/>
      <c r="BR50" s="17"/>
      <c r="BS50" s="17"/>
    </row>
    <row r="51" spans="1:71" ht="32.4" customHeight="1">
      <c r="A51" s="278">
        <v>11.5</v>
      </c>
      <c r="B51" s="278" t="s">
        <v>239</v>
      </c>
      <c r="C51" s="279" t="s">
        <v>238</v>
      </c>
      <c r="D51" s="4" t="s">
        <v>10</v>
      </c>
      <c r="E51" s="5">
        <v>3.8</v>
      </c>
      <c r="F51" s="280">
        <v>99369.78</v>
      </c>
      <c r="G51" s="23">
        <v>0.02</v>
      </c>
      <c r="H51" s="6">
        <f t="shared" si="25"/>
        <v>385157.27</v>
      </c>
      <c r="I51" s="17">
        <f t="shared" si="26"/>
        <v>101357.1756</v>
      </c>
      <c r="J51" s="17">
        <f t="shared" si="6"/>
        <v>500704.45100000006</v>
      </c>
      <c r="K51" s="17"/>
      <c r="L51" s="17"/>
      <c r="M51" s="17"/>
      <c r="N51" s="17"/>
      <c r="O51" s="17"/>
      <c r="P51" s="281">
        <f>'ESCUELA EL CARMEN'!O35</f>
        <v>1.6199999999999999</v>
      </c>
      <c r="Q51" s="282">
        <f t="shared" si="27"/>
        <v>164198.624472</v>
      </c>
      <c r="R51" s="281"/>
      <c r="S51" s="282">
        <f t="shared" si="21"/>
        <v>0</v>
      </c>
      <c r="T51" s="281"/>
      <c r="U51" s="282">
        <f t="shared" si="22"/>
        <v>0</v>
      </c>
      <c r="V51" s="281"/>
      <c r="W51" s="282">
        <f t="shared" si="23"/>
        <v>0</v>
      </c>
      <c r="X51" s="281"/>
      <c r="Y51" s="282">
        <f t="shared" si="24"/>
        <v>0</v>
      </c>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7"/>
      <c r="BK51" s="17"/>
      <c r="BL51" s="17"/>
      <c r="BM51" s="17"/>
      <c r="BN51" s="17"/>
      <c r="BO51" s="17"/>
      <c r="BP51" s="17"/>
      <c r="BQ51" s="17"/>
      <c r="BR51" s="17"/>
      <c r="BS51" s="17"/>
    </row>
    <row r="52" spans="1:71" ht="32.4" customHeight="1">
      <c r="A52" s="278">
        <v>11.6</v>
      </c>
      <c r="B52" s="278" t="s">
        <v>293</v>
      </c>
      <c r="C52" s="279" t="s">
        <v>294</v>
      </c>
      <c r="D52" s="4" t="s">
        <v>10</v>
      </c>
      <c r="E52" s="5">
        <v>0.96</v>
      </c>
      <c r="F52" s="280">
        <v>163002.5</v>
      </c>
      <c r="G52" s="23">
        <v>0.02</v>
      </c>
      <c r="H52" s="6">
        <f t="shared" ref="H52" si="28">ROUND((E52*F52)+(E52*F52*G52),2)</f>
        <v>159612.04999999999</v>
      </c>
      <c r="I52" s="17">
        <f t="shared" si="26"/>
        <v>166262.54999999999</v>
      </c>
      <c r="J52" s="17">
        <f t="shared" si="6"/>
        <v>207495.66499999998</v>
      </c>
      <c r="K52" s="17"/>
      <c r="L52" s="17"/>
      <c r="M52" s="17"/>
      <c r="N52" s="17"/>
      <c r="O52" s="17"/>
      <c r="P52" s="4"/>
      <c r="Q52" s="282">
        <f t="shared" si="27"/>
        <v>0</v>
      </c>
      <c r="R52" s="281">
        <f>'ESCUELA DE SAN FRANCISCO'!O88</f>
        <v>0.96</v>
      </c>
      <c r="S52" s="282">
        <f t="shared" si="21"/>
        <v>159612.04799999998</v>
      </c>
      <c r="T52" s="281"/>
      <c r="U52" s="282">
        <f t="shared" si="22"/>
        <v>0</v>
      </c>
      <c r="V52" s="281"/>
      <c r="W52" s="282">
        <f t="shared" si="23"/>
        <v>0</v>
      </c>
      <c r="X52" s="281"/>
      <c r="Y52" s="282">
        <f t="shared" si="24"/>
        <v>0</v>
      </c>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7"/>
      <c r="BK52" s="17"/>
      <c r="BL52" s="17"/>
      <c r="BM52" s="17"/>
      <c r="BN52" s="17"/>
      <c r="BO52" s="17"/>
      <c r="BP52" s="17"/>
      <c r="BQ52" s="17"/>
      <c r="BR52" s="17"/>
      <c r="BS52" s="17"/>
    </row>
    <row r="53" spans="1:71" ht="32.4" customHeight="1">
      <c r="A53" s="444" t="s">
        <v>314</v>
      </c>
      <c r="B53" s="444"/>
      <c r="C53" s="444"/>
      <c r="D53" s="444"/>
      <c r="E53" s="444"/>
      <c r="F53" s="444"/>
      <c r="G53" s="444"/>
      <c r="H53" s="444"/>
      <c r="I53" s="17"/>
      <c r="J53" s="17">
        <f t="shared" si="6"/>
        <v>0</v>
      </c>
      <c r="K53" s="17"/>
      <c r="L53" s="17"/>
      <c r="M53" s="17"/>
      <c r="N53" s="17"/>
      <c r="O53" s="17"/>
      <c r="P53" s="276"/>
      <c r="Q53" s="276"/>
      <c r="R53" s="276"/>
      <c r="S53" s="277"/>
      <c r="T53" s="276"/>
      <c r="U53" s="277"/>
      <c r="V53" s="276"/>
      <c r="W53" s="277"/>
      <c r="X53" s="276"/>
      <c r="Y53" s="27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7"/>
      <c r="BK53" s="17"/>
      <c r="BL53" s="17"/>
      <c r="BM53" s="17"/>
      <c r="BN53" s="17"/>
      <c r="BO53" s="17"/>
      <c r="BP53" s="17"/>
      <c r="BQ53" s="17"/>
      <c r="BR53" s="17"/>
      <c r="BS53" s="17"/>
    </row>
    <row r="54" spans="1:71" ht="32.4" customHeight="1">
      <c r="A54" s="278">
        <v>12.1</v>
      </c>
      <c r="B54" s="278" t="s">
        <v>122</v>
      </c>
      <c r="C54" s="279" t="s">
        <v>123</v>
      </c>
      <c r="D54" s="4" t="s">
        <v>41</v>
      </c>
      <c r="E54" s="5">
        <v>3</v>
      </c>
      <c r="F54" s="280">
        <v>159030.31</v>
      </c>
      <c r="G54" s="23">
        <v>0.02</v>
      </c>
      <c r="H54" s="6">
        <f t="shared" ref="H54:H55" si="29">ROUND((E54*F54)+(E54*F54*G54),2)</f>
        <v>486632.75</v>
      </c>
      <c r="I54" s="17"/>
      <c r="J54" s="17">
        <f t="shared" si="6"/>
        <v>632622.57500000007</v>
      </c>
      <c r="K54" s="17"/>
      <c r="L54" s="17"/>
      <c r="M54" s="17"/>
      <c r="N54" s="17"/>
      <c r="O54" s="17"/>
      <c r="P54" s="4"/>
      <c r="Q54" s="282"/>
      <c r="R54" s="281"/>
      <c r="S54" s="282"/>
      <c r="T54" s="281"/>
      <c r="U54" s="282"/>
      <c r="V54" s="281"/>
      <c r="W54" s="282"/>
      <c r="X54" s="281"/>
      <c r="Y54" s="282"/>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7"/>
      <c r="BK54" s="17"/>
      <c r="BL54" s="17"/>
      <c r="BM54" s="17"/>
      <c r="BN54" s="17"/>
      <c r="BO54" s="17"/>
      <c r="BP54" s="17"/>
      <c r="BQ54" s="17"/>
      <c r="BR54" s="17"/>
      <c r="BS54" s="17"/>
    </row>
    <row r="55" spans="1:71" ht="32.4" customHeight="1">
      <c r="A55" s="278">
        <v>12.2</v>
      </c>
      <c r="B55" s="278" t="s">
        <v>125</v>
      </c>
      <c r="C55" s="279" t="s">
        <v>126</v>
      </c>
      <c r="D55" s="4" t="s">
        <v>41</v>
      </c>
      <c r="E55" s="5">
        <v>2</v>
      </c>
      <c r="F55" s="280">
        <v>134623.10999999999</v>
      </c>
      <c r="G55" s="23">
        <v>0.02</v>
      </c>
      <c r="H55" s="6">
        <f t="shared" si="29"/>
        <v>274631.14</v>
      </c>
      <c r="I55" s="17"/>
      <c r="J55" s="17">
        <f t="shared" si="6"/>
        <v>357020.48200000002</v>
      </c>
      <c r="K55" s="17"/>
      <c r="L55" s="17"/>
      <c r="M55" s="17"/>
      <c r="N55" s="17"/>
      <c r="O55" s="17"/>
      <c r="P55" s="4"/>
      <c r="Q55" s="282"/>
      <c r="R55" s="281"/>
      <c r="S55" s="282"/>
      <c r="T55" s="281"/>
      <c r="U55" s="282"/>
      <c r="V55" s="281"/>
      <c r="W55" s="282"/>
      <c r="X55" s="281"/>
      <c r="Y55" s="282"/>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7"/>
      <c r="BK55" s="17"/>
      <c r="BL55" s="17"/>
      <c r="BM55" s="17"/>
      <c r="BN55" s="17"/>
      <c r="BO55" s="17"/>
      <c r="BP55" s="17"/>
      <c r="BQ55" s="17"/>
      <c r="BR55" s="17"/>
      <c r="BS55" s="17"/>
    </row>
    <row r="56" spans="1:71" ht="32.4" customHeight="1">
      <c r="A56" s="444" t="s">
        <v>315</v>
      </c>
      <c r="B56" s="444"/>
      <c r="C56" s="444"/>
      <c r="D56" s="444"/>
      <c r="E56" s="444"/>
      <c r="F56" s="444"/>
      <c r="G56" s="444"/>
      <c r="H56" s="444"/>
      <c r="I56" s="17"/>
      <c r="J56" s="17">
        <f t="shared" si="6"/>
        <v>0</v>
      </c>
      <c r="K56" s="17"/>
      <c r="L56" s="17"/>
      <c r="M56" s="17"/>
      <c r="N56" s="17"/>
      <c r="O56" s="17"/>
      <c r="P56" s="276"/>
      <c r="Q56" s="276"/>
      <c r="R56" s="276"/>
      <c r="S56" s="277"/>
      <c r="T56" s="276"/>
      <c r="U56" s="277"/>
      <c r="V56" s="276"/>
      <c r="W56" s="277"/>
      <c r="X56" s="276"/>
      <c r="Y56" s="27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7"/>
      <c r="BH56" s="17"/>
      <c r="BI56" s="17"/>
      <c r="BJ56" s="17"/>
      <c r="BK56" s="17"/>
      <c r="BL56" s="17"/>
      <c r="BM56" s="17"/>
      <c r="BN56" s="17"/>
      <c r="BO56" s="17"/>
      <c r="BP56" s="17"/>
      <c r="BQ56" s="17"/>
      <c r="BR56" s="17"/>
      <c r="BS56" s="17"/>
    </row>
    <row r="57" spans="1:71" ht="32.4" customHeight="1">
      <c r="A57" s="278">
        <v>13.1</v>
      </c>
      <c r="B57" s="278" t="s">
        <v>317</v>
      </c>
      <c r="C57" s="279" t="s">
        <v>128</v>
      </c>
      <c r="D57" s="4" t="s">
        <v>10</v>
      </c>
      <c r="E57" s="5">
        <v>2</v>
      </c>
      <c r="F57" s="280">
        <v>162748.88</v>
      </c>
      <c r="G57" s="23">
        <v>0.02</v>
      </c>
      <c r="H57" s="6">
        <f t="shared" ref="H57" si="30">ROUND((E57*F57)+(E57*F57*G57),2)</f>
        <v>332007.71999999997</v>
      </c>
      <c r="I57" s="17"/>
      <c r="J57" s="17">
        <f t="shared" si="6"/>
        <v>431610.03599999996</v>
      </c>
      <c r="K57" s="17"/>
      <c r="L57" s="17"/>
      <c r="M57" s="17"/>
      <c r="N57" s="17"/>
      <c r="O57" s="17"/>
      <c r="P57" s="4"/>
      <c r="Q57" s="282"/>
      <c r="R57" s="281"/>
      <c r="S57" s="282"/>
      <c r="T57" s="281"/>
      <c r="U57" s="282"/>
      <c r="V57" s="281"/>
      <c r="W57" s="282"/>
      <c r="X57" s="281"/>
      <c r="Y57" s="282"/>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c r="BB57" s="17"/>
      <c r="BC57" s="17"/>
      <c r="BD57" s="17"/>
      <c r="BE57" s="17"/>
      <c r="BF57" s="17"/>
      <c r="BG57" s="17"/>
      <c r="BH57" s="17"/>
      <c r="BI57" s="17"/>
      <c r="BJ57" s="17"/>
      <c r="BK57" s="17"/>
      <c r="BL57" s="17"/>
      <c r="BM57" s="17"/>
      <c r="BN57" s="17"/>
      <c r="BO57" s="17"/>
      <c r="BP57" s="17"/>
      <c r="BQ57" s="17"/>
      <c r="BR57" s="17"/>
      <c r="BS57" s="17"/>
    </row>
    <row r="58" spans="1:71" ht="32.4" customHeight="1">
      <c r="A58" s="444" t="s">
        <v>316</v>
      </c>
      <c r="B58" s="444"/>
      <c r="C58" s="444"/>
      <c r="D58" s="444"/>
      <c r="E58" s="444"/>
      <c r="F58" s="444"/>
      <c r="G58" s="444"/>
      <c r="H58" s="444"/>
      <c r="I58" s="17"/>
      <c r="J58" s="17">
        <f t="shared" si="6"/>
        <v>0</v>
      </c>
      <c r="K58" s="17"/>
      <c r="L58" s="17"/>
      <c r="M58" s="17"/>
      <c r="N58" s="17"/>
      <c r="O58" s="17"/>
      <c r="P58" s="276"/>
      <c r="Q58" s="276"/>
      <c r="R58" s="276"/>
      <c r="S58" s="277"/>
      <c r="T58" s="276"/>
      <c r="U58" s="277"/>
      <c r="V58" s="276"/>
      <c r="W58" s="277"/>
      <c r="X58" s="276"/>
      <c r="Y58" s="27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17"/>
      <c r="AZ58" s="17"/>
      <c r="BA58" s="17"/>
      <c r="BB58" s="17"/>
      <c r="BC58" s="17"/>
      <c r="BD58" s="17"/>
      <c r="BE58" s="17"/>
      <c r="BF58" s="17"/>
      <c r="BG58" s="17"/>
      <c r="BH58" s="17"/>
      <c r="BI58" s="17"/>
      <c r="BJ58" s="17"/>
      <c r="BK58" s="17"/>
      <c r="BL58" s="17"/>
      <c r="BM58" s="17"/>
      <c r="BN58" s="17"/>
      <c r="BO58" s="17"/>
      <c r="BP58" s="17"/>
      <c r="BQ58" s="17"/>
      <c r="BR58" s="17"/>
      <c r="BS58" s="17"/>
    </row>
    <row r="59" spans="1:71" ht="32.4" customHeight="1">
      <c r="A59" s="278">
        <v>14.1</v>
      </c>
      <c r="B59" s="278" t="s">
        <v>318</v>
      </c>
      <c r="C59" s="279" t="s">
        <v>130</v>
      </c>
      <c r="D59" s="4" t="s">
        <v>31</v>
      </c>
      <c r="E59" s="5">
        <v>68.2</v>
      </c>
      <c r="F59" s="280">
        <v>8226.84</v>
      </c>
      <c r="G59" s="23">
        <v>0.02</v>
      </c>
      <c r="H59" s="6">
        <f t="shared" ref="H59:H60" si="31">ROUND((E59*F59)+(E59*F59*G59),2)</f>
        <v>572291.9</v>
      </c>
      <c r="I59" s="17"/>
      <c r="J59" s="17">
        <f t="shared" si="6"/>
        <v>743979.47000000009</v>
      </c>
      <c r="K59" s="17"/>
      <c r="L59" s="17"/>
      <c r="M59" s="17"/>
      <c r="N59" s="17"/>
      <c r="O59" s="17"/>
      <c r="P59" s="4"/>
      <c r="Q59" s="282"/>
      <c r="R59" s="281"/>
      <c r="S59" s="282"/>
      <c r="T59" s="281"/>
      <c r="U59" s="282"/>
      <c r="V59" s="281"/>
      <c r="W59" s="282"/>
      <c r="X59" s="281"/>
      <c r="Y59" s="282"/>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c r="BE59" s="17"/>
      <c r="BF59" s="17"/>
      <c r="BG59" s="17"/>
      <c r="BH59" s="17"/>
      <c r="BI59" s="17"/>
      <c r="BJ59" s="17"/>
      <c r="BK59" s="17"/>
      <c r="BL59" s="17"/>
      <c r="BM59" s="17"/>
      <c r="BN59" s="17"/>
      <c r="BO59" s="17"/>
      <c r="BP59" s="17"/>
      <c r="BQ59" s="17"/>
      <c r="BR59" s="17"/>
      <c r="BS59" s="17"/>
    </row>
    <row r="60" spans="1:71" ht="32.4" customHeight="1">
      <c r="A60" s="278">
        <v>14.1</v>
      </c>
      <c r="B60" s="278" t="s">
        <v>132</v>
      </c>
      <c r="C60" s="279" t="s">
        <v>133</v>
      </c>
      <c r="D60" s="4" t="s">
        <v>10</v>
      </c>
      <c r="E60" s="5">
        <v>51.97</v>
      </c>
      <c r="F60" s="280">
        <v>18767.13</v>
      </c>
      <c r="G60" s="23">
        <v>0.02</v>
      </c>
      <c r="H60" s="6">
        <f t="shared" si="31"/>
        <v>994834.3</v>
      </c>
      <c r="I60" s="17"/>
      <c r="J60" s="17">
        <f t="shared" si="6"/>
        <v>1293284.5900000001</v>
      </c>
      <c r="K60" s="17"/>
      <c r="L60" s="17"/>
      <c r="M60" s="17"/>
      <c r="N60" s="17"/>
      <c r="O60" s="17"/>
      <c r="P60" s="4"/>
      <c r="Q60" s="282"/>
      <c r="R60" s="281"/>
      <c r="S60" s="282"/>
      <c r="T60" s="281"/>
      <c r="U60" s="282"/>
      <c r="V60" s="281"/>
      <c r="W60" s="282"/>
      <c r="X60" s="281"/>
      <c r="Y60" s="282"/>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c r="BE60" s="17"/>
      <c r="BF60" s="17"/>
      <c r="BG60" s="17"/>
      <c r="BH60" s="17"/>
      <c r="BI60" s="17"/>
      <c r="BJ60" s="17"/>
      <c r="BK60" s="17"/>
      <c r="BL60" s="17"/>
      <c r="BM60" s="17"/>
      <c r="BN60" s="17"/>
      <c r="BO60" s="17"/>
      <c r="BP60" s="17"/>
      <c r="BQ60" s="17"/>
      <c r="BR60" s="17"/>
      <c r="BS60" s="17"/>
    </row>
    <row r="61" spans="1:71" ht="32.4" customHeight="1">
      <c r="A61" s="444" t="s">
        <v>319</v>
      </c>
      <c r="B61" s="444"/>
      <c r="C61" s="444"/>
      <c r="D61" s="444"/>
      <c r="E61" s="444"/>
      <c r="F61" s="444"/>
      <c r="G61" s="444"/>
      <c r="H61" s="444"/>
      <c r="I61" s="17"/>
      <c r="J61" s="17">
        <f t="shared" si="6"/>
        <v>0</v>
      </c>
      <c r="K61" s="17"/>
      <c r="L61" s="17"/>
      <c r="M61" s="17"/>
      <c r="N61" s="17"/>
      <c r="O61" s="17"/>
      <c r="P61" s="276"/>
      <c r="Q61" s="276"/>
      <c r="R61" s="276"/>
      <c r="S61" s="277"/>
      <c r="T61" s="276"/>
      <c r="U61" s="277"/>
      <c r="V61" s="276"/>
      <c r="W61" s="277"/>
      <c r="X61" s="276"/>
      <c r="Y61" s="27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BF61" s="17"/>
      <c r="BG61" s="17"/>
      <c r="BH61" s="17"/>
      <c r="BI61" s="17"/>
      <c r="BJ61" s="17"/>
      <c r="BK61" s="17"/>
      <c r="BL61" s="17"/>
      <c r="BM61" s="17"/>
      <c r="BN61" s="17"/>
      <c r="BO61" s="17"/>
      <c r="BP61" s="17"/>
      <c r="BQ61" s="17"/>
      <c r="BR61" s="17"/>
      <c r="BS61" s="17"/>
    </row>
    <row r="62" spans="1:71" ht="32.4" customHeight="1">
      <c r="A62" s="278">
        <v>15.1</v>
      </c>
      <c r="B62" s="278" t="s">
        <v>320</v>
      </c>
      <c r="C62" s="279" t="s">
        <v>139</v>
      </c>
      <c r="D62" s="4" t="s">
        <v>31</v>
      </c>
      <c r="E62" s="5">
        <v>2</v>
      </c>
      <c r="F62" s="280">
        <v>13462.83</v>
      </c>
      <c r="G62" s="23">
        <v>0.02</v>
      </c>
      <c r="H62" s="6">
        <f t="shared" ref="H62" si="32">ROUND((E62*F62)+(E62*F62*G62),2)</f>
        <v>27464.17</v>
      </c>
      <c r="I62" s="17"/>
      <c r="J62" s="17">
        <f t="shared" si="6"/>
        <v>35703.421000000002</v>
      </c>
      <c r="K62" s="17"/>
      <c r="L62" s="17"/>
      <c r="M62" s="17"/>
      <c r="N62" s="17"/>
      <c r="O62" s="17"/>
      <c r="P62" s="4"/>
      <c r="Q62" s="282"/>
      <c r="R62" s="281"/>
      <c r="S62" s="282"/>
      <c r="T62" s="281"/>
      <c r="U62" s="282"/>
      <c r="V62" s="281"/>
      <c r="W62" s="282"/>
      <c r="X62" s="281"/>
      <c r="Y62" s="282"/>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7"/>
      <c r="BK62" s="17"/>
      <c r="BL62" s="17"/>
      <c r="BM62" s="17"/>
      <c r="BN62" s="17"/>
      <c r="BO62" s="17"/>
      <c r="BP62" s="17"/>
      <c r="BQ62" s="17"/>
      <c r="BR62" s="17"/>
      <c r="BS62" s="17"/>
    </row>
    <row r="63" spans="1:71" ht="20.100000000000001" customHeight="1">
      <c r="A63" s="440" t="s">
        <v>140</v>
      </c>
      <c r="B63" s="440"/>
      <c r="C63" s="440"/>
      <c r="D63" s="440"/>
      <c r="E63" s="440"/>
      <c r="F63" s="440"/>
      <c r="G63" s="25"/>
      <c r="H63" s="26">
        <f>ROUND(SUM(H4:H62),2)</f>
        <v>53895526.149999999</v>
      </c>
      <c r="I63" s="27"/>
      <c r="J63" s="28"/>
      <c r="K63" s="295"/>
      <c r="L63" s="29"/>
      <c r="M63" s="29"/>
      <c r="N63" s="29"/>
      <c r="O63" s="29"/>
      <c r="P63" s="38"/>
      <c r="Q63" s="38">
        <v>2</v>
      </c>
      <c r="R63" s="38"/>
      <c r="S63" s="38">
        <v>2</v>
      </c>
      <c r="T63" s="38"/>
      <c r="U63" s="38">
        <v>2</v>
      </c>
      <c r="V63" s="38"/>
      <c r="W63" s="38">
        <v>2</v>
      </c>
      <c r="X63" s="38"/>
      <c r="Y63" s="38">
        <v>2</v>
      </c>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row>
    <row r="64" spans="1:71" ht="20.100000000000001" customHeight="1">
      <c r="A64" s="440" t="s">
        <v>141</v>
      </c>
      <c r="B64" s="440"/>
      <c r="C64" s="440"/>
      <c r="D64" s="440"/>
      <c r="E64" s="440"/>
      <c r="F64" s="440"/>
      <c r="G64" s="30">
        <v>0.24</v>
      </c>
      <c r="H64" s="31">
        <f>$H$63*G64</f>
        <v>12934926.275999999</v>
      </c>
      <c r="I64" s="32"/>
      <c r="J64" s="33"/>
      <c r="BM64" s="29"/>
    </row>
    <row r="65" spans="1:65" ht="20.100000000000001" customHeight="1">
      <c r="A65" s="440" t="s">
        <v>142</v>
      </c>
      <c r="B65" s="440"/>
      <c r="C65" s="440"/>
      <c r="D65" s="440"/>
      <c r="E65" s="440"/>
      <c r="F65" s="440"/>
      <c r="G65" s="30">
        <v>0.01</v>
      </c>
      <c r="H65" s="31">
        <f>$H$63*G65</f>
        <v>538955.26150000002</v>
      </c>
      <c r="I65" s="32"/>
      <c r="J65" s="33"/>
      <c r="Q65" s="29" t="e">
        <f>#REF!-#REF!</f>
        <v>#REF!</v>
      </c>
      <c r="S65" s="29" t="e">
        <f>#REF!-#REF!</f>
        <v>#REF!</v>
      </c>
      <c r="U65" s="29" t="e">
        <f>#REF!-#REF!</f>
        <v>#REF!</v>
      </c>
      <c r="W65" s="29" t="e">
        <f>#REF!-#REF!</f>
        <v>#REF!</v>
      </c>
      <c r="Y65" s="29" t="e">
        <f>#REF!-#REF!</f>
        <v>#REF!</v>
      </c>
      <c r="BM65" s="29"/>
    </row>
    <row r="66" spans="1:65" ht="20.100000000000001" customHeight="1">
      <c r="A66" s="440" t="s">
        <v>143</v>
      </c>
      <c r="B66" s="440"/>
      <c r="C66" s="440"/>
      <c r="D66" s="440"/>
      <c r="E66" s="440"/>
      <c r="F66" s="440"/>
      <c r="G66" s="30">
        <v>0.05</v>
      </c>
      <c r="H66" s="31">
        <f>$H$63*G66</f>
        <v>2694776.3075000001</v>
      </c>
      <c r="I66" s="32"/>
      <c r="J66" s="33"/>
      <c r="BK66" s="29"/>
      <c r="BM66" s="29"/>
    </row>
    <row r="67" spans="1:65" ht="20.100000000000001" customHeight="1">
      <c r="A67" s="440" t="s">
        <v>144</v>
      </c>
      <c r="B67" s="440"/>
      <c r="C67" s="440"/>
      <c r="D67" s="440"/>
      <c r="E67" s="440"/>
      <c r="F67" s="440"/>
      <c r="G67" s="25"/>
      <c r="H67" s="34">
        <f>ROUND(SUM(H63:H66),2)</f>
        <v>70064184</v>
      </c>
      <c r="I67" s="35"/>
      <c r="J67" s="36"/>
      <c r="K67" s="29"/>
      <c r="L67" s="29"/>
      <c r="M67" s="29"/>
      <c r="N67" s="29"/>
      <c r="O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37"/>
      <c r="BL67" s="29"/>
    </row>
    <row r="68" spans="1:65" s="38" customFormat="1">
      <c r="B68" s="39"/>
      <c r="C68" s="40"/>
      <c r="D68" s="41"/>
      <c r="E68" s="41"/>
      <c r="F68" s="42"/>
      <c r="G68" s="42"/>
      <c r="H68" s="42"/>
      <c r="I68" s="24"/>
      <c r="J68" s="42"/>
      <c r="P68"/>
      <c r="Q68"/>
      <c r="R68"/>
      <c r="S68"/>
      <c r="T68"/>
      <c r="U68"/>
      <c r="V68"/>
      <c r="W68"/>
      <c r="X68"/>
      <c r="Y68"/>
    </row>
    <row r="69" spans="1:65" ht="17.25" customHeight="1">
      <c r="A69" s="442"/>
      <c r="B69" s="442"/>
      <c r="C69" s="43"/>
      <c r="D69" s="44"/>
      <c r="E69" s="52"/>
      <c r="F69" s="52"/>
      <c r="G69" s="52"/>
      <c r="H69" s="52"/>
      <c r="I69" s="52"/>
      <c r="J69" s="52"/>
    </row>
    <row r="70" spans="1:65" ht="17.25" customHeight="1">
      <c r="A70" s="443"/>
      <c r="B70" s="443"/>
      <c r="C70" s="43"/>
      <c r="D70" s="44"/>
      <c r="E70" s="52"/>
      <c r="F70" s="52"/>
      <c r="G70" s="52"/>
      <c r="H70" s="52"/>
      <c r="I70" s="52"/>
      <c r="J70" s="52"/>
    </row>
    <row r="71" spans="1:65" ht="34.5" customHeight="1">
      <c r="A71" s="442"/>
      <c r="B71" s="442"/>
      <c r="C71" s="46"/>
      <c r="D71" s="44"/>
      <c r="E71" s="52"/>
      <c r="F71" s="52"/>
      <c r="G71" s="52"/>
      <c r="H71" s="52"/>
      <c r="I71" s="52"/>
      <c r="J71" s="52"/>
    </row>
    <row r="72" spans="1:65" ht="17.25" customHeight="1">
      <c r="A72" s="442"/>
      <c r="B72" s="442"/>
      <c r="C72" s="43"/>
      <c r="D72" s="44"/>
      <c r="E72" s="52"/>
      <c r="F72" s="52"/>
      <c r="G72" s="52"/>
      <c r="H72" s="52"/>
      <c r="I72" s="52"/>
      <c r="J72" s="52"/>
      <c r="K72" s="52"/>
      <c r="L72" s="52"/>
      <c r="M72" s="52"/>
      <c r="N72" s="45"/>
    </row>
    <row r="73" spans="1:65" ht="20.399999999999999" customHeight="1">
      <c r="A73" s="441"/>
      <c r="B73" s="441"/>
      <c r="C73" s="53"/>
      <c r="D73" s="53"/>
      <c r="E73" s="53"/>
      <c r="F73" s="53"/>
      <c r="G73" s="53"/>
      <c r="H73" s="53"/>
      <c r="I73" s="53"/>
      <c r="J73" s="53"/>
      <c r="K73" s="53"/>
      <c r="L73" s="53"/>
      <c r="M73" s="53"/>
      <c r="N73" s="45"/>
    </row>
    <row r="74" spans="1:65" ht="20.399999999999999" customHeight="1">
      <c r="A74" s="44"/>
      <c r="B74" s="44"/>
      <c r="C74" s="47"/>
      <c r="D74" s="44"/>
      <c r="E74" s="45"/>
      <c r="F74" s="45"/>
      <c r="G74" s="45"/>
      <c r="H74" s="45"/>
      <c r="I74" s="48"/>
      <c r="J74" s="45"/>
      <c r="K74" s="45"/>
      <c r="L74" s="45"/>
      <c r="M74" s="45"/>
      <c r="N74" s="45"/>
    </row>
    <row r="82" spans="8:14">
      <c r="H82" s="51"/>
      <c r="J82" s="51"/>
      <c r="K82" s="51"/>
      <c r="L82" s="51"/>
      <c r="M82" s="51"/>
      <c r="N82" s="51"/>
    </row>
    <row r="83" spans="8:14">
      <c r="H83" s="51"/>
      <c r="J83" s="51"/>
      <c r="K83" s="51"/>
      <c r="L83" s="51"/>
      <c r="M83" s="51"/>
      <c r="N83" s="51"/>
    </row>
    <row r="84" spans="8:14">
      <c r="H84" s="51"/>
      <c r="J84" s="51"/>
      <c r="K84" s="51"/>
      <c r="L84" s="51"/>
      <c r="M84" s="51"/>
      <c r="N84" s="51"/>
    </row>
    <row r="1047336" spans="5:5">
      <c r="E1047336" s="5"/>
    </row>
  </sheetData>
  <mergeCells count="31">
    <mergeCell ref="P1:Q1"/>
    <mergeCell ref="R1:S1"/>
    <mergeCell ref="T1:U1"/>
    <mergeCell ref="V1:W1"/>
    <mergeCell ref="X1:Y1"/>
    <mergeCell ref="A1:H1"/>
    <mergeCell ref="A61:H61"/>
    <mergeCell ref="A58:H58"/>
    <mergeCell ref="A56:H56"/>
    <mergeCell ref="A53:H53"/>
    <mergeCell ref="A46:H46"/>
    <mergeCell ref="A40:H40"/>
    <mergeCell ref="A35:H35"/>
    <mergeCell ref="A10:H10"/>
    <mergeCell ref="A6:H6"/>
    <mergeCell ref="A3:H3"/>
    <mergeCell ref="A33:H33"/>
    <mergeCell ref="A29:H29"/>
    <mergeCell ref="A25:H25"/>
    <mergeCell ref="A18:H18"/>
    <mergeCell ref="A12:H12"/>
    <mergeCell ref="A63:F63"/>
    <mergeCell ref="A64:F64"/>
    <mergeCell ref="A73:B73"/>
    <mergeCell ref="A65:F65"/>
    <mergeCell ref="A66:F66"/>
    <mergeCell ref="A67:F67"/>
    <mergeCell ref="A69:B69"/>
    <mergeCell ref="A70:B70"/>
    <mergeCell ref="A71:B71"/>
    <mergeCell ref="A72:B72"/>
  </mergeCells>
  <pageMargins left="0.7" right="0.7" top="0.75" bottom="0.75" header="0.3" footer="0.3"/>
  <pageSetup paperSize="9" scale="4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93"/>
  <sheetViews>
    <sheetView workbookViewId="0">
      <selection activeCell="C24" sqref="C24:G24"/>
    </sheetView>
  </sheetViews>
  <sheetFormatPr baseColWidth="10" defaultColWidth="11.44140625" defaultRowHeight="13.8"/>
  <cols>
    <col min="1" max="2" width="3.44140625" style="115" customWidth="1"/>
    <col min="3" max="3" width="12.44140625" style="115" customWidth="1"/>
    <col min="4" max="4" width="18" style="115" customWidth="1"/>
    <col min="5" max="9" width="11.44140625" style="115"/>
    <col min="10" max="10" width="16" style="115" customWidth="1"/>
    <col min="11" max="11" width="15" style="115" customWidth="1"/>
    <col min="12" max="12" width="17.44140625" style="115" customWidth="1"/>
    <col min="13" max="14" width="11.44140625" style="115"/>
    <col min="15" max="15" width="20" style="115" customWidth="1"/>
    <col min="16" max="16" width="3.44140625" style="115" customWidth="1"/>
    <col min="17" max="16384" width="11.44140625" style="115"/>
  </cols>
  <sheetData>
    <row r="1" spans="2:16" ht="14.4" thickBot="1"/>
    <row r="2" spans="2:16" ht="15" thickTop="1" thickBot="1">
      <c r="B2" s="116"/>
      <c r="C2" s="117"/>
      <c r="D2" s="117"/>
      <c r="E2" s="117"/>
      <c r="F2" s="117"/>
      <c r="G2" s="117"/>
      <c r="H2" s="117"/>
      <c r="I2" s="117"/>
      <c r="J2" s="117"/>
      <c r="K2" s="117"/>
      <c r="L2" s="117"/>
      <c r="M2" s="117"/>
      <c r="N2" s="117"/>
      <c r="O2" s="117"/>
      <c r="P2" s="118"/>
    </row>
    <row r="3" spans="2:16">
      <c r="B3" s="119"/>
      <c r="C3" s="502"/>
      <c r="D3" s="451"/>
      <c r="E3" s="452"/>
      <c r="F3" s="452"/>
      <c r="G3" s="452"/>
      <c r="H3" s="452"/>
      <c r="I3" s="452"/>
      <c r="J3" s="452"/>
      <c r="K3" s="453"/>
      <c r="L3" s="454"/>
      <c r="M3" s="455"/>
      <c r="N3" s="455"/>
      <c r="O3" s="456"/>
      <c r="P3" s="120"/>
    </row>
    <row r="4" spans="2:16">
      <c r="B4" s="119"/>
      <c r="C4" s="503"/>
      <c r="D4" s="460" t="s">
        <v>178</v>
      </c>
      <c r="E4" s="461"/>
      <c r="F4" s="461"/>
      <c r="G4" s="461"/>
      <c r="H4" s="461"/>
      <c r="I4" s="461"/>
      <c r="J4" s="461"/>
      <c r="K4" s="462"/>
      <c r="L4" s="457"/>
      <c r="M4" s="458"/>
      <c r="N4" s="458"/>
      <c r="O4" s="459"/>
      <c r="P4" s="120"/>
    </row>
    <row r="5" spans="2:16">
      <c r="B5" s="119"/>
      <c r="C5" s="503"/>
      <c r="D5" s="460"/>
      <c r="E5" s="461"/>
      <c r="F5" s="461"/>
      <c r="G5" s="461"/>
      <c r="H5" s="461"/>
      <c r="I5" s="461"/>
      <c r="J5" s="461"/>
      <c r="K5" s="462"/>
      <c r="L5" s="449" t="s">
        <v>179</v>
      </c>
      <c r="M5" s="464">
        <v>1</v>
      </c>
      <c r="N5" s="465"/>
      <c r="O5" s="466"/>
      <c r="P5" s="120"/>
    </row>
    <row r="6" spans="2:16">
      <c r="B6" s="119"/>
      <c r="C6" s="503"/>
      <c r="D6" s="460" t="s">
        <v>87</v>
      </c>
      <c r="E6" s="461"/>
      <c r="F6" s="461"/>
      <c r="G6" s="461"/>
      <c r="H6" s="461"/>
      <c r="I6" s="461"/>
      <c r="J6" s="461"/>
      <c r="K6" s="462"/>
      <c r="L6" s="463"/>
      <c r="M6" s="467"/>
      <c r="N6" s="468"/>
      <c r="O6" s="469"/>
      <c r="P6" s="121"/>
    </row>
    <row r="7" spans="2:16" ht="12.75" customHeight="1">
      <c r="B7" s="119"/>
      <c r="C7" s="503"/>
      <c r="D7" s="446"/>
      <c r="E7" s="447"/>
      <c r="F7" s="447"/>
      <c r="G7" s="447"/>
      <c r="H7" s="447"/>
      <c r="I7" s="447"/>
      <c r="J7" s="447"/>
      <c r="K7" s="448"/>
      <c r="L7" s="449" t="s">
        <v>180</v>
      </c>
      <c r="M7" s="449">
        <v>1</v>
      </c>
      <c r="N7" s="449" t="s">
        <v>181</v>
      </c>
      <c r="O7" s="495">
        <v>1</v>
      </c>
      <c r="P7" s="120"/>
    </row>
    <row r="8" spans="2:16">
      <c r="B8" s="119"/>
      <c r="C8" s="503"/>
      <c r="D8" s="446"/>
      <c r="E8" s="447"/>
      <c r="F8" s="447"/>
      <c r="G8" s="447"/>
      <c r="H8" s="447"/>
      <c r="I8" s="447"/>
      <c r="J8" s="447"/>
      <c r="K8" s="448"/>
      <c r="L8" s="450"/>
      <c r="M8" s="450"/>
      <c r="N8" s="450"/>
      <c r="O8" s="496"/>
      <c r="P8" s="120"/>
    </row>
    <row r="9" spans="2:16">
      <c r="B9" s="119"/>
      <c r="C9" s="503"/>
      <c r="D9" s="460" t="s">
        <v>182</v>
      </c>
      <c r="E9" s="461"/>
      <c r="F9" s="461"/>
      <c r="G9" s="461"/>
      <c r="H9" s="461"/>
      <c r="I9" s="461"/>
      <c r="J9" s="461"/>
      <c r="K9" s="462"/>
      <c r="L9" s="450"/>
      <c r="M9" s="450"/>
      <c r="N9" s="450"/>
      <c r="O9" s="496"/>
      <c r="P9" s="120"/>
    </row>
    <row r="10" spans="2:16" ht="14.4" thickBot="1">
      <c r="B10" s="119"/>
      <c r="C10" s="122"/>
      <c r="D10" s="123"/>
      <c r="E10" s="123"/>
      <c r="F10" s="123"/>
      <c r="G10" s="123"/>
      <c r="H10" s="123"/>
      <c r="I10" s="123"/>
      <c r="J10" s="123"/>
      <c r="K10" s="123"/>
      <c r="L10" s="123"/>
      <c r="M10" s="124"/>
      <c r="N10" s="124"/>
      <c r="O10" s="125"/>
      <c r="P10" s="126"/>
    </row>
    <row r="11" spans="2:16">
      <c r="B11" s="119"/>
      <c r="C11" s="127"/>
      <c r="D11" s="128"/>
      <c r="E11" s="128"/>
      <c r="F11" s="128"/>
      <c r="G11" s="128"/>
      <c r="H11" s="128"/>
      <c r="I11" s="128"/>
      <c r="J11" s="128"/>
      <c r="K11" s="128"/>
      <c r="L11" s="129" t="s">
        <v>150</v>
      </c>
      <c r="M11" s="130" t="s">
        <v>183</v>
      </c>
      <c r="N11" s="130" t="s">
        <v>184</v>
      </c>
      <c r="O11" s="131" t="s">
        <v>185</v>
      </c>
      <c r="P11" s="121"/>
    </row>
    <row r="12" spans="2:16">
      <c r="B12" s="119"/>
      <c r="C12" s="132"/>
      <c r="D12" s="133"/>
      <c r="E12" s="133"/>
      <c r="F12" s="133"/>
      <c r="G12" s="133"/>
      <c r="H12" s="133"/>
      <c r="I12" s="133"/>
      <c r="J12" s="133"/>
      <c r="K12" s="133"/>
      <c r="L12" s="134"/>
      <c r="M12" s="135"/>
      <c r="N12" s="135"/>
      <c r="O12" s="136"/>
      <c r="P12" s="137"/>
    </row>
    <row r="13" spans="2:16" ht="18" customHeight="1">
      <c r="B13" s="119"/>
      <c r="C13" s="497" t="s">
        <v>186</v>
      </c>
      <c r="D13" s="498"/>
      <c r="E13" s="498"/>
      <c r="F13" s="498"/>
      <c r="G13" s="133"/>
      <c r="H13" s="133"/>
      <c r="I13" s="133" t="s">
        <v>187</v>
      </c>
      <c r="J13" s="138"/>
      <c r="K13" s="133" t="s">
        <v>188</v>
      </c>
      <c r="L13" s="134"/>
      <c r="M13" s="138"/>
      <c r="N13" s="138"/>
      <c r="O13" s="139"/>
      <c r="P13" s="137"/>
    </row>
    <row r="14" spans="2:16">
      <c r="B14" s="119"/>
      <c r="C14" s="140"/>
      <c r="D14" s="141"/>
      <c r="E14" s="141"/>
      <c r="F14" s="141"/>
      <c r="G14" s="141"/>
      <c r="H14" s="141"/>
      <c r="I14" s="141"/>
      <c r="J14" s="141"/>
      <c r="K14" s="141"/>
      <c r="L14" s="141"/>
      <c r="M14" s="141"/>
      <c r="N14" s="141"/>
      <c r="O14" s="142"/>
      <c r="P14" s="121"/>
    </row>
    <row r="15" spans="2:16" ht="14.4" thickBot="1">
      <c r="B15" s="119"/>
      <c r="C15" s="143"/>
      <c r="D15" s="144"/>
      <c r="E15" s="144"/>
      <c r="F15" s="144"/>
      <c r="G15" s="144"/>
      <c r="H15" s="144"/>
      <c r="I15" s="144"/>
      <c r="J15" s="144"/>
      <c r="K15" s="144"/>
      <c r="L15" s="144"/>
      <c r="M15" s="144"/>
      <c r="N15" s="144"/>
      <c r="O15" s="145"/>
      <c r="P15" s="146"/>
    </row>
    <row r="16" spans="2:16" ht="14.4" thickBot="1">
      <c r="B16" s="119"/>
      <c r="C16" s="147"/>
      <c r="D16" s="148"/>
      <c r="E16" s="148"/>
      <c r="F16" s="148"/>
      <c r="G16" s="148"/>
      <c r="H16" s="148"/>
      <c r="I16" s="138"/>
      <c r="J16" s="138"/>
      <c r="K16" s="148"/>
      <c r="L16" s="148"/>
      <c r="M16" s="148"/>
      <c r="N16" s="148"/>
      <c r="O16" s="149"/>
      <c r="P16" s="146"/>
    </row>
    <row r="17" spans="2:16">
      <c r="B17" s="119"/>
      <c r="C17" s="499" t="s">
        <v>189</v>
      </c>
      <c r="D17" s="500"/>
      <c r="E17" s="500"/>
      <c r="F17" s="500"/>
      <c r="G17" s="500"/>
      <c r="H17" s="500"/>
      <c r="I17" s="500"/>
      <c r="J17" s="500"/>
      <c r="K17" s="500"/>
      <c r="L17" s="500"/>
      <c r="M17" s="500"/>
      <c r="N17" s="500"/>
      <c r="O17" s="501"/>
      <c r="P17" s="150"/>
    </row>
    <row r="18" spans="2:16" ht="14.4" thickBot="1">
      <c r="B18" s="119"/>
      <c r="C18" s="151"/>
      <c r="D18" s="138"/>
      <c r="E18" s="138"/>
      <c r="F18" s="138"/>
      <c r="G18" s="138"/>
      <c r="H18" s="138"/>
      <c r="I18" s="138"/>
      <c r="J18" s="138"/>
      <c r="K18" s="138"/>
      <c r="L18" s="138"/>
      <c r="M18" s="138"/>
      <c r="N18" s="138"/>
      <c r="O18" s="152"/>
      <c r="P18" s="146"/>
    </row>
    <row r="19" spans="2:16">
      <c r="B19" s="119"/>
      <c r="C19" s="153" t="s">
        <v>190</v>
      </c>
      <c r="D19" s="477" t="s">
        <v>155</v>
      </c>
      <c r="E19" s="478"/>
      <c r="F19" s="478"/>
      <c r="G19" s="478"/>
      <c r="H19" s="478"/>
      <c r="I19" s="478"/>
      <c r="J19" s="478"/>
      <c r="K19" s="478"/>
      <c r="L19" s="479"/>
      <c r="M19" s="470" t="s">
        <v>3</v>
      </c>
      <c r="N19" s="480"/>
      <c r="O19" s="153" t="s">
        <v>191</v>
      </c>
      <c r="P19" s="154"/>
    </row>
    <row r="20" spans="2:16" ht="58.5" customHeight="1" thickBot="1">
      <c r="B20" s="119"/>
      <c r="C20" s="155" t="s">
        <v>121</v>
      </c>
      <c r="D20" s="481" t="s">
        <v>123</v>
      </c>
      <c r="E20" s="482"/>
      <c r="F20" s="482"/>
      <c r="G20" s="482"/>
      <c r="H20" s="482"/>
      <c r="I20" s="482"/>
      <c r="J20" s="482"/>
      <c r="K20" s="482"/>
      <c r="L20" s="483"/>
      <c r="M20" s="484" t="s">
        <v>173</v>
      </c>
      <c r="N20" s="485"/>
      <c r="O20" s="156"/>
      <c r="P20" s="157"/>
    </row>
    <row r="21" spans="2:16">
      <c r="B21" s="119"/>
      <c r="C21" s="486" t="s">
        <v>192</v>
      </c>
      <c r="D21" s="487"/>
      <c r="E21" s="487"/>
      <c r="F21" s="487"/>
      <c r="G21" s="487"/>
      <c r="H21" s="487"/>
      <c r="I21" s="487"/>
      <c r="J21" s="487"/>
      <c r="K21" s="487"/>
      <c r="L21" s="487"/>
      <c r="M21" s="487"/>
      <c r="N21" s="487"/>
      <c r="O21" s="488"/>
      <c r="P21" s="158"/>
    </row>
    <row r="22" spans="2:16">
      <c r="B22" s="119"/>
      <c r="C22" s="489"/>
      <c r="D22" s="490"/>
      <c r="E22" s="490"/>
      <c r="F22" s="490"/>
      <c r="G22" s="490"/>
      <c r="H22" s="490"/>
      <c r="I22" s="490"/>
      <c r="J22" s="490"/>
      <c r="K22" s="490"/>
      <c r="L22" s="490"/>
      <c r="M22" s="490"/>
      <c r="N22" s="490"/>
      <c r="O22" s="491"/>
      <c r="P22" s="158"/>
    </row>
    <row r="23" spans="2:16" ht="14.4" thickBot="1">
      <c r="B23" s="119"/>
      <c r="C23" s="492"/>
      <c r="D23" s="493"/>
      <c r="E23" s="493"/>
      <c r="F23" s="493"/>
      <c r="G23" s="493"/>
      <c r="H23" s="493"/>
      <c r="I23" s="493"/>
      <c r="J23" s="493"/>
      <c r="K23" s="493"/>
      <c r="L23" s="493"/>
      <c r="M23" s="493"/>
      <c r="N23" s="493"/>
      <c r="O23" s="494"/>
      <c r="P23" s="158"/>
    </row>
    <row r="24" spans="2:16">
      <c r="B24" s="119"/>
      <c r="C24" s="470" t="s">
        <v>155</v>
      </c>
      <c r="D24" s="471"/>
      <c r="E24" s="471"/>
      <c r="F24" s="471"/>
      <c r="G24" s="472"/>
      <c r="H24" s="473" t="s">
        <v>193</v>
      </c>
      <c r="I24" s="471"/>
      <c r="J24" s="474" t="s">
        <v>162</v>
      </c>
      <c r="K24" s="475"/>
      <c r="L24" s="159" t="s">
        <v>194</v>
      </c>
      <c r="M24" s="473" t="s">
        <v>195</v>
      </c>
      <c r="N24" s="476"/>
      <c r="O24" s="160" t="s">
        <v>196</v>
      </c>
      <c r="P24" s="154"/>
    </row>
    <row r="25" spans="2:16" ht="23.25" customHeight="1">
      <c r="B25" s="119"/>
      <c r="C25" s="504" t="s">
        <v>197</v>
      </c>
      <c r="D25" s="505"/>
      <c r="E25" s="505"/>
      <c r="F25" s="505"/>
      <c r="G25" s="506"/>
      <c r="H25" s="507" t="s">
        <v>89</v>
      </c>
      <c r="I25" s="506"/>
      <c r="J25" s="508" t="s">
        <v>89</v>
      </c>
      <c r="K25" s="509"/>
      <c r="L25" s="161">
        <f>+O56</f>
        <v>56111.407999999996</v>
      </c>
      <c r="M25" s="510">
        <v>0.05</v>
      </c>
      <c r="N25" s="511"/>
      <c r="O25" s="162">
        <f>ROUND(L25*M25,2)</f>
        <v>2805.57</v>
      </c>
      <c r="P25" s="163"/>
    </row>
    <row r="26" spans="2:16" s="164" customFormat="1" ht="23.25" customHeight="1">
      <c r="B26" s="119"/>
      <c r="C26" s="504"/>
      <c r="D26" s="505"/>
      <c r="E26" s="505"/>
      <c r="F26" s="505"/>
      <c r="G26" s="506"/>
      <c r="H26" s="507"/>
      <c r="I26" s="506"/>
      <c r="J26" s="508"/>
      <c r="K26" s="509"/>
      <c r="L26" s="161"/>
      <c r="M26" s="510"/>
      <c r="N26" s="511"/>
      <c r="O26" s="162">
        <f>ROUND(L26*M26,2)</f>
        <v>0</v>
      </c>
      <c r="P26" s="163"/>
    </row>
    <row r="27" spans="2:16" s="164" customFormat="1">
      <c r="B27" s="119"/>
      <c r="C27" s="504"/>
      <c r="D27" s="505"/>
      <c r="E27" s="505"/>
      <c r="F27" s="505"/>
      <c r="G27" s="506"/>
      <c r="H27" s="508"/>
      <c r="I27" s="509"/>
      <c r="J27" s="508"/>
      <c r="K27" s="509"/>
      <c r="L27" s="161"/>
      <c r="M27" s="512"/>
      <c r="N27" s="511"/>
      <c r="O27" s="162"/>
      <c r="P27" s="163"/>
    </row>
    <row r="28" spans="2:16" s="164" customFormat="1" ht="14.4" thickBot="1">
      <c r="B28" s="119"/>
      <c r="C28" s="513"/>
      <c r="D28" s="514"/>
      <c r="E28" s="514"/>
      <c r="F28" s="514"/>
      <c r="G28" s="515"/>
      <c r="H28" s="516"/>
      <c r="I28" s="517"/>
      <c r="J28" s="516"/>
      <c r="K28" s="517"/>
      <c r="L28" s="165"/>
      <c r="M28" s="518"/>
      <c r="N28" s="519"/>
      <c r="O28" s="162"/>
      <c r="P28" s="163"/>
    </row>
    <row r="29" spans="2:16" s="164" customFormat="1" ht="14.4" thickBot="1">
      <c r="B29" s="119"/>
      <c r="C29" s="520" t="s">
        <v>198</v>
      </c>
      <c r="D29" s="521"/>
      <c r="E29" s="521"/>
      <c r="F29" s="521"/>
      <c r="G29" s="521"/>
      <c r="H29" s="521"/>
      <c r="I29" s="521"/>
      <c r="J29" s="521"/>
      <c r="K29" s="521"/>
      <c r="L29" s="521"/>
      <c r="M29" s="521"/>
      <c r="N29" s="522"/>
      <c r="O29" s="166">
        <f>+SUM(O25:O28)</f>
        <v>2805.57</v>
      </c>
      <c r="P29" s="167"/>
    </row>
    <row r="30" spans="2:16" s="164" customFormat="1" ht="13.5" customHeight="1">
      <c r="B30" s="119"/>
      <c r="C30" s="486" t="s">
        <v>199</v>
      </c>
      <c r="D30" s="487"/>
      <c r="E30" s="487"/>
      <c r="F30" s="487"/>
      <c r="G30" s="487"/>
      <c r="H30" s="487"/>
      <c r="I30" s="487"/>
      <c r="J30" s="487"/>
      <c r="K30" s="487"/>
      <c r="L30" s="487"/>
      <c r="M30" s="487"/>
      <c r="N30" s="487"/>
      <c r="O30" s="488"/>
      <c r="P30" s="158"/>
    </row>
    <row r="31" spans="2:16" s="164" customFormat="1">
      <c r="B31" s="119"/>
      <c r="C31" s="489"/>
      <c r="D31" s="490"/>
      <c r="E31" s="490"/>
      <c r="F31" s="490"/>
      <c r="G31" s="490"/>
      <c r="H31" s="490"/>
      <c r="I31" s="490"/>
      <c r="J31" s="490"/>
      <c r="K31" s="490"/>
      <c r="L31" s="490"/>
      <c r="M31" s="490"/>
      <c r="N31" s="490"/>
      <c r="O31" s="491"/>
      <c r="P31" s="158"/>
    </row>
    <row r="32" spans="2:16" s="164" customFormat="1" ht="14.4" thickBot="1">
      <c r="B32" s="119"/>
      <c r="C32" s="492"/>
      <c r="D32" s="493"/>
      <c r="E32" s="493"/>
      <c r="F32" s="493"/>
      <c r="G32" s="493"/>
      <c r="H32" s="493"/>
      <c r="I32" s="493"/>
      <c r="J32" s="493"/>
      <c r="K32" s="493"/>
      <c r="L32" s="493"/>
      <c r="M32" s="493"/>
      <c r="N32" s="493"/>
      <c r="O32" s="494"/>
      <c r="P32" s="158"/>
    </row>
    <row r="33" spans="2:16" s="164" customFormat="1">
      <c r="B33" s="119"/>
      <c r="C33" s="470" t="s">
        <v>155</v>
      </c>
      <c r="D33" s="523"/>
      <c r="E33" s="523"/>
      <c r="F33" s="523"/>
      <c r="G33" s="523"/>
      <c r="H33" s="523"/>
      <c r="I33" s="523"/>
      <c r="J33" s="476"/>
      <c r="K33" s="168" t="s">
        <v>3</v>
      </c>
      <c r="L33" s="159" t="s">
        <v>191</v>
      </c>
      <c r="M33" s="473" t="s">
        <v>200</v>
      </c>
      <c r="N33" s="476"/>
      <c r="O33" s="160" t="s">
        <v>196</v>
      </c>
      <c r="P33" s="154"/>
    </row>
    <row r="34" spans="2:16" s="164" customFormat="1" ht="37.5" customHeight="1">
      <c r="B34" s="119"/>
      <c r="C34" s="504" t="s">
        <v>201</v>
      </c>
      <c r="D34" s="505"/>
      <c r="E34" s="505"/>
      <c r="F34" s="505"/>
      <c r="G34" s="505"/>
      <c r="H34" s="505"/>
      <c r="I34" s="505"/>
      <c r="J34" s="506"/>
      <c r="K34" s="169" t="s">
        <v>41</v>
      </c>
      <c r="L34" s="170">
        <v>1</v>
      </c>
      <c r="M34" s="524">
        <v>92900</v>
      </c>
      <c r="N34" s="525"/>
      <c r="O34" s="171">
        <f>ROUND(L34*M34,2)</f>
        <v>92900</v>
      </c>
      <c r="P34" s="163"/>
    </row>
    <row r="35" spans="2:16" s="164" customFormat="1" ht="37.5" customHeight="1">
      <c r="B35" s="119"/>
      <c r="C35" s="504" t="s">
        <v>202</v>
      </c>
      <c r="D35" s="505"/>
      <c r="E35" s="505"/>
      <c r="F35" s="505"/>
      <c r="G35" s="505"/>
      <c r="H35" s="505"/>
      <c r="I35" s="505"/>
      <c r="J35" s="506"/>
      <c r="K35" s="169" t="s">
        <v>41</v>
      </c>
      <c r="L35" s="170">
        <v>0.2</v>
      </c>
      <c r="M35" s="524">
        <v>36066.67</v>
      </c>
      <c r="N35" s="525"/>
      <c r="O35" s="171">
        <f>ROUND(L35*M35,2)</f>
        <v>7213.33</v>
      </c>
      <c r="P35" s="163"/>
    </row>
    <row r="36" spans="2:16" s="164" customFormat="1" ht="37.5" customHeight="1">
      <c r="B36" s="119"/>
      <c r="C36" s="504"/>
      <c r="D36" s="505"/>
      <c r="E36" s="505"/>
      <c r="F36" s="505"/>
      <c r="G36" s="505"/>
      <c r="H36" s="505"/>
      <c r="I36" s="505"/>
      <c r="J36" s="506"/>
      <c r="K36" s="172"/>
      <c r="L36" s="173"/>
      <c r="M36" s="526"/>
      <c r="N36" s="527"/>
      <c r="O36" s="171"/>
      <c r="P36" s="163"/>
    </row>
    <row r="37" spans="2:16" s="164" customFormat="1" ht="37.5" customHeight="1">
      <c r="B37" s="119"/>
      <c r="C37" s="504"/>
      <c r="D37" s="505"/>
      <c r="E37" s="505"/>
      <c r="F37" s="505"/>
      <c r="G37" s="505"/>
      <c r="H37" s="505"/>
      <c r="I37" s="505"/>
      <c r="J37" s="506"/>
      <c r="K37" s="172"/>
      <c r="L37" s="173"/>
      <c r="M37" s="526"/>
      <c r="N37" s="527"/>
      <c r="O37" s="171"/>
      <c r="P37" s="163"/>
    </row>
    <row r="38" spans="2:16" s="164" customFormat="1" ht="37.5" customHeight="1">
      <c r="B38" s="119"/>
      <c r="C38" s="504"/>
      <c r="D38" s="505"/>
      <c r="E38" s="505"/>
      <c r="F38" s="505"/>
      <c r="G38" s="505"/>
      <c r="H38" s="505"/>
      <c r="I38" s="505"/>
      <c r="J38" s="506"/>
      <c r="K38" s="172"/>
      <c r="L38" s="173"/>
      <c r="M38" s="526"/>
      <c r="N38" s="527"/>
      <c r="O38" s="171"/>
      <c r="P38" s="163"/>
    </row>
    <row r="39" spans="2:16" s="164" customFormat="1" ht="14.4" thickBot="1">
      <c r="B39" s="119"/>
      <c r="C39" s="528"/>
      <c r="D39" s="529"/>
      <c r="E39" s="529"/>
      <c r="F39" s="529"/>
      <c r="G39" s="529"/>
      <c r="H39" s="529"/>
      <c r="I39" s="529"/>
      <c r="J39" s="517"/>
      <c r="K39" s="172"/>
      <c r="L39" s="174"/>
      <c r="M39" s="530"/>
      <c r="N39" s="531"/>
      <c r="O39" s="162">
        <f t="shared" ref="O39" si="0">ROUND(L39*M39,2)</f>
        <v>0</v>
      </c>
      <c r="P39" s="163"/>
    </row>
    <row r="40" spans="2:16" s="164" customFormat="1" ht="14.4" thickBot="1">
      <c r="B40" s="119"/>
      <c r="C40" s="520" t="s">
        <v>198</v>
      </c>
      <c r="D40" s="521"/>
      <c r="E40" s="521"/>
      <c r="F40" s="521"/>
      <c r="G40" s="521"/>
      <c r="H40" s="521"/>
      <c r="I40" s="521"/>
      <c r="J40" s="521"/>
      <c r="K40" s="521"/>
      <c r="L40" s="521"/>
      <c r="M40" s="521"/>
      <c r="N40" s="522"/>
      <c r="O40" s="175">
        <f>+SUM(O34:O39)</f>
        <v>100113.33</v>
      </c>
      <c r="P40" s="163"/>
    </row>
    <row r="41" spans="2:16" s="164" customFormat="1">
      <c r="B41" s="119"/>
      <c r="C41" s="486" t="s">
        <v>203</v>
      </c>
      <c r="D41" s="487"/>
      <c r="E41" s="487"/>
      <c r="F41" s="487"/>
      <c r="G41" s="487"/>
      <c r="H41" s="487"/>
      <c r="I41" s="487"/>
      <c r="J41" s="487"/>
      <c r="K41" s="487"/>
      <c r="L41" s="487"/>
      <c r="M41" s="487"/>
      <c r="N41" s="487"/>
      <c r="O41" s="488"/>
      <c r="P41" s="158"/>
    </row>
    <row r="42" spans="2:16" s="164" customFormat="1">
      <c r="B42" s="119"/>
      <c r="C42" s="489"/>
      <c r="D42" s="490"/>
      <c r="E42" s="490"/>
      <c r="F42" s="490"/>
      <c r="G42" s="490"/>
      <c r="H42" s="490"/>
      <c r="I42" s="490"/>
      <c r="J42" s="490"/>
      <c r="K42" s="490"/>
      <c r="L42" s="490"/>
      <c r="M42" s="490"/>
      <c r="N42" s="490"/>
      <c r="O42" s="491"/>
      <c r="P42" s="158"/>
    </row>
    <row r="43" spans="2:16" s="164" customFormat="1" ht="14.4" thickBot="1">
      <c r="B43" s="119"/>
      <c r="C43" s="492"/>
      <c r="D43" s="493"/>
      <c r="E43" s="493"/>
      <c r="F43" s="493"/>
      <c r="G43" s="493"/>
      <c r="H43" s="493"/>
      <c r="I43" s="493"/>
      <c r="J43" s="493"/>
      <c r="K43" s="493"/>
      <c r="L43" s="493"/>
      <c r="M43" s="493"/>
      <c r="N43" s="493"/>
      <c r="O43" s="494"/>
      <c r="P43" s="158"/>
    </row>
    <row r="44" spans="2:16" s="164" customFormat="1" ht="16.2">
      <c r="B44" s="119"/>
      <c r="C44" s="470" t="s">
        <v>204</v>
      </c>
      <c r="D44" s="523"/>
      <c r="E44" s="523"/>
      <c r="F44" s="523"/>
      <c r="G44" s="523"/>
      <c r="H44" s="523"/>
      <c r="I44" s="523"/>
      <c r="J44" s="159" t="s">
        <v>205</v>
      </c>
      <c r="K44" s="176" t="s">
        <v>206</v>
      </c>
      <c r="L44" s="177" t="s">
        <v>207</v>
      </c>
      <c r="M44" s="473" t="s">
        <v>208</v>
      </c>
      <c r="N44" s="476"/>
      <c r="O44" s="160" t="s">
        <v>196</v>
      </c>
      <c r="P44" s="154"/>
    </row>
    <row r="45" spans="2:16" s="164" customFormat="1" ht="29.25" customHeight="1">
      <c r="B45" s="119"/>
      <c r="C45" s="532"/>
      <c r="D45" s="533"/>
      <c r="E45" s="533"/>
      <c r="F45" s="533"/>
      <c r="G45" s="533"/>
      <c r="H45" s="533"/>
      <c r="I45" s="533"/>
      <c r="J45" s="170"/>
      <c r="K45" s="178"/>
      <c r="L45" s="170"/>
      <c r="M45" s="530"/>
      <c r="N45" s="531"/>
      <c r="O45" s="162">
        <f>ROUND(L45*M45,2)</f>
        <v>0</v>
      </c>
      <c r="P45" s="163"/>
    </row>
    <row r="46" spans="2:16" s="164" customFormat="1" ht="14.4" thickBot="1">
      <c r="B46" s="119"/>
      <c r="C46" s="528"/>
      <c r="D46" s="529"/>
      <c r="E46" s="529"/>
      <c r="F46" s="529"/>
      <c r="G46" s="529"/>
      <c r="H46" s="529"/>
      <c r="I46" s="529"/>
      <c r="J46" s="179"/>
      <c r="K46" s="180"/>
      <c r="L46" s="179"/>
      <c r="M46" s="534"/>
      <c r="N46" s="535"/>
      <c r="O46" s="181"/>
      <c r="P46" s="163"/>
    </row>
    <row r="47" spans="2:16" s="164" customFormat="1" ht="14.4" thickBot="1">
      <c r="B47" s="119"/>
      <c r="C47" s="520" t="s">
        <v>198</v>
      </c>
      <c r="D47" s="521"/>
      <c r="E47" s="521"/>
      <c r="F47" s="521"/>
      <c r="G47" s="521"/>
      <c r="H47" s="521"/>
      <c r="I47" s="521"/>
      <c r="J47" s="521"/>
      <c r="K47" s="521"/>
      <c r="L47" s="521"/>
      <c r="M47" s="521"/>
      <c r="N47" s="522"/>
      <c r="O47" s="175">
        <f>+SUM(O45:O46)</f>
        <v>0</v>
      </c>
      <c r="P47" s="167"/>
    </row>
    <row r="48" spans="2:16" s="164" customFormat="1">
      <c r="B48" s="119"/>
      <c r="C48" s="486" t="s">
        <v>209</v>
      </c>
      <c r="D48" s="487"/>
      <c r="E48" s="487"/>
      <c r="F48" s="487"/>
      <c r="G48" s="487"/>
      <c r="H48" s="487"/>
      <c r="I48" s="487"/>
      <c r="J48" s="487"/>
      <c r="K48" s="487"/>
      <c r="L48" s="487"/>
      <c r="M48" s="487"/>
      <c r="N48" s="487"/>
      <c r="O48" s="488"/>
      <c r="P48" s="158"/>
    </row>
    <row r="49" spans="2:16" s="164" customFormat="1">
      <c r="B49" s="119"/>
      <c r="C49" s="489"/>
      <c r="D49" s="490"/>
      <c r="E49" s="490"/>
      <c r="F49" s="490"/>
      <c r="G49" s="490"/>
      <c r="H49" s="490"/>
      <c r="I49" s="490"/>
      <c r="J49" s="490"/>
      <c r="K49" s="490"/>
      <c r="L49" s="490"/>
      <c r="M49" s="490"/>
      <c r="N49" s="490"/>
      <c r="O49" s="491"/>
      <c r="P49" s="158"/>
    </row>
    <row r="50" spans="2:16" s="164" customFormat="1" ht="14.4" thickBot="1">
      <c r="B50" s="119"/>
      <c r="C50" s="492"/>
      <c r="D50" s="493"/>
      <c r="E50" s="493"/>
      <c r="F50" s="493"/>
      <c r="G50" s="493"/>
      <c r="H50" s="493"/>
      <c r="I50" s="493"/>
      <c r="J50" s="493"/>
      <c r="K50" s="493"/>
      <c r="L50" s="493"/>
      <c r="M50" s="493"/>
      <c r="N50" s="493"/>
      <c r="O50" s="494"/>
      <c r="P50" s="158"/>
    </row>
    <row r="51" spans="2:16" s="164" customFormat="1">
      <c r="B51" s="119"/>
      <c r="C51" s="470" t="s">
        <v>210</v>
      </c>
      <c r="D51" s="523"/>
      <c r="E51" s="523"/>
      <c r="F51" s="523"/>
      <c r="G51" s="523"/>
      <c r="H51" s="523"/>
      <c r="I51" s="523"/>
      <c r="J51" s="159" t="s">
        <v>3</v>
      </c>
      <c r="K51" s="182" t="s">
        <v>211</v>
      </c>
      <c r="L51" s="183" t="s">
        <v>212</v>
      </c>
      <c r="M51" s="536" t="s">
        <v>195</v>
      </c>
      <c r="N51" s="537"/>
      <c r="O51" s="184" t="s">
        <v>196</v>
      </c>
      <c r="P51" s="185"/>
    </row>
    <row r="52" spans="2:16" s="164" customFormat="1">
      <c r="B52" s="119"/>
      <c r="C52" s="538" t="s">
        <v>213</v>
      </c>
      <c r="D52" s="539"/>
      <c r="E52" s="539"/>
      <c r="F52" s="539"/>
      <c r="G52" s="539"/>
      <c r="H52" s="539"/>
      <c r="I52" s="540"/>
      <c r="J52" s="186" t="s">
        <v>214</v>
      </c>
      <c r="K52" s="187"/>
      <c r="L52" s="188">
        <v>35069.629999999997</v>
      </c>
      <c r="M52" s="541">
        <v>1.6</v>
      </c>
      <c r="N52" s="542"/>
      <c r="O52" s="162">
        <f>+L52*M52</f>
        <v>56111.407999999996</v>
      </c>
      <c r="P52" s="189"/>
    </row>
    <row r="53" spans="2:16" s="164" customFormat="1">
      <c r="B53" s="119"/>
      <c r="C53" s="190"/>
      <c r="D53" s="191"/>
      <c r="E53" s="191"/>
      <c r="F53" s="191"/>
      <c r="G53" s="191"/>
      <c r="H53" s="191"/>
      <c r="I53" s="191"/>
      <c r="J53" s="192"/>
      <c r="K53" s="187"/>
      <c r="L53" s="193"/>
      <c r="M53" s="541"/>
      <c r="N53" s="542"/>
      <c r="O53" s="162"/>
      <c r="P53" s="189"/>
    </row>
    <row r="54" spans="2:16" s="164" customFormat="1">
      <c r="B54" s="119"/>
      <c r="C54" s="190"/>
      <c r="D54" s="191"/>
      <c r="E54" s="191"/>
      <c r="F54" s="191"/>
      <c r="G54" s="191"/>
      <c r="H54" s="191"/>
      <c r="I54" s="191"/>
      <c r="J54" s="192"/>
      <c r="K54" s="187"/>
      <c r="L54" s="193"/>
      <c r="M54" s="545"/>
      <c r="N54" s="546"/>
      <c r="O54" s="194"/>
      <c r="P54" s="189"/>
    </row>
    <row r="55" spans="2:16" s="164" customFormat="1" ht="14.4" thickBot="1">
      <c r="B55" s="119"/>
      <c r="C55" s="528"/>
      <c r="D55" s="529"/>
      <c r="E55" s="529"/>
      <c r="F55" s="529"/>
      <c r="G55" s="529"/>
      <c r="H55" s="529"/>
      <c r="I55" s="529"/>
      <c r="J55" s="179"/>
      <c r="K55" s="180"/>
      <c r="L55" s="179"/>
      <c r="M55" s="534"/>
      <c r="N55" s="535"/>
      <c r="O55" s="181"/>
      <c r="P55" s="163"/>
    </row>
    <row r="56" spans="2:16" s="164" customFormat="1" ht="14.4" thickBot="1">
      <c r="B56" s="119"/>
      <c r="C56" s="520" t="s">
        <v>198</v>
      </c>
      <c r="D56" s="521"/>
      <c r="E56" s="521"/>
      <c r="F56" s="521"/>
      <c r="G56" s="521"/>
      <c r="H56" s="521"/>
      <c r="I56" s="521"/>
      <c r="J56" s="521"/>
      <c r="K56" s="521"/>
      <c r="L56" s="521"/>
      <c r="M56" s="521"/>
      <c r="N56" s="522"/>
      <c r="O56" s="175">
        <f>+SUM(O52:O55)</f>
        <v>56111.407999999996</v>
      </c>
      <c r="P56" s="163"/>
    </row>
    <row r="57" spans="2:16" s="164" customFormat="1" ht="14.4" thickBot="1">
      <c r="B57" s="119"/>
      <c r="C57" s="151"/>
      <c r="D57" s="138"/>
      <c r="E57" s="138"/>
      <c r="F57" s="138"/>
      <c r="G57" s="138"/>
      <c r="H57" s="138"/>
      <c r="I57" s="138"/>
      <c r="J57" s="138"/>
      <c r="K57" s="138"/>
      <c r="L57" s="138"/>
      <c r="M57" s="138"/>
      <c r="N57" s="138"/>
      <c r="O57" s="152"/>
      <c r="P57" s="146"/>
    </row>
    <row r="58" spans="2:16" s="164" customFormat="1" ht="14.4" thickBot="1">
      <c r="B58" s="119"/>
      <c r="C58" s="547" t="s">
        <v>215</v>
      </c>
      <c r="D58" s="548"/>
      <c r="E58" s="548"/>
      <c r="F58" s="548"/>
      <c r="G58" s="548"/>
      <c r="H58" s="548"/>
      <c r="I58" s="548"/>
      <c r="J58" s="548"/>
      <c r="K58" s="548"/>
      <c r="L58" s="548"/>
      <c r="M58" s="548"/>
      <c r="N58" s="549"/>
      <c r="O58" s="195">
        <f>ROUNDDOWN(+O56+O47+O40+O29,0)</f>
        <v>159030</v>
      </c>
      <c r="P58" s="196"/>
    </row>
    <row r="59" spans="2:16" s="164" customFormat="1" ht="14.4" thickBot="1">
      <c r="B59" s="119"/>
      <c r="C59" s="550" t="s">
        <v>216</v>
      </c>
      <c r="D59" s="551"/>
      <c r="E59" s="551"/>
      <c r="F59" s="551"/>
      <c r="G59" s="551"/>
      <c r="H59" s="551"/>
      <c r="I59" s="551"/>
      <c r="J59" s="551"/>
      <c r="K59" s="551"/>
      <c r="L59" s="551"/>
      <c r="M59" s="551"/>
      <c r="N59" s="552"/>
      <c r="O59" s="197"/>
      <c r="P59" s="196"/>
    </row>
    <row r="60" spans="2:16" s="164" customFormat="1" ht="14.4" thickBot="1">
      <c r="B60" s="119"/>
      <c r="C60" s="553" t="s">
        <v>217</v>
      </c>
      <c r="D60" s="554"/>
      <c r="E60" s="554"/>
      <c r="F60" s="554"/>
      <c r="G60" s="554"/>
      <c r="H60" s="554"/>
      <c r="I60" s="554"/>
      <c r="J60" s="554"/>
      <c r="K60" s="554"/>
      <c r="L60" s="554"/>
      <c r="M60" s="554"/>
      <c r="N60" s="555"/>
      <c r="O60" s="198"/>
      <c r="P60" s="196"/>
    </row>
    <row r="61" spans="2:16" s="164" customFormat="1" ht="12.75" customHeight="1">
      <c r="B61" s="119"/>
      <c r="C61" s="486" t="s">
        <v>218</v>
      </c>
      <c r="D61" s="487"/>
      <c r="E61" s="487"/>
      <c r="F61" s="487"/>
      <c r="G61" s="487"/>
      <c r="H61" s="487"/>
      <c r="I61" s="487"/>
      <c r="J61" s="487"/>
      <c r="K61" s="487"/>
      <c r="L61" s="487"/>
      <c r="M61" s="487"/>
      <c r="N61" s="487"/>
      <c r="O61" s="488"/>
      <c r="P61" s="158"/>
    </row>
    <row r="62" spans="2:16" s="164" customFormat="1" ht="12.75" customHeight="1">
      <c r="B62" s="119"/>
      <c r="C62" s="489"/>
      <c r="D62" s="490"/>
      <c r="E62" s="490"/>
      <c r="F62" s="490"/>
      <c r="G62" s="490"/>
      <c r="H62" s="490"/>
      <c r="I62" s="490"/>
      <c r="J62" s="490"/>
      <c r="K62" s="490"/>
      <c r="L62" s="490"/>
      <c r="M62" s="490"/>
      <c r="N62" s="490"/>
      <c r="O62" s="491"/>
      <c r="P62" s="158"/>
    </row>
    <row r="63" spans="2:16" s="164" customFormat="1" ht="13.5" customHeight="1" thickBot="1">
      <c r="B63" s="119"/>
      <c r="C63" s="492"/>
      <c r="D63" s="493"/>
      <c r="E63" s="493"/>
      <c r="F63" s="493"/>
      <c r="G63" s="493"/>
      <c r="H63" s="493"/>
      <c r="I63" s="493"/>
      <c r="J63" s="493"/>
      <c r="K63" s="493"/>
      <c r="L63" s="493"/>
      <c r="M63" s="493"/>
      <c r="N63" s="493"/>
      <c r="O63" s="494"/>
      <c r="P63" s="158"/>
    </row>
    <row r="64" spans="2:16" s="164" customFormat="1" ht="15" customHeight="1">
      <c r="B64" s="119"/>
      <c r="C64" s="470" t="s">
        <v>219</v>
      </c>
      <c r="D64" s="523"/>
      <c r="E64" s="523"/>
      <c r="F64" s="523"/>
      <c r="G64" s="523"/>
      <c r="H64" s="523"/>
      <c r="I64" s="523"/>
      <c r="J64" s="176"/>
      <c r="K64" s="199"/>
      <c r="L64" s="183" t="s">
        <v>220</v>
      </c>
      <c r="M64" s="536" t="s">
        <v>221</v>
      </c>
      <c r="N64" s="537"/>
      <c r="O64" s="184"/>
      <c r="P64" s="185"/>
    </row>
    <row r="65" spans="1:25" s="164" customFormat="1">
      <c r="B65" s="119"/>
      <c r="C65" s="532" t="s">
        <v>141</v>
      </c>
      <c r="D65" s="533"/>
      <c r="E65" s="533"/>
      <c r="F65" s="533"/>
      <c r="G65" s="533"/>
      <c r="H65" s="533"/>
      <c r="I65" s="533"/>
      <c r="J65" s="200"/>
      <c r="K65" s="201"/>
      <c r="L65" s="202">
        <v>0.24</v>
      </c>
      <c r="M65" s="543"/>
      <c r="N65" s="544"/>
      <c r="O65" s="203"/>
      <c r="P65" s="204"/>
    </row>
    <row r="66" spans="1:25" s="164" customFormat="1">
      <c r="B66" s="119"/>
      <c r="C66" s="205" t="s">
        <v>222</v>
      </c>
      <c r="D66" s="124"/>
      <c r="E66" s="124"/>
      <c r="F66" s="124"/>
      <c r="G66" s="124"/>
      <c r="H66" s="124"/>
      <c r="I66" s="124"/>
      <c r="J66" s="200"/>
      <c r="K66" s="201"/>
      <c r="L66" s="202">
        <v>0.01</v>
      </c>
      <c r="M66" s="543"/>
      <c r="N66" s="544"/>
      <c r="O66" s="203"/>
      <c r="P66" s="204"/>
    </row>
    <row r="67" spans="1:25" s="164" customFormat="1" ht="14.4" thickBot="1">
      <c r="B67" s="119"/>
      <c r="C67" s="143" t="s">
        <v>143</v>
      </c>
      <c r="D67" s="144"/>
      <c r="E67" s="144"/>
      <c r="F67" s="144"/>
      <c r="G67" s="144"/>
      <c r="H67" s="144"/>
      <c r="I67" s="144"/>
      <c r="J67" s="206"/>
      <c r="K67" s="207"/>
      <c r="L67" s="202">
        <v>0.05</v>
      </c>
      <c r="M67" s="563"/>
      <c r="N67" s="564"/>
      <c r="O67" s="203"/>
      <c r="P67" s="204"/>
    </row>
    <row r="68" spans="1:25" s="164" customFormat="1" ht="14.4" thickBot="1">
      <c r="B68" s="119"/>
      <c r="C68" s="520" t="s">
        <v>198</v>
      </c>
      <c r="D68" s="521"/>
      <c r="E68" s="521"/>
      <c r="F68" s="521"/>
      <c r="G68" s="521"/>
      <c r="H68" s="521"/>
      <c r="I68" s="521"/>
      <c r="J68" s="521"/>
      <c r="K68" s="521"/>
      <c r="L68" s="521"/>
      <c r="M68" s="521"/>
      <c r="N68" s="522"/>
      <c r="O68" s="208">
        <f>+SUM(O65:O67)</f>
        <v>0</v>
      </c>
      <c r="P68" s="209"/>
    </row>
    <row r="69" spans="1:25" s="164" customFormat="1" ht="14.4" thickBot="1">
      <c r="B69" s="119"/>
      <c r="C69" s="151"/>
      <c r="D69" s="138"/>
      <c r="E69" s="138"/>
      <c r="F69" s="138"/>
      <c r="G69" s="138"/>
      <c r="H69" s="138"/>
      <c r="I69" s="138"/>
      <c r="J69" s="138"/>
      <c r="K69" s="138"/>
      <c r="L69" s="138"/>
      <c r="M69" s="138"/>
      <c r="N69" s="138"/>
      <c r="O69" s="152"/>
      <c r="P69" s="146"/>
    </row>
    <row r="70" spans="1:25" s="164" customFormat="1" ht="14.4" thickBot="1">
      <c r="B70" s="119"/>
      <c r="C70" s="547" t="s">
        <v>223</v>
      </c>
      <c r="D70" s="548"/>
      <c r="E70" s="548"/>
      <c r="F70" s="548"/>
      <c r="G70" s="548"/>
      <c r="H70" s="548"/>
      <c r="I70" s="548"/>
      <c r="J70" s="548"/>
      <c r="K70" s="548"/>
      <c r="L70" s="548"/>
      <c r="M70" s="548"/>
      <c r="N70" s="549"/>
      <c r="O70" s="210" t="s">
        <v>211</v>
      </c>
      <c r="P70" s="209"/>
    </row>
    <row r="71" spans="1:25" s="164" customFormat="1">
      <c r="B71" s="119"/>
      <c r="C71" s="151"/>
      <c r="D71" s="138"/>
      <c r="E71" s="138"/>
      <c r="F71" s="138"/>
      <c r="G71" s="138"/>
      <c r="H71" s="138"/>
      <c r="I71" s="138"/>
      <c r="J71" s="138"/>
      <c r="K71" s="138"/>
      <c r="L71" s="138"/>
      <c r="M71" s="138"/>
      <c r="N71" s="138"/>
      <c r="O71" s="152"/>
      <c r="P71" s="146"/>
    </row>
    <row r="72" spans="1:25" s="164" customFormat="1">
      <c r="B72" s="119"/>
      <c r="C72" s="151"/>
      <c r="D72" s="138"/>
      <c r="E72" s="138"/>
      <c r="F72" s="138"/>
      <c r="G72" s="138"/>
      <c r="H72" s="211" t="s">
        <v>224</v>
      </c>
      <c r="I72" s="211"/>
      <c r="J72" s="211"/>
      <c r="K72" s="211"/>
      <c r="L72" s="138"/>
      <c r="M72" s="138"/>
      <c r="N72" s="138"/>
      <c r="O72" s="152"/>
      <c r="P72" s="146"/>
    </row>
    <row r="73" spans="1:25" s="164" customFormat="1">
      <c r="B73" s="119"/>
      <c r="C73" s="151"/>
      <c r="D73" s="138"/>
      <c r="E73" s="138"/>
      <c r="F73" s="138"/>
      <c r="G73" s="138"/>
      <c r="H73" s="211" t="s">
        <v>225</v>
      </c>
      <c r="I73" s="138"/>
      <c r="J73" s="138"/>
      <c r="K73" s="138"/>
      <c r="L73" s="138"/>
      <c r="M73" s="138"/>
      <c r="N73" s="138"/>
      <c r="O73" s="152"/>
      <c r="P73" s="212"/>
    </row>
    <row r="74" spans="1:25" s="164" customFormat="1">
      <c r="B74" s="119"/>
      <c r="C74" s="151"/>
      <c r="D74" s="138"/>
      <c r="E74" s="138"/>
      <c r="F74" s="138"/>
      <c r="G74" s="138"/>
      <c r="H74" s="211" t="s">
        <v>226</v>
      </c>
      <c r="I74" s="138"/>
      <c r="J74" s="138"/>
      <c r="K74" s="138"/>
      <c r="L74" s="138"/>
      <c r="M74" s="138"/>
      <c r="N74" s="138"/>
      <c r="O74" s="152"/>
      <c r="P74" s="212"/>
    </row>
    <row r="75" spans="1:25" s="164" customFormat="1">
      <c r="B75" s="119"/>
      <c r="C75" s="132"/>
      <c r="D75" s="213"/>
      <c r="E75" s="213"/>
      <c r="F75" s="213"/>
      <c r="G75" s="213"/>
      <c r="H75" s="211" t="s">
        <v>227</v>
      </c>
      <c r="I75" s="213"/>
      <c r="J75" s="213"/>
      <c r="K75" s="213"/>
      <c r="L75" s="213"/>
      <c r="M75" s="213"/>
      <c r="N75" s="213"/>
      <c r="O75" s="214"/>
      <c r="P75" s="215"/>
    </row>
    <row r="76" spans="1:25" s="164" customFormat="1">
      <c r="B76" s="119"/>
      <c r="C76" s="151"/>
      <c r="D76" s="138"/>
      <c r="E76" s="138"/>
      <c r="F76" s="138"/>
      <c r="G76" s="138"/>
      <c r="H76" s="138" t="s">
        <v>153</v>
      </c>
      <c r="I76" s="138"/>
      <c r="J76" s="138"/>
      <c r="K76" s="138"/>
      <c r="L76" s="138"/>
      <c r="M76" s="138"/>
      <c r="N76" s="138"/>
      <c r="O76" s="152"/>
      <c r="P76" s="146"/>
    </row>
    <row r="77" spans="1:25" s="164" customFormat="1">
      <c r="B77" s="119"/>
      <c r="C77" s="216" t="s">
        <v>228</v>
      </c>
      <c r="D77" s="217"/>
      <c r="E77" s="217"/>
      <c r="F77" s="217"/>
      <c r="G77" s="217"/>
      <c r="H77" s="217" t="s">
        <v>229</v>
      </c>
      <c r="I77" s="217"/>
      <c r="J77" s="217"/>
      <c r="K77" s="217"/>
      <c r="L77" s="217"/>
      <c r="M77" s="217"/>
      <c r="N77" s="217"/>
      <c r="O77" s="218"/>
      <c r="P77" s="146"/>
    </row>
    <row r="78" spans="1:25" s="164" customFormat="1">
      <c r="A78" s="115"/>
      <c r="B78" s="119"/>
      <c r="C78" s="565"/>
      <c r="D78" s="566"/>
      <c r="E78" s="566"/>
      <c r="F78" s="566"/>
      <c r="G78" s="566"/>
      <c r="H78" s="566"/>
      <c r="I78" s="566"/>
      <c r="J78" s="566"/>
      <c r="K78" s="566"/>
      <c r="L78" s="566"/>
      <c r="M78" s="566"/>
      <c r="N78" s="566"/>
      <c r="O78" s="567"/>
      <c r="P78" s="215"/>
      <c r="Q78" s="115"/>
      <c r="R78" s="115"/>
      <c r="S78" s="115"/>
      <c r="T78" s="115"/>
      <c r="U78" s="115"/>
      <c r="V78" s="115"/>
      <c r="W78" s="115"/>
      <c r="X78" s="115"/>
      <c r="Y78" s="115"/>
    </row>
    <row r="79" spans="1:25" s="164" customFormat="1">
      <c r="A79" s="115"/>
      <c r="B79" s="119"/>
      <c r="C79" s="565"/>
      <c r="D79" s="566"/>
      <c r="E79" s="566"/>
      <c r="F79" s="566"/>
      <c r="G79" s="566"/>
      <c r="H79" s="566"/>
      <c r="I79" s="566"/>
      <c r="J79" s="566"/>
      <c r="K79" s="566"/>
      <c r="L79" s="566"/>
      <c r="M79" s="566"/>
      <c r="N79" s="566"/>
      <c r="O79" s="567"/>
      <c r="P79" s="215"/>
      <c r="Q79" s="115"/>
      <c r="R79" s="115"/>
      <c r="S79" s="115"/>
      <c r="T79" s="115"/>
      <c r="U79" s="115"/>
      <c r="V79" s="115"/>
      <c r="W79" s="115"/>
      <c r="X79" s="115"/>
      <c r="Y79" s="115"/>
    </row>
    <row r="80" spans="1:25" s="164" customFormat="1">
      <c r="A80" s="115"/>
      <c r="B80" s="119"/>
      <c r="C80" s="132"/>
      <c r="D80" s="213"/>
      <c r="E80" s="213"/>
      <c r="F80" s="213"/>
      <c r="G80" s="213"/>
      <c r="H80" s="213"/>
      <c r="I80" s="213"/>
      <c r="J80" s="213"/>
      <c r="K80" s="213"/>
      <c r="L80" s="213"/>
      <c r="M80" s="213"/>
      <c r="N80" s="213"/>
      <c r="O80" s="214"/>
      <c r="P80" s="215"/>
      <c r="Q80" s="115"/>
      <c r="R80" s="115"/>
      <c r="S80" s="115"/>
      <c r="T80" s="115"/>
      <c r="U80" s="115"/>
      <c r="V80" s="115"/>
      <c r="W80" s="115"/>
      <c r="X80" s="115"/>
      <c r="Y80" s="115"/>
    </row>
    <row r="81" spans="1:25" s="164" customFormat="1">
      <c r="A81" s="115"/>
      <c r="B81" s="119"/>
      <c r="C81" s="219" t="s">
        <v>230</v>
      </c>
      <c r="D81" s="213"/>
      <c r="E81" s="213"/>
      <c r="F81" s="213"/>
      <c r="G81" s="213"/>
      <c r="H81" s="213"/>
      <c r="I81" s="213"/>
      <c r="J81" s="213"/>
      <c r="K81" s="213"/>
      <c r="L81" s="213"/>
      <c r="M81" s="213"/>
      <c r="N81" s="213"/>
      <c r="O81" s="214"/>
      <c r="P81" s="215"/>
      <c r="Q81" s="115"/>
      <c r="R81" s="115"/>
      <c r="S81" s="115"/>
      <c r="T81" s="115"/>
      <c r="U81" s="115"/>
      <c r="V81" s="115"/>
      <c r="W81" s="115"/>
      <c r="X81" s="115"/>
      <c r="Y81" s="115"/>
    </row>
    <row r="82" spans="1:25" s="164" customFormat="1" ht="12.75" customHeight="1">
      <c r="A82" s="115"/>
      <c r="B82" s="119"/>
      <c r="C82" s="556" t="s">
        <v>231</v>
      </c>
      <c r="D82" s="557"/>
      <c r="E82" s="557"/>
      <c r="F82" s="557"/>
      <c r="G82" s="557"/>
      <c r="H82" s="557"/>
      <c r="I82" s="557"/>
      <c r="J82" s="557"/>
      <c r="K82" s="557"/>
      <c r="L82" s="557"/>
      <c r="M82" s="557"/>
      <c r="N82" s="557"/>
      <c r="O82" s="558"/>
      <c r="P82" s="220"/>
      <c r="Q82" s="115"/>
      <c r="R82" s="115"/>
      <c r="S82" s="115"/>
      <c r="T82" s="115"/>
      <c r="U82" s="115"/>
      <c r="V82" s="115"/>
      <c r="W82" s="115"/>
      <c r="X82" s="115"/>
      <c r="Y82" s="115"/>
    </row>
    <row r="83" spans="1:25" s="164" customFormat="1" ht="28.5" customHeight="1">
      <c r="A83" s="115"/>
      <c r="B83" s="119"/>
      <c r="C83" s="556"/>
      <c r="D83" s="557"/>
      <c r="E83" s="557"/>
      <c r="F83" s="557"/>
      <c r="G83" s="557"/>
      <c r="H83" s="557"/>
      <c r="I83" s="557"/>
      <c r="J83" s="557"/>
      <c r="K83" s="557"/>
      <c r="L83" s="557"/>
      <c r="M83" s="557"/>
      <c r="N83" s="557"/>
      <c r="O83" s="558"/>
      <c r="P83" s="220"/>
      <c r="Q83" s="115"/>
      <c r="R83" s="115"/>
      <c r="S83" s="115"/>
      <c r="T83" s="115"/>
      <c r="U83" s="115"/>
      <c r="V83" s="115"/>
      <c r="W83" s="115"/>
      <c r="X83" s="115"/>
      <c r="Y83" s="115"/>
    </row>
    <row r="84" spans="1:25" ht="13.35" customHeight="1">
      <c r="B84" s="119"/>
      <c r="C84" s="556" t="s">
        <v>232</v>
      </c>
      <c r="D84" s="557"/>
      <c r="E84" s="557"/>
      <c r="F84" s="557"/>
      <c r="G84" s="557"/>
      <c r="H84" s="557"/>
      <c r="I84" s="557"/>
      <c r="J84" s="557"/>
      <c r="K84" s="557"/>
      <c r="L84" s="557"/>
      <c r="M84" s="557"/>
      <c r="N84" s="557"/>
      <c r="O84" s="558"/>
      <c r="P84" s="220"/>
    </row>
    <row r="85" spans="1:25" ht="45" customHeight="1">
      <c r="B85" s="119"/>
      <c r="C85" s="556"/>
      <c r="D85" s="557"/>
      <c r="E85" s="557"/>
      <c r="F85" s="557"/>
      <c r="G85" s="557"/>
      <c r="H85" s="557"/>
      <c r="I85" s="557"/>
      <c r="J85" s="557"/>
      <c r="K85" s="557"/>
      <c r="L85" s="557"/>
      <c r="M85" s="557"/>
      <c r="N85" s="557"/>
      <c r="O85" s="558"/>
      <c r="P85" s="220"/>
    </row>
    <row r="86" spans="1:25">
      <c r="B86" s="119"/>
      <c r="C86" s="132"/>
      <c r="D86" s="213"/>
      <c r="E86" s="213"/>
      <c r="F86" s="213"/>
      <c r="G86" s="213"/>
      <c r="H86" s="213"/>
      <c r="I86" s="213"/>
      <c r="J86" s="213"/>
      <c r="K86" s="213"/>
      <c r="L86" s="213"/>
      <c r="M86" s="213"/>
      <c r="N86" s="213"/>
      <c r="O86" s="214"/>
      <c r="P86" s="215"/>
    </row>
    <row r="87" spans="1:25">
      <c r="B87" s="119"/>
      <c r="C87" s="151"/>
      <c r="D87" s="138"/>
      <c r="E87" s="138"/>
      <c r="F87" s="138"/>
      <c r="G87" s="138"/>
      <c r="H87" s="211" t="s">
        <v>224</v>
      </c>
      <c r="I87" s="138"/>
      <c r="J87" s="138"/>
      <c r="K87" s="138"/>
      <c r="L87" s="138"/>
      <c r="M87" s="138"/>
      <c r="N87" s="138"/>
      <c r="O87" s="152"/>
      <c r="P87" s="146"/>
    </row>
    <row r="88" spans="1:25">
      <c r="B88" s="119"/>
      <c r="C88" s="151"/>
      <c r="D88" s="138"/>
      <c r="E88" s="138"/>
      <c r="F88" s="138"/>
      <c r="G88" s="138"/>
      <c r="H88" s="138" t="s">
        <v>225</v>
      </c>
      <c r="I88" s="124"/>
      <c r="J88" s="124"/>
      <c r="K88" s="124"/>
      <c r="L88" s="138"/>
      <c r="M88" s="138"/>
      <c r="N88" s="138"/>
      <c r="O88" s="152"/>
      <c r="P88" s="146"/>
    </row>
    <row r="89" spans="1:25">
      <c r="B89" s="119"/>
      <c r="C89" s="151"/>
      <c r="D89" s="138"/>
      <c r="E89" s="138"/>
      <c r="F89" s="138"/>
      <c r="G89" s="138"/>
      <c r="H89" s="138" t="s">
        <v>233</v>
      </c>
      <c r="I89" s="221"/>
      <c r="J89" s="221"/>
      <c r="K89" s="221"/>
      <c r="L89" s="138"/>
      <c r="M89" s="138"/>
      <c r="N89" s="138"/>
      <c r="O89" s="152"/>
      <c r="P89" s="146"/>
    </row>
    <row r="90" spans="1:25">
      <c r="B90" s="119"/>
      <c r="C90" s="222"/>
      <c r="D90" s="213"/>
      <c r="E90" s="213"/>
      <c r="F90" s="213"/>
      <c r="G90" s="213"/>
      <c r="H90" s="138" t="s">
        <v>234</v>
      </c>
      <c r="I90" s="138"/>
      <c r="J90" s="138"/>
      <c r="K90" s="138"/>
      <c r="L90" s="213"/>
      <c r="M90" s="213"/>
      <c r="N90" s="213"/>
      <c r="O90" s="214"/>
      <c r="P90" s="215"/>
    </row>
    <row r="91" spans="1:25" ht="18.75" customHeight="1" thickBot="1">
      <c r="B91" s="119"/>
      <c r="C91" s="559"/>
      <c r="D91" s="560"/>
      <c r="E91" s="560"/>
      <c r="F91" s="180"/>
      <c r="G91" s="180"/>
      <c r="H91" s="180"/>
      <c r="I91" s="180"/>
      <c r="J91" s="180"/>
      <c r="K91" s="561"/>
      <c r="L91" s="561"/>
      <c r="M91" s="561"/>
      <c r="N91" s="561"/>
      <c r="O91" s="562"/>
      <c r="P91" s="223"/>
    </row>
    <row r="92" spans="1:25" ht="14.4" thickBot="1">
      <c r="B92" s="224"/>
      <c r="C92" s="225"/>
      <c r="D92" s="225"/>
      <c r="E92" s="225"/>
      <c r="F92" s="225"/>
      <c r="G92" s="225"/>
      <c r="H92" s="225"/>
      <c r="I92" s="225"/>
      <c r="J92" s="225"/>
      <c r="K92" s="225"/>
      <c r="L92" s="225"/>
      <c r="M92" s="225"/>
      <c r="N92" s="225"/>
      <c r="O92" s="225"/>
      <c r="P92" s="226"/>
    </row>
    <row r="93" spans="1:25" ht="14.4" thickTop="1"/>
  </sheetData>
  <mergeCells count="94">
    <mergeCell ref="C82:O83"/>
    <mergeCell ref="C84:O85"/>
    <mergeCell ref="C91:E91"/>
    <mergeCell ref="K91:O91"/>
    <mergeCell ref="M66:N66"/>
    <mergeCell ref="M67:N67"/>
    <mergeCell ref="C68:N68"/>
    <mergeCell ref="C70:N70"/>
    <mergeCell ref="C78:O78"/>
    <mergeCell ref="C79:O79"/>
    <mergeCell ref="C65:I65"/>
    <mergeCell ref="M65:N65"/>
    <mergeCell ref="M53:N53"/>
    <mergeCell ref="M54:N54"/>
    <mergeCell ref="C55:I55"/>
    <mergeCell ref="M55:N55"/>
    <mergeCell ref="C56:N56"/>
    <mergeCell ref="C58:N58"/>
    <mergeCell ref="C59:N59"/>
    <mergeCell ref="C60:N60"/>
    <mergeCell ref="C61:O63"/>
    <mergeCell ref="C64:I64"/>
    <mergeCell ref="M64:N64"/>
    <mergeCell ref="C47:N47"/>
    <mergeCell ref="C48:O50"/>
    <mergeCell ref="C51:I51"/>
    <mergeCell ref="M51:N51"/>
    <mergeCell ref="C52:I52"/>
    <mergeCell ref="M52:N52"/>
    <mergeCell ref="C44:I44"/>
    <mergeCell ref="M44:N44"/>
    <mergeCell ref="C45:I45"/>
    <mergeCell ref="M45:N45"/>
    <mergeCell ref="C46:I46"/>
    <mergeCell ref="M46:N46"/>
    <mergeCell ref="C41:O43"/>
    <mergeCell ref="C35:J35"/>
    <mergeCell ref="M35:N35"/>
    <mergeCell ref="C36:J36"/>
    <mergeCell ref="M36:N36"/>
    <mergeCell ref="C37:J37"/>
    <mergeCell ref="M37:N37"/>
    <mergeCell ref="C38:J38"/>
    <mergeCell ref="M38:N38"/>
    <mergeCell ref="C39:J39"/>
    <mergeCell ref="M39:N39"/>
    <mergeCell ref="C40:N40"/>
    <mergeCell ref="C29:N29"/>
    <mergeCell ref="C30:O32"/>
    <mergeCell ref="C33:J33"/>
    <mergeCell ref="M33:N33"/>
    <mergeCell ref="C34:J34"/>
    <mergeCell ref="M34:N34"/>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C24:G24"/>
    <mergeCell ref="H24:I24"/>
    <mergeCell ref="J24:K24"/>
    <mergeCell ref="M24:N24"/>
    <mergeCell ref="M7:M9"/>
    <mergeCell ref="N7:N9"/>
    <mergeCell ref="D19:L19"/>
    <mergeCell ref="M19:N19"/>
    <mergeCell ref="D20:L20"/>
    <mergeCell ref="M20:N20"/>
    <mergeCell ref="C21:O23"/>
    <mergeCell ref="O7:O9"/>
    <mergeCell ref="D9:K9"/>
    <mergeCell ref="C13:F13"/>
    <mergeCell ref="C17:O17"/>
    <mergeCell ref="C3:C9"/>
    <mergeCell ref="D7:K8"/>
    <mergeCell ref="L7:L9"/>
    <mergeCell ref="D3:K3"/>
    <mergeCell ref="L3:O4"/>
    <mergeCell ref="D4:K4"/>
    <mergeCell ref="D5:K5"/>
    <mergeCell ref="L5:L6"/>
    <mergeCell ref="M5:O6"/>
    <mergeCell ref="D6:K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93"/>
  <sheetViews>
    <sheetView workbookViewId="0">
      <selection activeCell="C24" sqref="C24:G24"/>
    </sheetView>
  </sheetViews>
  <sheetFormatPr baseColWidth="10" defaultColWidth="11.44140625" defaultRowHeight="13.8"/>
  <cols>
    <col min="1" max="2" width="3.44140625" style="115" customWidth="1"/>
    <col min="3" max="3" width="12.44140625" style="115" customWidth="1"/>
    <col min="4" max="4" width="18" style="115" customWidth="1"/>
    <col min="5" max="9" width="11.44140625" style="115"/>
    <col min="10" max="10" width="16" style="115" customWidth="1"/>
    <col min="11" max="11" width="15" style="115" customWidth="1"/>
    <col min="12" max="12" width="17.44140625" style="115" customWidth="1"/>
    <col min="13" max="14" width="11.44140625" style="115"/>
    <col min="15" max="15" width="20" style="115" customWidth="1"/>
    <col min="16" max="16" width="3.44140625" style="115" customWidth="1"/>
    <col min="17" max="16384" width="11.44140625" style="115"/>
  </cols>
  <sheetData>
    <row r="1" spans="2:16" ht="14.4" thickBot="1"/>
    <row r="2" spans="2:16" ht="15" thickTop="1" thickBot="1">
      <c r="B2" s="116"/>
      <c r="C2" s="117"/>
      <c r="D2" s="117"/>
      <c r="E2" s="117"/>
      <c r="F2" s="117"/>
      <c r="G2" s="117"/>
      <c r="H2" s="117"/>
      <c r="I2" s="117"/>
      <c r="J2" s="117"/>
      <c r="K2" s="117"/>
      <c r="L2" s="117"/>
      <c r="M2" s="117"/>
      <c r="N2" s="117"/>
      <c r="O2" s="117"/>
      <c r="P2" s="118"/>
    </row>
    <row r="3" spans="2:16">
      <c r="B3" s="119"/>
      <c r="C3" s="502"/>
      <c r="D3" s="451"/>
      <c r="E3" s="452"/>
      <c r="F3" s="452"/>
      <c r="G3" s="452"/>
      <c r="H3" s="452"/>
      <c r="I3" s="452"/>
      <c r="J3" s="452"/>
      <c r="K3" s="453"/>
      <c r="L3" s="454"/>
      <c r="M3" s="455"/>
      <c r="N3" s="455"/>
      <c r="O3" s="456"/>
      <c r="P3" s="120"/>
    </row>
    <row r="4" spans="2:16">
      <c r="B4" s="119"/>
      <c r="C4" s="503"/>
      <c r="D4" s="460" t="s">
        <v>178</v>
      </c>
      <c r="E4" s="461"/>
      <c r="F4" s="461"/>
      <c r="G4" s="461"/>
      <c r="H4" s="461"/>
      <c r="I4" s="461"/>
      <c r="J4" s="461"/>
      <c r="K4" s="462"/>
      <c r="L4" s="457"/>
      <c r="M4" s="458"/>
      <c r="N4" s="458"/>
      <c r="O4" s="459"/>
      <c r="P4" s="120"/>
    </row>
    <row r="5" spans="2:16">
      <c r="B5" s="119"/>
      <c r="C5" s="503"/>
      <c r="D5" s="460"/>
      <c r="E5" s="461"/>
      <c r="F5" s="461"/>
      <c r="G5" s="461"/>
      <c r="H5" s="461"/>
      <c r="I5" s="461"/>
      <c r="J5" s="461"/>
      <c r="K5" s="462"/>
      <c r="L5" s="449" t="s">
        <v>179</v>
      </c>
      <c r="M5" s="464">
        <v>1</v>
      </c>
      <c r="N5" s="465"/>
      <c r="O5" s="466"/>
      <c r="P5" s="120"/>
    </row>
    <row r="6" spans="2:16">
      <c r="B6" s="119"/>
      <c r="C6" s="503"/>
      <c r="D6" s="460" t="s">
        <v>87</v>
      </c>
      <c r="E6" s="461"/>
      <c r="F6" s="461"/>
      <c r="G6" s="461"/>
      <c r="H6" s="461"/>
      <c r="I6" s="461"/>
      <c r="J6" s="461"/>
      <c r="K6" s="462"/>
      <c r="L6" s="463"/>
      <c r="M6" s="467"/>
      <c r="N6" s="468"/>
      <c r="O6" s="469"/>
      <c r="P6" s="121"/>
    </row>
    <row r="7" spans="2:16" ht="12.75" customHeight="1">
      <c r="B7" s="119"/>
      <c r="C7" s="503"/>
      <c r="D7" s="446"/>
      <c r="E7" s="447"/>
      <c r="F7" s="447"/>
      <c r="G7" s="447"/>
      <c r="H7" s="447"/>
      <c r="I7" s="447"/>
      <c r="J7" s="447"/>
      <c r="K7" s="448"/>
      <c r="L7" s="449" t="s">
        <v>180</v>
      </c>
      <c r="M7" s="449">
        <v>1</v>
      </c>
      <c r="N7" s="449" t="s">
        <v>181</v>
      </c>
      <c r="O7" s="495">
        <v>1</v>
      </c>
      <c r="P7" s="120"/>
    </row>
    <row r="8" spans="2:16">
      <c r="B8" s="119"/>
      <c r="C8" s="503"/>
      <c r="D8" s="446"/>
      <c r="E8" s="447"/>
      <c r="F8" s="447"/>
      <c r="G8" s="447"/>
      <c r="H8" s="447"/>
      <c r="I8" s="447"/>
      <c r="J8" s="447"/>
      <c r="K8" s="448"/>
      <c r="L8" s="450"/>
      <c r="M8" s="450"/>
      <c r="N8" s="450"/>
      <c r="O8" s="496"/>
      <c r="P8" s="120"/>
    </row>
    <row r="9" spans="2:16">
      <c r="B9" s="119"/>
      <c r="C9" s="503"/>
      <c r="D9" s="460" t="s">
        <v>182</v>
      </c>
      <c r="E9" s="461"/>
      <c r="F9" s="461"/>
      <c r="G9" s="461"/>
      <c r="H9" s="461"/>
      <c r="I9" s="461"/>
      <c r="J9" s="461"/>
      <c r="K9" s="462"/>
      <c r="L9" s="450"/>
      <c r="M9" s="450"/>
      <c r="N9" s="450"/>
      <c r="O9" s="496"/>
      <c r="P9" s="120"/>
    </row>
    <row r="10" spans="2:16" ht="14.4" thickBot="1">
      <c r="B10" s="119"/>
      <c r="C10" s="122"/>
      <c r="D10" s="123"/>
      <c r="E10" s="123"/>
      <c r="F10" s="123"/>
      <c r="G10" s="123"/>
      <c r="H10" s="123"/>
      <c r="I10" s="123"/>
      <c r="J10" s="123"/>
      <c r="K10" s="123"/>
      <c r="L10" s="123"/>
      <c r="M10" s="124"/>
      <c r="N10" s="124"/>
      <c r="O10" s="125"/>
      <c r="P10" s="126"/>
    </row>
    <row r="11" spans="2:16">
      <c r="B11" s="119"/>
      <c r="C11" s="127"/>
      <c r="D11" s="128"/>
      <c r="E11" s="128"/>
      <c r="F11" s="128"/>
      <c r="G11" s="128"/>
      <c r="H11" s="128"/>
      <c r="I11" s="128"/>
      <c r="J11" s="128"/>
      <c r="K11" s="128"/>
      <c r="L11" s="129" t="s">
        <v>150</v>
      </c>
      <c r="M11" s="130" t="s">
        <v>183</v>
      </c>
      <c r="N11" s="130" t="s">
        <v>184</v>
      </c>
      <c r="O11" s="131" t="s">
        <v>185</v>
      </c>
      <c r="P11" s="121"/>
    </row>
    <row r="12" spans="2:16">
      <c r="B12" s="119"/>
      <c r="C12" s="132"/>
      <c r="D12" s="133"/>
      <c r="E12" s="133"/>
      <c r="F12" s="133"/>
      <c r="G12" s="133"/>
      <c r="H12" s="133"/>
      <c r="I12" s="133"/>
      <c r="J12" s="133"/>
      <c r="K12" s="133"/>
      <c r="L12" s="134"/>
      <c r="M12" s="135"/>
      <c r="N12" s="135"/>
      <c r="O12" s="136"/>
      <c r="P12" s="137"/>
    </row>
    <row r="13" spans="2:16" ht="18" customHeight="1">
      <c r="B13" s="119"/>
      <c r="C13" s="497" t="s">
        <v>186</v>
      </c>
      <c r="D13" s="498"/>
      <c r="E13" s="498"/>
      <c r="F13" s="498"/>
      <c r="G13" s="133"/>
      <c r="H13" s="133"/>
      <c r="I13" s="133" t="s">
        <v>187</v>
      </c>
      <c r="J13" s="138"/>
      <c r="K13" s="133" t="s">
        <v>188</v>
      </c>
      <c r="L13" s="134"/>
      <c r="M13" s="138"/>
      <c r="N13" s="138"/>
      <c r="O13" s="139"/>
      <c r="P13" s="137"/>
    </row>
    <row r="14" spans="2:16">
      <c r="B14" s="119"/>
      <c r="C14" s="140"/>
      <c r="D14" s="141"/>
      <c r="E14" s="141"/>
      <c r="F14" s="141"/>
      <c r="G14" s="141"/>
      <c r="H14" s="141"/>
      <c r="I14" s="141"/>
      <c r="J14" s="141"/>
      <c r="K14" s="141"/>
      <c r="L14" s="141"/>
      <c r="M14" s="141"/>
      <c r="N14" s="141"/>
      <c r="O14" s="142"/>
      <c r="P14" s="121"/>
    </row>
    <row r="15" spans="2:16" ht="14.4" thickBot="1">
      <c r="B15" s="119"/>
      <c r="C15" s="143"/>
      <c r="D15" s="144"/>
      <c r="E15" s="144"/>
      <c r="F15" s="144"/>
      <c r="G15" s="144"/>
      <c r="H15" s="144"/>
      <c r="I15" s="144"/>
      <c r="J15" s="144"/>
      <c r="K15" s="144"/>
      <c r="L15" s="144"/>
      <c r="M15" s="144"/>
      <c r="N15" s="144"/>
      <c r="O15" s="145"/>
      <c r="P15" s="146"/>
    </row>
    <row r="16" spans="2:16" ht="14.4" thickBot="1">
      <c r="B16" s="119"/>
      <c r="C16" s="147"/>
      <c r="D16" s="148"/>
      <c r="E16" s="148"/>
      <c r="F16" s="148"/>
      <c r="G16" s="148"/>
      <c r="H16" s="148"/>
      <c r="I16" s="138"/>
      <c r="J16" s="138"/>
      <c r="K16" s="148"/>
      <c r="L16" s="148"/>
      <c r="M16" s="148"/>
      <c r="N16" s="148"/>
      <c r="O16" s="149"/>
      <c r="P16" s="146"/>
    </row>
    <row r="17" spans="2:16">
      <c r="B17" s="119"/>
      <c r="C17" s="499" t="s">
        <v>189</v>
      </c>
      <c r="D17" s="500"/>
      <c r="E17" s="500"/>
      <c r="F17" s="500"/>
      <c r="G17" s="500"/>
      <c r="H17" s="500"/>
      <c r="I17" s="500"/>
      <c r="J17" s="500"/>
      <c r="K17" s="500"/>
      <c r="L17" s="500"/>
      <c r="M17" s="500"/>
      <c r="N17" s="500"/>
      <c r="O17" s="501"/>
      <c r="P17" s="150"/>
    </row>
    <row r="18" spans="2:16" ht="14.4" thickBot="1">
      <c r="B18" s="119"/>
      <c r="C18" s="151"/>
      <c r="D18" s="138"/>
      <c r="E18" s="138"/>
      <c r="F18" s="138"/>
      <c r="G18" s="138"/>
      <c r="H18" s="138"/>
      <c r="I18" s="138"/>
      <c r="J18" s="138"/>
      <c r="K18" s="138"/>
      <c r="L18" s="138"/>
      <c r="M18" s="138"/>
      <c r="N18" s="138"/>
      <c r="O18" s="152"/>
      <c r="P18" s="146"/>
    </row>
    <row r="19" spans="2:16">
      <c r="B19" s="119"/>
      <c r="C19" s="153" t="s">
        <v>190</v>
      </c>
      <c r="D19" s="477" t="s">
        <v>155</v>
      </c>
      <c r="E19" s="478"/>
      <c r="F19" s="478"/>
      <c r="G19" s="478"/>
      <c r="H19" s="478"/>
      <c r="I19" s="478"/>
      <c r="J19" s="478"/>
      <c r="K19" s="478"/>
      <c r="L19" s="479"/>
      <c r="M19" s="470" t="s">
        <v>3</v>
      </c>
      <c r="N19" s="480"/>
      <c r="O19" s="153" t="s">
        <v>191</v>
      </c>
      <c r="P19" s="154"/>
    </row>
    <row r="20" spans="2:16" ht="58.5" customHeight="1" thickBot="1">
      <c r="B20" s="119"/>
      <c r="C20" s="155" t="s">
        <v>124</v>
      </c>
      <c r="D20" s="481" t="s">
        <v>126</v>
      </c>
      <c r="E20" s="482"/>
      <c r="F20" s="482"/>
      <c r="G20" s="482"/>
      <c r="H20" s="482"/>
      <c r="I20" s="482"/>
      <c r="J20" s="482"/>
      <c r="K20" s="482"/>
      <c r="L20" s="483"/>
      <c r="M20" s="484" t="s">
        <v>173</v>
      </c>
      <c r="N20" s="485"/>
      <c r="O20" s="156"/>
      <c r="P20" s="157"/>
    </row>
    <row r="21" spans="2:16">
      <c r="B21" s="119"/>
      <c r="C21" s="486" t="s">
        <v>192</v>
      </c>
      <c r="D21" s="487"/>
      <c r="E21" s="487"/>
      <c r="F21" s="487"/>
      <c r="G21" s="487"/>
      <c r="H21" s="487"/>
      <c r="I21" s="487"/>
      <c r="J21" s="487"/>
      <c r="K21" s="487"/>
      <c r="L21" s="487"/>
      <c r="M21" s="487"/>
      <c r="N21" s="487"/>
      <c r="O21" s="488"/>
      <c r="P21" s="158"/>
    </row>
    <row r="22" spans="2:16">
      <c r="B22" s="119"/>
      <c r="C22" s="489"/>
      <c r="D22" s="490"/>
      <c r="E22" s="490"/>
      <c r="F22" s="490"/>
      <c r="G22" s="490"/>
      <c r="H22" s="490"/>
      <c r="I22" s="490"/>
      <c r="J22" s="490"/>
      <c r="K22" s="490"/>
      <c r="L22" s="490"/>
      <c r="M22" s="490"/>
      <c r="N22" s="490"/>
      <c r="O22" s="491"/>
      <c r="P22" s="158"/>
    </row>
    <row r="23" spans="2:16" ht="14.4" thickBot="1">
      <c r="B23" s="119"/>
      <c r="C23" s="492"/>
      <c r="D23" s="493"/>
      <c r="E23" s="493"/>
      <c r="F23" s="493"/>
      <c r="G23" s="493"/>
      <c r="H23" s="493"/>
      <c r="I23" s="493"/>
      <c r="J23" s="493"/>
      <c r="K23" s="493"/>
      <c r="L23" s="493"/>
      <c r="M23" s="493"/>
      <c r="N23" s="493"/>
      <c r="O23" s="494"/>
      <c r="P23" s="158"/>
    </row>
    <row r="24" spans="2:16">
      <c r="B24" s="119"/>
      <c r="C24" s="470" t="s">
        <v>155</v>
      </c>
      <c r="D24" s="471"/>
      <c r="E24" s="471"/>
      <c r="F24" s="471"/>
      <c r="G24" s="472"/>
      <c r="H24" s="473" t="s">
        <v>193</v>
      </c>
      <c r="I24" s="471"/>
      <c r="J24" s="474" t="s">
        <v>162</v>
      </c>
      <c r="K24" s="475"/>
      <c r="L24" s="159" t="s">
        <v>194</v>
      </c>
      <c r="M24" s="473" t="s">
        <v>195</v>
      </c>
      <c r="N24" s="476"/>
      <c r="O24" s="160" t="s">
        <v>196</v>
      </c>
      <c r="P24" s="154"/>
    </row>
    <row r="25" spans="2:16" ht="23.25" customHeight="1">
      <c r="B25" s="119"/>
      <c r="C25" s="504" t="s">
        <v>197</v>
      </c>
      <c r="D25" s="505"/>
      <c r="E25" s="505"/>
      <c r="F25" s="505"/>
      <c r="G25" s="506"/>
      <c r="H25" s="507" t="s">
        <v>89</v>
      </c>
      <c r="I25" s="506"/>
      <c r="J25" s="508" t="s">
        <v>89</v>
      </c>
      <c r="K25" s="509"/>
      <c r="L25" s="161">
        <f>+O56</f>
        <v>35069.629999999997</v>
      </c>
      <c r="M25" s="510">
        <v>0.05</v>
      </c>
      <c r="N25" s="511"/>
      <c r="O25" s="162">
        <f>ROUND(L25*M25,2)</f>
        <v>1753.48</v>
      </c>
      <c r="P25" s="163"/>
    </row>
    <row r="26" spans="2:16" s="164" customFormat="1" ht="23.25" customHeight="1">
      <c r="B26" s="119"/>
      <c r="C26" s="504"/>
      <c r="D26" s="505"/>
      <c r="E26" s="505"/>
      <c r="F26" s="505"/>
      <c r="G26" s="506"/>
      <c r="H26" s="507"/>
      <c r="I26" s="506"/>
      <c r="J26" s="508"/>
      <c r="K26" s="509"/>
      <c r="L26" s="161"/>
      <c r="M26" s="510"/>
      <c r="N26" s="511"/>
      <c r="O26" s="162">
        <f>ROUND(L26*M26,2)</f>
        <v>0</v>
      </c>
      <c r="P26" s="163"/>
    </row>
    <row r="27" spans="2:16" s="164" customFormat="1">
      <c r="B27" s="119"/>
      <c r="C27" s="504"/>
      <c r="D27" s="505"/>
      <c r="E27" s="505"/>
      <c r="F27" s="505"/>
      <c r="G27" s="506"/>
      <c r="H27" s="508"/>
      <c r="I27" s="509"/>
      <c r="J27" s="508"/>
      <c r="K27" s="509"/>
      <c r="L27" s="161"/>
      <c r="M27" s="512"/>
      <c r="N27" s="511"/>
      <c r="O27" s="162"/>
      <c r="P27" s="163"/>
    </row>
    <row r="28" spans="2:16" s="164" customFormat="1" ht="14.4" thickBot="1">
      <c r="B28" s="119"/>
      <c r="C28" s="513"/>
      <c r="D28" s="514"/>
      <c r="E28" s="514"/>
      <c r="F28" s="514"/>
      <c r="G28" s="515"/>
      <c r="H28" s="516"/>
      <c r="I28" s="517"/>
      <c r="J28" s="516"/>
      <c r="K28" s="517"/>
      <c r="L28" s="165"/>
      <c r="M28" s="518"/>
      <c r="N28" s="519"/>
      <c r="O28" s="162"/>
      <c r="P28" s="163"/>
    </row>
    <row r="29" spans="2:16" s="164" customFormat="1" ht="14.4" thickBot="1">
      <c r="B29" s="119"/>
      <c r="C29" s="520" t="s">
        <v>198</v>
      </c>
      <c r="D29" s="521"/>
      <c r="E29" s="521"/>
      <c r="F29" s="521"/>
      <c r="G29" s="521"/>
      <c r="H29" s="521"/>
      <c r="I29" s="521"/>
      <c r="J29" s="521"/>
      <c r="K29" s="521"/>
      <c r="L29" s="521"/>
      <c r="M29" s="521"/>
      <c r="N29" s="522"/>
      <c r="O29" s="166">
        <f>+SUM(O25:O28)</f>
        <v>1753.48</v>
      </c>
      <c r="P29" s="167"/>
    </row>
    <row r="30" spans="2:16" s="164" customFormat="1" ht="13.5" customHeight="1">
      <c r="B30" s="119"/>
      <c r="C30" s="486" t="s">
        <v>199</v>
      </c>
      <c r="D30" s="487"/>
      <c r="E30" s="487"/>
      <c r="F30" s="487"/>
      <c r="G30" s="487"/>
      <c r="H30" s="487"/>
      <c r="I30" s="487"/>
      <c r="J30" s="487"/>
      <c r="K30" s="487"/>
      <c r="L30" s="487"/>
      <c r="M30" s="487"/>
      <c r="N30" s="487"/>
      <c r="O30" s="488"/>
      <c r="P30" s="158"/>
    </row>
    <row r="31" spans="2:16" s="164" customFormat="1">
      <c r="B31" s="119"/>
      <c r="C31" s="489"/>
      <c r="D31" s="490"/>
      <c r="E31" s="490"/>
      <c r="F31" s="490"/>
      <c r="G31" s="490"/>
      <c r="H31" s="490"/>
      <c r="I31" s="490"/>
      <c r="J31" s="490"/>
      <c r="K31" s="490"/>
      <c r="L31" s="490"/>
      <c r="M31" s="490"/>
      <c r="N31" s="490"/>
      <c r="O31" s="491"/>
      <c r="P31" s="158"/>
    </row>
    <row r="32" spans="2:16" s="164" customFormat="1" ht="14.4" thickBot="1">
      <c r="B32" s="119"/>
      <c r="C32" s="492"/>
      <c r="D32" s="493"/>
      <c r="E32" s="493"/>
      <c r="F32" s="493"/>
      <c r="G32" s="493"/>
      <c r="H32" s="493"/>
      <c r="I32" s="493"/>
      <c r="J32" s="493"/>
      <c r="K32" s="493"/>
      <c r="L32" s="493"/>
      <c r="M32" s="493"/>
      <c r="N32" s="493"/>
      <c r="O32" s="494"/>
      <c r="P32" s="158"/>
    </row>
    <row r="33" spans="2:16" s="164" customFormat="1">
      <c r="B33" s="119"/>
      <c r="C33" s="470" t="s">
        <v>155</v>
      </c>
      <c r="D33" s="523"/>
      <c r="E33" s="523"/>
      <c r="F33" s="523"/>
      <c r="G33" s="523"/>
      <c r="H33" s="523"/>
      <c r="I33" s="523"/>
      <c r="J33" s="476"/>
      <c r="K33" s="168" t="s">
        <v>3</v>
      </c>
      <c r="L33" s="159" t="s">
        <v>191</v>
      </c>
      <c r="M33" s="473" t="s">
        <v>200</v>
      </c>
      <c r="N33" s="476"/>
      <c r="O33" s="160" t="s">
        <v>196</v>
      </c>
      <c r="P33" s="154"/>
    </row>
    <row r="34" spans="2:16" s="164" customFormat="1" ht="37.5" customHeight="1">
      <c r="B34" s="119"/>
      <c r="C34" s="504" t="s">
        <v>235</v>
      </c>
      <c r="D34" s="505"/>
      <c r="E34" s="505"/>
      <c r="F34" s="505"/>
      <c r="G34" s="505"/>
      <c r="H34" s="505"/>
      <c r="I34" s="505"/>
      <c r="J34" s="506"/>
      <c r="K34" s="169" t="s">
        <v>41</v>
      </c>
      <c r="L34" s="170">
        <v>1</v>
      </c>
      <c r="M34" s="524">
        <v>64900</v>
      </c>
      <c r="N34" s="525"/>
      <c r="O34" s="171">
        <f>ROUND(L34*M34,2)</f>
        <v>64900</v>
      </c>
      <c r="P34" s="163"/>
    </row>
    <row r="35" spans="2:16" s="164" customFormat="1" ht="37.5" customHeight="1">
      <c r="B35" s="119"/>
      <c r="C35" s="504" t="s">
        <v>236</v>
      </c>
      <c r="D35" s="505"/>
      <c r="E35" s="505"/>
      <c r="F35" s="505"/>
      <c r="G35" s="505"/>
      <c r="H35" s="505"/>
      <c r="I35" s="505"/>
      <c r="J35" s="506"/>
      <c r="K35" s="169" t="s">
        <v>41</v>
      </c>
      <c r="L35" s="170">
        <v>1</v>
      </c>
      <c r="M35" s="524">
        <v>32900</v>
      </c>
      <c r="N35" s="525"/>
      <c r="O35" s="171">
        <f>ROUND(L35*M35,2)</f>
        <v>32900</v>
      </c>
      <c r="P35" s="163"/>
    </row>
    <row r="36" spans="2:16" s="164" customFormat="1" ht="37.5" customHeight="1">
      <c r="B36" s="119"/>
      <c r="C36" s="504"/>
      <c r="D36" s="505"/>
      <c r="E36" s="505"/>
      <c r="F36" s="505"/>
      <c r="G36" s="505"/>
      <c r="H36" s="505"/>
      <c r="I36" s="505"/>
      <c r="J36" s="506"/>
      <c r="K36" s="172"/>
      <c r="L36" s="173"/>
      <c r="M36" s="526"/>
      <c r="N36" s="527"/>
      <c r="O36" s="171"/>
      <c r="P36" s="163"/>
    </row>
    <row r="37" spans="2:16" s="164" customFormat="1" ht="37.5" customHeight="1">
      <c r="B37" s="119"/>
      <c r="C37" s="504"/>
      <c r="D37" s="505"/>
      <c r="E37" s="505"/>
      <c r="F37" s="505"/>
      <c r="G37" s="505"/>
      <c r="H37" s="505"/>
      <c r="I37" s="505"/>
      <c r="J37" s="506"/>
      <c r="K37" s="172"/>
      <c r="L37" s="173"/>
      <c r="M37" s="526"/>
      <c r="N37" s="527"/>
      <c r="O37" s="171"/>
      <c r="P37" s="163"/>
    </row>
    <row r="38" spans="2:16" s="164" customFormat="1" ht="37.5" customHeight="1">
      <c r="B38" s="119"/>
      <c r="C38" s="504"/>
      <c r="D38" s="505"/>
      <c r="E38" s="505"/>
      <c r="F38" s="505"/>
      <c r="G38" s="505"/>
      <c r="H38" s="505"/>
      <c r="I38" s="505"/>
      <c r="J38" s="506"/>
      <c r="K38" s="172"/>
      <c r="L38" s="173"/>
      <c r="M38" s="526"/>
      <c r="N38" s="527"/>
      <c r="O38" s="171"/>
      <c r="P38" s="163"/>
    </row>
    <row r="39" spans="2:16" s="164" customFormat="1" ht="14.4" thickBot="1">
      <c r="B39" s="119"/>
      <c r="C39" s="528"/>
      <c r="D39" s="529"/>
      <c r="E39" s="529"/>
      <c r="F39" s="529"/>
      <c r="G39" s="529"/>
      <c r="H39" s="529"/>
      <c r="I39" s="529"/>
      <c r="J39" s="517"/>
      <c r="K39" s="172"/>
      <c r="L39" s="174"/>
      <c r="M39" s="530"/>
      <c r="N39" s="531"/>
      <c r="O39" s="162">
        <f t="shared" ref="O39" si="0">ROUND(L39*M39,2)</f>
        <v>0</v>
      </c>
      <c r="P39" s="163"/>
    </row>
    <row r="40" spans="2:16" s="164" customFormat="1" ht="14.4" thickBot="1">
      <c r="B40" s="119"/>
      <c r="C40" s="520" t="s">
        <v>198</v>
      </c>
      <c r="D40" s="521"/>
      <c r="E40" s="521"/>
      <c r="F40" s="521"/>
      <c r="G40" s="521"/>
      <c r="H40" s="521"/>
      <c r="I40" s="521"/>
      <c r="J40" s="521"/>
      <c r="K40" s="521"/>
      <c r="L40" s="521"/>
      <c r="M40" s="521"/>
      <c r="N40" s="522"/>
      <c r="O40" s="175">
        <f>+SUM(O34:O39)</f>
        <v>97800</v>
      </c>
      <c r="P40" s="163"/>
    </row>
    <row r="41" spans="2:16" s="164" customFormat="1">
      <c r="B41" s="119"/>
      <c r="C41" s="486" t="s">
        <v>203</v>
      </c>
      <c r="D41" s="487"/>
      <c r="E41" s="487"/>
      <c r="F41" s="487"/>
      <c r="G41" s="487"/>
      <c r="H41" s="487"/>
      <c r="I41" s="487"/>
      <c r="J41" s="487"/>
      <c r="K41" s="487"/>
      <c r="L41" s="487"/>
      <c r="M41" s="487"/>
      <c r="N41" s="487"/>
      <c r="O41" s="488"/>
      <c r="P41" s="158"/>
    </row>
    <row r="42" spans="2:16" s="164" customFormat="1">
      <c r="B42" s="119"/>
      <c r="C42" s="489"/>
      <c r="D42" s="490"/>
      <c r="E42" s="490"/>
      <c r="F42" s="490"/>
      <c r="G42" s="490"/>
      <c r="H42" s="490"/>
      <c r="I42" s="490"/>
      <c r="J42" s="490"/>
      <c r="K42" s="490"/>
      <c r="L42" s="490"/>
      <c r="M42" s="490"/>
      <c r="N42" s="490"/>
      <c r="O42" s="491"/>
      <c r="P42" s="158"/>
    </row>
    <row r="43" spans="2:16" s="164" customFormat="1" ht="14.4" thickBot="1">
      <c r="B43" s="119"/>
      <c r="C43" s="492"/>
      <c r="D43" s="493"/>
      <c r="E43" s="493"/>
      <c r="F43" s="493"/>
      <c r="G43" s="493"/>
      <c r="H43" s="493"/>
      <c r="I43" s="493"/>
      <c r="J43" s="493"/>
      <c r="K43" s="493"/>
      <c r="L43" s="493"/>
      <c r="M43" s="493"/>
      <c r="N43" s="493"/>
      <c r="O43" s="494"/>
      <c r="P43" s="158"/>
    </row>
    <row r="44" spans="2:16" s="164" customFormat="1" ht="16.2">
      <c r="B44" s="119"/>
      <c r="C44" s="470" t="s">
        <v>204</v>
      </c>
      <c r="D44" s="523"/>
      <c r="E44" s="523"/>
      <c r="F44" s="523"/>
      <c r="G44" s="523"/>
      <c r="H44" s="523"/>
      <c r="I44" s="523"/>
      <c r="J44" s="159" t="s">
        <v>205</v>
      </c>
      <c r="K44" s="176" t="s">
        <v>206</v>
      </c>
      <c r="L44" s="177" t="s">
        <v>207</v>
      </c>
      <c r="M44" s="473" t="s">
        <v>208</v>
      </c>
      <c r="N44" s="476"/>
      <c r="O44" s="160" t="s">
        <v>196</v>
      </c>
      <c r="P44" s="154"/>
    </row>
    <row r="45" spans="2:16" s="164" customFormat="1" ht="29.25" customHeight="1">
      <c r="B45" s="119"/>
      <c r="C45" s="532"/>
      <c r="D45" s="533"/>
      <c r="E45" s="533"/>
      <c r="F45" s="533"/>
      <c r="G45" s="533"/>
      <c r="H45" s="533"/>
      <c r="I45" s="533"/>
      <c r="J45" s="170"/>
      <c r="K45" s="178"/>
      <c r="L45" s="170"/>
      <c r="M45" s="530"/>
      <c r="N45" s="531"/>
      <c r="O45" s="162">
        <f>ROUND(L45*M45,2)</f>
        <v>0</v>
      </c>
      <c r="P45" s="163"/>
    </row>
    <row r="46" spans="2:16" s="164" customFormat="1" ht="14.4" thickBot="1">
      <c r="B46" s="119"/>
      <c r="C46" s="528"/>
      <c r="D46" s="529"/>
      <c r="E46" s="529"/>
      <c r="F46" s="529"/>
      <c r="G46" s="529"/>
      <c r="H46" s="529"/>
      <c r="I46" s="529"/>
      <c r="J46" s="179"/>
      <c r="K46" s="180"/>
      <c r="L46" s="179"/>
      <c r="M46" s="534"/>
      <c r="N46" s="535"/>
      <c r="O46" s="181"/>
      <c r="P46" s="163"/>
    </row>
    <row r="47" spans="2:16" s="164" customFormat="1" ht="14.4" thickBot="1">
      <c r="B47" s="119"/>
      <c r="C47" s="520" t="s">
        <v>198</v>
      </c>
      <c r="D47" s="521"/>
      <c r="E47" s="521"/>
      <c r="F47" s="521"/>
      <c r="G47" s="521"/>
      <c r="H47" s="521"/>
      <c r="I47" s="521"/>
      <c r="J47" s="521"/>
      <c r="K47" s="521"/>
      <c r="L47" s="521"/>
      <c r="M47" s="521"/>
      <c r="N47" s="522"/>
      <c r="O47" s="175">
        <f>+SUM(O45:O46)</f>
        <v>0</v>
      </c>
      <c r="P47" s="167"/>
    </row>
    <row r="48" spans="2:16" s="164" customFormat="1">
      <c r="B48" s="119"/>
      <c r="C48" s="486" t="s">
        <v>209</v>
      </c>
      <c r="D48" s="487"/>
      <c r="E48" s="487"/>
      <c r="F48" s="487"/>
      <c r="G48" s="487"/>
      <c r="H48" s="487"/>
      <c r="I48" s="487"/>
      <c r="J48" s="487"/>
      <c r="K48" s="487"/>
      <c r="L48" s="487"/>
      <c r="M48" s="487"/>
      <c r="N48" s="487"/>
      <c r="O48" s="488"/>
      <c r="P48" s="158"/>
    </row>
    <row r="49" spans="2:16" s="164" customFormat="1">
      <c r="B49" s="119"/>
      <c r="C49" s="489"/>
      <c r="D49" s="490"/>
      <c r="E49" s="490"/>
      <c r="F49" s="490"/>
      <c r="G49" s="490"/>
      <c r="H49" s="490"/>
      <c r="I49" s="490"/>
      <c r="J49" s="490"/>
      <c r="K49" s="490"/>
      <c r="L49" s="490"/>
      <c r="M49" s="490"/>
      <c r="N49" s="490"/>
      <c r="O49" s="491"/>
      <c r="P49" s="158"/>
    </row>
    <row r="50" spans="2:16" s="164" customFormat="1" ht="14.4" thickBot="1">
      <c r="B50" s="119"/>
      <c r="C50" s="492"/>
      <c r="D50" s="493"/>
      <c r="E50" s="493"/>
      <c r="F50" s="493"/>
      <c r="G50" s="493"/>
      <c r="H50" s="493"/>
      <c r="I50" s="493"/>
      <c r="J50" s="493"/>
      <c r="K50" s="493"/>
      <c r="L50" s="493"/>
      <c r="M50" s="493"/>
      <c r="N50" s="493"/>
      <c r="O50" s="494"/>
      <c r="P50" s="158"/>
    </row>
    <row r="51" spans="2:16" s="164" customFormat="1">
      <c r="B51" s="119"/>
      <c r="C51" s="470" t="s">
        <v>210</v>
      </c>
      <c r="D51" s="523"/>
      <c r="E51" s="523"/>
      <c r="F51" s="523"/>
      <c r="G51" s="523"/>
      <c r="H51" s="523"/>
      <c r="I51" s="523"/>
      <c r="J51" s="159" t="s">
        <v>3</v>
      </c>
      <c r="K51" s="182" t="s">
        <v>211</v>
      </c>
      <c r="L51" s="183" t="s">
        <v>212</v>
      </c>
      <c r="M51" s="536" t="s">
        <v>195</v>
      </c>
      <c r="N51" s="537"/>
      <c r="O51" s="184" t="s">
        <v>196</v>
      </c>
      <c r="P51" s="185"/>
    </row>
    <row r="52" spans="2:16" s="164" customFormat="1">
      <c r="B52" s="119"/>
      <c r="C52" s="538" t="s">
        <v>213</v>
      </c>
      <c r="D52" s="539"/>
      <c r="E52" s="539"/>
      <c r="F52" s="539"/>
      <c r="G52" s="539"/>
      <c r="H52" s="539"/>
      <c r="I52" s="540"/>
      <c r="J52" s="186" t="s">
        <v>214</v>
      </c>
      <c r="K52" s="187"/>
      <c r="L52" s="188">
        <v>35069.629999999997</v>
      </c>
      <c r="M52" s="541">
        <v>1</v>
      </c>
      <c r="N52" s="542"/>
      <c r="O52" s="162">
        <f>+L52*M52</f>
        <v>35069.629999999997</v>
      </c>
      <c r="P52" s="189"/>
    </row>
    <row r="53" spans="2:16" s="164" customFormat="1">
      <c r="B53" s="119"/>
      <c r="C53" s="190"/>
      <c r="D53" s="191"/>
      <c r="E53" s="191"/>
      <c r="F53" s="191"/>
      <c r="G53" s="191"/>
      <c r="H53" s="191"/>
      <c r="I53" s="191"/>
      <c r="J53" s="192"/>
      <c r="K53" s="187"/>
      <c r="L53" s="193"/>
      <c r="M53" s="541"/>
      <c r="N53" s="542"/>
      <c r="O53" s="162"/>
      <c r="P53" s="189"/>
    </row>
    <row r="54" spans="2:16" s="164" customFormat="1">
      <c r="B54" s="119"/>
      <c r="C54" s="190"/>
      <c r="D54" s="191"/>
      <c r="E54" s="191"/>
      <c r="F54" s="191"/>
      <c r="G54" s="191"/>
      <c r="H54" s="191"/>
      <c r="I54" s="191"/>
      <c r="J54" s="192"/>
      <c r="K54" s="187"/>
      <c r="L54" s="193"/>
      <c r="M54" s="545"/>
      <c r="N54" s="546"/>
      <c r="O54" s="194"/>
      <c r="P54" s="189"/>
    </row>
    <row r="55" spans="2:16" s="164" customFormat="1" ht="14.4" thickBot="1">
      <c r="B55" s="119"/>
      <c r="C55" s="528"/>
      <c r="D55" s="529"/>
      <c r="E55" s="529"/>
      <c r="F55" s="529"/>
      <c r="G55" s="529"/>
      <c r="H55" s="529"/>
      <c r="I55" s="529"/>
      <c r="J55" s="179"/>
      <c r="K55" s="180"/>
      <c r="L55" s="179"/>
      <c r="M55" s="534"/>
      <c r="N55" s="535"/>
      <c r="O55" s="181"/>
      <c r="P55" s="163"/>
    </row>
    <row r="56" spans="2:16" s="164" customFormat="1" ht="14.4" thickBot="1">
      <c r="B56" s="119"/>
      <c r="C56" s="520" t="s">
        <v>198</v>
      </c>
      <c r="D56" s="521"/>
      <c r="E56" s="521"/>
      <c r="F56" s="521"/>
      <c r="G56" s="521"/>
      <c r="H56" s="521"/>
      <c r="I56" s="521"/>
      <c r="J56" s="521"/>
      <c r="K56" s="521"/>
      <c r="L56" s="521"/>
      <c r="M56" s="521"/>
      <c r="N56" s="522"/>
      <c r="O56" s="175">
        <f>+SUM(O52:O55)</f>
        <v>35069.629999999997</v>
      </c>
      <c r="P56" s="163"/>
    </row>
    <row r="57" spans="2:16" s="164" customFormat="1" ht="14.4" thickBot="1">
      <c r="B57" s="119"/>
      <c r="C57" s="151"/>
      <c r="D57" s="138"/>
      <c r="E57" s="138"/>
      <c r="F57" s="138"/>
      <c r="G57" s="138"/>
      <c r="H57" s="138"/>
      <c r="I57" s="138"/>
      <c r="J57" s="138"/>
      <c r="K57" s="138"/>
      <c r="L57" s="138"/>
      <c r="M57" s="138"/>
      <c r="N57" s="138"/>
      <c r="O57" s="152"/>
      <c r="P57" s="146"/>
    </row>
    <row r="58" spans="2:16" s="164" customFormat="1" ht="14.4" thickBot="1">
      <c r="B58" s="119"/>
      <c r="C58" s="547" t="s">
        <v>215</v>
      </c>
      <c r="D58" s="548"/>
      <c r="E58" s="548"/>
      <c r="F58" s="548"/>
      <c r="G58" s="548"/>
      <c r="H58" s="548"/>
      <c r="I58" s="548"/>
      <c r="J58" s="548"/>
      <c r="K58" s="548"/>
      <c r="L58" s="548"/>
      <c r="M58" s="548"/>
      <c r="N58" s="549"/>
      <c r="O58" s="195">
        <f>ROUNDDOWN(+O56+O47+O40+O29,0)</f>
        <v>134623</v>
      </c>
      <c r="P58" s="196"/>
    </row>
    <row r="59" spans="2:16" s="164" customFormat="1" ht="14.4" thickBot="1">
      <c r="B59" s="119"/>
      <c r="C59" s="550" t="s">
        <v>216</v>
      </c>
      <c r="D59" s="551"/>
      <c r="E59" s="551"/>
      <c r="F59" s="551"/>
      <c r="G59" s="551"/>
      <c r="H59" s="551"/>
      <c r="I59" s="551"/>
      <c r="J59" s="551"/>
      <c r="K59" s="551"/>
      <c r="L59" s="551"/>
      <c r="M59" s="551"/>
      <c r="N59" s="552"/>
      <c r="O59" s="197"/>
      <c r="P59" s="196"/>
    </row>
    <row r="60" spans="2:16" s="164" customFormat="1" ht="14.4" thickBot="1">
      <c r="B60" s="119"/>
      <c r="C60" s="553" t="s">
        <v>217</v>
      </c>
      <c r="D60" s="554"/>
      <c r="E60" s="554"/>
      <c r="F60" s="554"/>
      <c r="G60" s="554"/>
      <c r="H60" s="554"/>
      <c r="I60" s="554"/>
      <c r="J60" s="554"/>
      <c r="K60" s="554"/>
      <c r="L60" s="554"/>
      <c r="M60" s="554"/>
      <c r="N60" s="555"/>
      <c r="O60" s="198"/>
      <c r="P60" s="196"/>
    </row>
    <row r="61" spans="2:16" s="164" customFormat="1" ht="12.75" customHeight="1">
      <c r="B61" s="119"/>
      <c r="C61" s="486" t="s">
        <v>218</v>
      </c>
      <c r="D61" s="487"/>
      <c r="E61" s="487"/>
      <c r="F61" s="487"/>
      <c r="G61" s="487"/>
      <c r="H61" s="487"/>
      <c r="I61" s="487"/>
      <c r="J61" s="487"/>
      <c r="K61" s="487"/>
      <c r="L61" s="487"/>
      <c r="M61" s="487"/>
      <c r="N61" s="487"/>
      <c r="O61" s="488"/>
      <c r="P61" s="158"/>
    </row>
    <row r="62" spans="2:16" s="164" customFormat="1" ht="12.75" customHeight="1">
      <c r="B62" s="119"/>
      <c r="C62" s="489"/>
      <c r="D62" s="490"/>
      <c r="E62" s="490"/>
      <c r="F62" s="490"/>
      <c r="G62" s="490"/>
      <c r="H62" s="490"/>
      <c r="I62" s="490"/>
      <c r="J62" s="490"/>
      <c r="K62" s="490"/>
      <c r="L62" s="490"/>
      <c r="M62" s="490"/>
      <c r="N62" s="490"/>
      <c r="O62" s="491"/>
      <c r="P62" s="158"/>
    </row>
    <row r="63" spans="2:16" s="164" customFormat="1" ht="13.5" customHeight="1" thickBot="1">
      <c r="B63" s="119"/>
      <c r="C63" s="492"/>
      <c r="D63" s="493"/>
      <c r="E63" s="493"/>
      <c r="F63" s="493"/>
      <c r="G63" s="493"/>
      <c r="H63" s="493"/>
      <c r="I63" s="493"/>
      <c r="J63" s="493"/>
      <c r="K63" s="493"/>
      <c r="L63" s="493"/>
      <c r="M63" s="493"/>
      <c r="N63" s="493"/>
      <c r="O63" s="494"/>
      <c r="P63" s="158"/>
    </row>
    <row r="64" spans="2:16" s="164" customFormat="1" ht="15" customHeight="1">
      <c r="B64" s="119"/>
      <c r="C64" s="470" t="s">
        <v>219</v>
      </c>
      <c r="D64" s="523"/>
      <c r="E64" s="523"/>
      <c r="F64" s="523"/>
      <c r="G64" s="523"/>
      <c r="H64" s="523"/>
      <c r="I64" s="523"/>
      <c r="J64" s="176"/>
      <c r="K64" s="199"/>
      <c r="L64" s="183" t="s">
        <v>220</v>
      </c>
      <c r="M64" s="536" t="s">
        <v>221</v>
      </c>
      <c r="N64" s="537"/>
      <c r="O64" s="184"/>
      <c r="P64" s="185"/>
    </row>
    <row r="65" spans="1:25" s="164" customFormat="1">
      <c r="B65" s="119"/>
      <c r="C65" s="532" t="s">
        <v>141</v>
      </c>
      <c r="D65" s="533"/>
      <c r="E65" s="533"/>
      <c r="F65" s="533"/>
      <c r="G65" s="533"/>
      <c r="H65" s="533"/>
      <c r="I65" s="533"/>
      <c r="J65" s="200"/>
      <c r="K65" s="201"/>
      <c r="L65" s="202">
        <v>0.24</v>
      </c>
      <c r="M65" s="543"/>
      <c r="N65" s="544"/>
      <c r="O65" s="203"/>
      <c r="P65" s="204"/>
    </row>
    <row r="66" spans="1:25" s="164" customFormat="1">
      <c r="B66" s="119"/>
      <c r="C66" s="205" t="s">
        <v>222</v>
      </c>
      <c r="D66" s="124"/>
      <c r="E66" s="124"/>
      <c r="F66" s="124"/>
      <c r="G66" s="124"/>
      <c r="H66" s="124"/>
      <c r="I66" s="124"/>
      <c r="J66" s="200"/>
      <c r="K66" s="201"/>
      <c r="L66" s="202">
        <v>0.01</v>
      </c>
      <c r="M66" s="543"/>
      <c r="N66" s="544"/>
      <c r="O66" s="203"/>
      <c r="P66" s="204"/>
    </row>
    <row r="67" spans="1:25" s="164" customFormat="1" ht="14.4" thickBot="1">
      <c r="B67" s="119"/>
      <c r="C67" s="143" t="s">
        <v>143</v>
      </c>
      <c r="D67" s="144"/>
      <c r="E67" s="144"/>
      <c r="F67" s="144"/>
      <c r="G67" s="144"/>
      <c r="H67" s="144"/>
      <c r="I67" s="144"/>
      <c r="J67" s="206"/>
      <c r="K67" s="207"/>
      <c r="L67" s="202">
        <v>0.05</v>
      </c>
      <c r="M67" s="563"/>
      <c r="N67" s="564"/>
      <c r="O67" s="203"/>
      <c r="P67" s="204"/>
    </row>
    <row r="68" spans="1:25" s="164" customFormat="1" ht="14.4" thickBot="1">
      <c r="B68" s="119"/>
      <c r="C68" s="520" t="s">
        <v>198</v>
      </c>
      <c r="D68" s="521"/>
      <c r="E68" s="521"/>
      <c r="F68" s="521"/>
      <c r="G68" s="521"/>
      <c r="H68" s="521"/>
      <c r="I68" s="521"/>
      <c r="J68" s="521"/>
      <c r="K68" s="521"/>
      <c r="L68" s="521"/>
      <c r="M68" s="521"/>
      <c r="N68" s="522"/>
      <c r="O68" s="208">
        <f>+SUM(O65:O67)</f>
        <v>0</v>
      </c>
      <c r="P68" s="209"/>
    </row>
    <row r="69" spans="1:25" s="164" customFormat="1" ht="14.4" thickBot="1">
      <c r="B69" s="119"/>
      <c r="C69" s="151"/>
      <c r="D69" s="138"/>
      <c r="E69" s="138"/>
      <c r="F69" s="138"/>
      <c r="G69" s="138"/>
      <c r="H69" s="138"/>
      <c r="I69" s="138"/>
      <c r="J69" s="138"/>
      <c r="K69" s="138"/>
      <c r="L69" s="138"/>
      <c r="M69" s="138"/>
      <c r="N69" s="138"/>
      <c r="O69" s="152"/>
      <c r="P69" s="146"/>
    </row>
    <row r="70" spans="1:25" s="164" customFormat="1" ht="14.4" thickBot="1">
      <c r="B70" s="119"/>
      <c r="C70" s="547" t="s">
        <v>223</v>
      </c>
      <c r="D70" s="548"/>
      <c r="E70" s="548"/>
      <c r="F70" s="548"/>
      <c r="G70" s="548"/>
      <c r="H70" s="548"/>
      <c r="I70" s="548"/>
      <c r="J70" s="548"/>
      <c r="K70" s="548"/>
      <c r="L70" s="548"/>
      <c r="M70" s="548"/>
      <c r="N70" s="549"/>
      <c r="O70" s="210" t="s">
        <v>211</v>
      </c>
      <c r="P70" s="209"/>
    </row>
    <row r="71" spans="1:25" s="164" customFormat="1">
      <c r="B71" s="119"/>
      <c r="C71" s="151"/>
      <c r="D71" s="138"/>
      <c r="E71" s="138"/>
      <c r="F71" s="138"/>
      <c r="G71" s="138"/>
      <c r="H71" s="138"/>
      <c r="I71" s="138"/>
      <c r="J71" s="138"/>
      <c r="K71" s="138"/>
      <c r="L71" s="138"/>
      <c r="M71" s="138"/>
      <c r="N71" s="138"/>
      <c r="O71" s="152"/>
      <c r="P71" s="146"/>
    </row>
    <row r="72" spans="1:25" s="164" customFormat="1">
      <c r="B72" s="119"/>
      <c r="C72" s="151"/>
      <c r="D72" s="138"/>
      <c r="E72" s="138"/>
      <c r="F72" s="138"/>
      <c r="G72" s="138"/>
      <c r="H72" s="211" t="s">
        <v>224</v>
      </c>
      <c r="I72" s="211"/>
      <c r="J72" s="211"/>
      <c r="K72" s="211"/>
      <c r="L72" s="138"/>
      <c r="M72" s="138"/>
      <c r="N72" s="138"/>
      <c r="O72" s="152"/>
      <c r="P72" s="146"/>
    </row>
    <row r="73" spans="1:25" s="164" customFormat="1">
      <c r="B73" s="119"/>
      <c r="C73" s="151"/>
      <c r="D73" s="138"/>
      <c r="E73" s="138"/>
      <c r="F73" s="138"/>
      <c r="G73" s="138"/>
      <c r="H73" s="211" t="s">
        <v>225</v>
      </c>
      <c r="I73" s="138"/>
      <c r="J73" s="138"/>
      <c r="K73" s="138"/>
      <c r="L73" s="138"/>
      <c r="M73" s="138"/>
      <c r="N73" s="138"/>
      <c r="O73" s="152"/>
      <c r="P73" s="212"/>
    </row>
    <row r="74" spans="1:25" s="164" customFormat="1">
      <c r="B74" s="119"/>
      <c r="C74" s="151"/>
      <c r="D74" s="138"/>
      <c r="E74" s="138"/>
      <c r="F74" s="138"/>
      <c r="G74" s="138"/>
      <c r="H74" s="211" t="s">
        <v>226</v>
      </c>
      <c r="I74" s="138"/>
      <c r="J74" s="138"/>
      <c r="K74" s="138"/>
      <c r="L74" s="138"/>
      <c r="M74" s="138"/>
      <c r="N74" s="138"/>
      <c r="O74" s="152"/>
      <c r="P74" s="212"/>
    </row>
    <row r="75" spans="1:25" s="164" customFormat="1">
      <c r="B75" s="119"/>
      <c r="C75" s="132"/>
      <c r="D75" s="213"/>
      <c r="E75" s="213"/>
      <c r="F75" s="213"/>
      <c r="G75" s="213"/>
      <c r="H75" s="211" t="s">
        <v>227</v>
      </c>
      <c r="I75" s="213"/>
      <c r="J75" s="213"/>
      <c r="K75" s="213"/>
      <c r="L75" s="213"/>
      <c r="M75" s="213"/>
      <c r="N75" s="213"/>
      <c r="O75" s="214"/>
      <c r="P75" s="215"/>
    </row>
    <row r="76" spans="1:25" s="164" customFormat="1">
      <c r="B76" s="119"/>
      <c r="C76" s="151"/>
      <c r="D76" s="138"/>
      <c r="E76" s="138"/>
      <c r="F76" s="138"/>
      <c r="G76" s="138"/>
      <c r="H76" s="138" t="s">
        <v>153</v>
      </c>
      <c r="I76" s="138"/>
      <c r="J76" s="138"/>
      <c r="K76" s="138"/>
      <c r="L76" s="138"/>
      <c r="M76" s="138"/>
      <c r="N76" s="138"/>
      <c r="O76" s="152"/>
      <c r="P76" s="146"/>
    </row>
    <row r="77" spans="1:25" s="164" customFormat="1">
      <c r="B77" s="119"/>
      <c r="C77" s="216" t="s">
        <v>228</v>
      </c>
      <c r="D77" s="217"/>
      <c r="E77" s="217"/>
      <c r="F77" s="217"/>
      <c r="G77" s="217"/>
      <c r="H77" s="217" t="s">
        <v>237</v>
      </c>
      <c r="I77" s="217"/>
      <c r="J77" s="217"/>
      <c r="K77" s="217"/>
      <c r="L77" s="217"/>
      <c r="M77" s="217"/>
      <c r="N77" s="217"/>
      <c r="O77" s="218"/>
      <c r="P77" s="146"/>
    </row>
    <row r="78" spans="1:25" s="164" customFormat="1">
      <c r="A78" s="115"/>
      <c r="B78" s="119"/>
      <c r="C78" s="565"/>
      <c r="D78" s="566"/>
      <c r="E78" s="566"/>
      <c r="F78" s="566"/>
      <c r="G78" s="566"/>
      <c r="H78" s="566"/>
      <c r="I78" s="566"/>
      <c r="J78" s="566"/>
      <c r="K78" s="566"/>
      <c r="L78" s="566"/>
      <c r="M78" s="566"/>
      <c r="N78" s="566"/>
      <c r="O78" s="567"/>
      <c r="P78" s="215"/>
      <c r="Q78" s="115"/>
      <c r="R78" s="115"/>
      <c r="S78" s="115"/>
      <c r="T78" s="115"/>
      <c r="U78" s="115"/>
      <c r="V78" s="115"/>
      <c r="W78" s="115"/>
      <c r="X78" s="115"/>
      <c r="Y78" s="115"/>
    </row>
    <row r="79" spans="1:25" s="164" customFormat="1">
      <c r="A79" s="115"/>
      <c r="B79" s="119"/>
      <c r="C79" s="565"/>
      <c r="D79" s="566"/>
      <c r="E79" s="566"/>
      <c r="F79" s="566"/>
      <c r="G79" s="566"/>
      <c r="H79" s="566"/>
      <c r="I79" s="566"/>
      <c r="J79" s="566"/>
      <c r="K79" s="566"/>
      <c r="L79" s="566"/>
      <c r="M79" s="566"/>
      <c r="N79" s="566"/>
      <c r="O79" s="567"/>
      <c r="P79" s="215"/>
      <c r="Q79" s="115"/>
      <c r="R79" s="115"/>
      <c r="S79" s="115"/>
      <c r="T79" s="115"/>
      <c r="U79" s="115"/>
      <c r="V79" s="115"/>
      <c r="W79" s="115"/>
      <c r="X79" s="115"/>
      <c r="Y79" s="115"/>
    </row>
    <row r="80" spans="1:25" s="164" customFormat="1">
      <c r="A80" s="115"/>
      <c r="B80" s="119"/>
      <c r="C80" s="132"/>
      <c r="D80" s="213"/>
      <c r="E80" s="213"/>
      <c r="F80" s="213"/>
      <c r="G80" s="213"/>
      <c r="H80" s="213"/>
      <c r="I80" s="213"/>
      <c r="J80" s="213"/>
      <c r="K80" s="213"/>
      <c r="L80" s="213"/>
      <c r="M80" s="213"/>
      <c r="N80" s="213"/>
      <c r="O80" s="214"/>
      <c r="P80" s="215"/>
      <c r="Q80" s="115"/>
      <c r="R80" s="115"/>
      <c r="S80" s="115"/>
      <c r="T80" s="115"/>
      <c r="U80" s="115"/>
      <c r="V80" s="115"/>
      <c r="W80" s="115"/>
      <c r="X80" s="115"/>
      <c r="Y80" s="115"/>
    </row>
    <row r="81" spans="1:25" s="164" customFormat="1">
      <c r="A81" s="115"/>
      <c r="B81" s="119"/>
      <c r="C81" s="219" t="s">
        <v>230</v>
      </c>
      <c r="D81" s="213"/>
      <c r="E81" s="213"/>
      <c r="F81" s="213"/>
      <c r="G81" s="213"/>
      <c r="H81" s="213"/>
      <c r="I81" s="213"/>
      <c r="J81" s="213"/>
      <c r="K81" s="213"/>
      <c r="L81" s="213"/>
      <c r="M81" s="213"/>
      <c r="N81" s="213"/>
      <c r="O81" s="214"/>
      <c r="P81" s="215"/>
      <c r="Q81" s="115"/>
      <c r="R81" s="115"/>
      <c r="S81" s="115"/>
      <c r="T81" s="115"/>
      <c r="U81" s="115"/>
      <c r="V81" s="115"/>
      <c r="W81" s="115"/>
      <c r="X81" s="115"/>
      <c r="Y81" s="115"/>
    </row>
    <row r="82" spans="1:25" s="164" customFormat="1" ht="12.75" customHeight="1">
      <c r="A82" s="115"/>
      <c r="B82" s="119"/>
      <c r="C82" s="556" t="s">
        <v>231</v>
      </c>
      <c r="D82" s="557"/>
      <c r="E82" s="557"/>
      <c r="F82" s="557"/>
      <c r="G82" s="557"/>
      <c r="H82" s="557"/>
      <c r="I82" s="557"/>
      <c r="J82" s="557"/>
      <c r="K82" s="557"/>
      <c r="L82" s="557"/>
      <c r="M82" s="557"/>
      <c r="N82" s="557"/>
      <c r="O82" s="558"/>
      <c r="P82" s="220"/>
      <c r="Q82" s="115"/>
      <c r="R82" s="115"/>
      <c r="S82" s="115"/>
      <c r="T82" s="115"/>
      <c r="U82" s="115"/>
      <c r="V82" s="115"/>
      <c r="W82" s="115"/>
      <c r="X82" s="115"/>
      <c r="Y82" s="115"/>
    </row>
    <row r="83" spans="1:25" s="164" customFormat="1" ht="28.5" customHeight="1">
      <c r="A83" s="115"/>
      <c r="B83" s="119"/>
      <c r="C83" s="556"/>
      <c r="D83" s="557"/>
      <c r="E83" s="557"/>
      <c r="F83" s="557"/>
      <c r="G83" s="557"/>
      <c r="H83" s="557"/>
      <c r="I83" s="557"/>
      <c r="J83" s="557"/>
      <c r="K83" s="557"/>
      <c r="L83" s="557"/>
      <c r="M83" s="557"/>
      <c r="N83" s="557"/>
      <c r="O83" s="558"/>
      <c r="P83" s="220"/>
      <c r="Q83" s="115"/>
      <c r="R83" s="115"/>
      <c r="S83" s="115"/>
      <c r="T83" s="115"/>
      <c r="U83" s="115"/>
      <c r="V83" s="115"/>
      <c r="W83" s="115"/>
      <c r="X83" s="115"/>
      <c r="Y83" s="115"/>
    </row>
    <row r="84" spans="1:25" ht="13.35" customHeight="1">
      <c r="B84" s="119"/>
      <c r="C84" s="556" t="s">
        <v>232</v>
      </c>
      <c r="D84" s="557"/>
      <c r="E84" s="557"/>
      <c r="F84" s="557"/>
      <c r="G84" s="557"/>
      <c r="H84" s="557"/>
      <c r="I84" s="557"/>
      <c r="J84" s="557"/>
      <c r="K84" s="557"/>
      <c r="L84" s="557"/>
      <c r="M84" s="557"/>
      <c r="N84" s="557"/>
      <c r="O84" s="558"/>
      <c r="P84" s="220"/>
    </row>
    <row r="85" spans="1:25" ht="45" customHeight="1">
      <c r="B85" s="119"/>
      <c r="C85" s="556"/>
      <c r="D85" s="557"/>
      <c r="E85" s="557"/>
      <c r="F85" s="557"/>
      <c r="G85" s="557"/>
      <c r="H85" s="557"/>
      <c r="I85" s="557"/>
      <c r="J85" s="557"/>
      <c r="K85" s="557"/>
      <c r="L85" s="557"/>
      <c r="M85" s="557"/>
      <c r="N85" s="557"/>
      <c r="O85" s="558"/>
      <c r="P85" s="220"/>
    </row>
    <row r="86" spans="1:25">
      <c r="B86" s="119"/>
      <c r="C86" s="132"/>
      <c r="D86" s="213"/>
      <c r="E86" s="213"/>
      <c r="F86" s="213"/>
      <c r="G86" s="213"/>
      <c r="H86" s="213"/>
      <c r="I86" s="213"/>
      <c r="J86" s="213"/>
      <c r="K86" s="213"/>
      <c r="L86" s="213"/>
      <c r="M86" s="213"/>
      <c r="N86" s="213"/>
      <c r="O86" s="214"/>
      <c r="P86" s="215"/>
    </row>
    <row r="87" spans="1:25">
      <c r="B87" s="119"/>
      <c r="C87" s="151"/>
      <c r="D87" s="138"/>
      <c r="E87" s="138"/>
      <c r="F87" s="138"/>
      <c r="G87" s="138"/>
      <c r="H87" s="211" t="s">
        <v>224</v>
      </c>
      <c r="I87" s="138"/>
      <c r="J87" s="138"/>
      <c r="K87" s="138"/>
      <c r="L87" s="138"/>
      <c r="M87" s="138"/>
      <c r="N87" s="138"/>
      <c r="O87" s="152"/>
      <c r="P87" s="146"/>
    </row>
    <row r="88" spans="1:25">
      <c r="B88" s="119"/>
      <c r="C88" s="151"/>
      <c r="D88" s="138"/>
      <c r="E88" s="138"/>
      <c r="F88" s="138"/>
      <c r="G88" s="138"/>
      <c r="H88" s="138" t="s">
        <v>225</v>
      </c>
      <c r="I88" s="124"/>
      <c r="J88" s="124"/>
      <c r="K88" s="124"/>
      <c r="L88" s="138"/>
      <c r="M88" s="138"/>
      <c r="N88" s="138"/>
      <c r="O88" s="152"/>
      <c r="P88" s="146"/>
    </row>
    <row r="89" spans="1:25">
      <c r="B89" s="119"/>
      <c r="C89" s="151"/>
      <c r="D89" s="138"/>
      <c r="E89" s="138"/>
      <c r="F89" s="138"/>
      <c r="G89" s="138"/>
      <c r="H89" s="138" t="s">
        <v>233</v>
      </c>
      <c r="I89" s="221"/>
      <c r="J89" s="221"/>
      <c r="K89" s="221"/>
      <c r="L89" s="138"/>
      <c r="M89" s="138"/>
      <c r="N89" s="138"/>
      <c r="O89" s="152"/>
      <c r="P89" s="146"/>
    </row>
    <row r="90" spans="1:25">
      <c r="B90" s="119"/>
      <c r="C90" s="222"/>
      <c r="D90" s="213"/>
      <c r="E90" s="213"/>
      <c r="F90" s="213"/>
      <c r="G90" s="213"/>
      <c r="H90" s="138" t="s">
        <v>234</v>
      </c>
      <c r="I90" s="138"/>
      <c r="J90" s="138"/>
      <c r="K90" s="138"/>
      <c r="L90" s="213"/>
      <c r="M90" s="213"/>
      <c r="N90" s="213"/>
      <c r="O90" s="214"/>
      <c r="P90" s="215"/>
    </row>
    <row r="91" spans="1:25" ht="18.75" customHeight="1" thickBot="1">
      <c r="B91" s="119"/>
      <c r="C91" s="559"/>
      <c r="D91" s="560"/>
      <c r="E91" s="560"/>
      <c r="F91" s="180"/>
      <c r="G91" s="180"/>
      <c r="H91" s="180"/>
      <c r="I91" s="180"/>
      <c r="J91" s="180"/>
      <c r="K91" s="561"/>
      <c r="L91" s="561"/>
      <c r="M91" s="561"/>
      <c r="N91" s="561"/>
      <c r="O91" s="562"/>
      <c r="P91" s="223"/>
    </row>
    <row r="92" spans="1:25" ht="14.4" thickBot="1">
      <c r="B92" s="224"/>
      <c r="C92" s="225"/>
      <c r="D92" s="225"/>
      <c r="E92" s="225"/>
      <c r="F92" s="225"/>
      <c r="G92" s="225"/>
      <c r="H92" s="225"/>
      <c r="I92" s="225"/>
      <c r="J92" s="225"/>
      <c r="K92" s="225"/>
      <c r="L92" s="225"/>
      <c r="M92" s="225"/>
      <c r="N92" s="225"/>
      <c r="O92" s="225"/>
      <c r="P92" s="226"/>
    </row>
    <row r="93" spans="1:25" ht="14.4" thickTop="1"/>
  </sheetData>
  <mergeCells count="94">
    <mergeCell ref="C82:O83"/>
    <mergeCell ref="C84:O85"/>
    <mergeCell ref="C91:E91"/>
    <mergeCell ref="K91:O91"/>
    <mergeCell ref="M66:N66"/>
    <mergeCell ref="M67:N67"/>
    <mergeCell ref="C68:N68"/>
    <mergeCell ref="C70:N70"/>
    <mergeCell ref="C78:O78"/>
    <mergeCell ref="C79:O79"/>
    <mergeCell ref="C65:I65"/>
    <mergeCell ref="M65:N65"/>
    <mergeCell ref="M53:N53"/>
    <mergeCell ref="M54:N54"/>
    <mergeCell ref="C55:I55"/>
    <mergeCell ref="M55:N55"/>
    <mergeCell ref="C56:N56"/>
    <mergeCell ref="C58:N58"/>
    <mergeCell ref="C59:N59"/>
    <mergeCell ref="C60:N60"/>
    <mergeCell ref="C61:O63"/>
    <mergeCell ref="C64:I64"/>
    <mergeCell ref="M64:N64"/>
    <mergeCell ref="C47:N47"/>
    <mergeCell ref="C48:O50"/>
    <mergeCell ref="C51:I51"/>
    <mergeCell ref="M51:N51"/>
    <mergeCell ref="C52:I52"/>
    <mergeCell ref="M52:N52"/>
    <mergeCell ref="C44:I44"/>
    <mergeCell ref="M44:N44"/>
    <mergeCell ref="C45:I45"/>
    <mergeCell ref="M45:N45"/>
    <mergeCell ref="C46:I46"/>
    <mergeCell ref="M46:N46"/>
    <mergeCell ref="C41:O43"/>
    <mergeCell ref="C35:J35"/>
    <mergeCell ref="M35:N35"/>
    <mergeCell ref="C36:J36"/>
    <mergeCell ref="M36:N36"/>
    <mergeCell ref="C37:J37"/>
    <mergeCell ref="M37:N37"/>
    <mergeCell ref="C38:J38"/>
    <mergeCell ref="M38:N38"/>
    <mergeCell ref="C39:J39"/>
    <mergeCell ref="M39:N39"/>
    <mergeCell ref="C40:N40"/>
    <mergeCell ref="C29:N29"/>
    <mergeCell ref="C30:O32"/>
    <mergeCell ref="C33:J33"/>
    <mergeCell ref="M33:N33"/>
    <mergeCell ref="C34:J34"/>
    <mergeCell ref="M34:N34"/>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C24:G24"/>
    <mergeCell ref="H24:I24"/>
    <mergeCell ref="J24:K24"/>
    <mergeCell ref="M24:N24"/>
    <mergeCell ref="M7:M9"/>
    <mergeCell ref="N7:N9"/>
    <mergeCell ref="D19:L19"/>
    <mergeCell ref="M19:N19"/>
    <mergeCell ref="D20:L20"/>
    <mergeCell ref="M20:N20"/>
    <mergeCell ref="C21:O23"/>
    <mergeCell ref="O7:O9"/>
    <mergeCell ref="D9:K9"/>
    <mergeCell ref="C13:F13"/>
    <mergeCell ref="C17:O17"/>
    <mergeCell ref="C3:C9"/>
    <mergeCell ref="D7:K8"/>
    <mergeCell ref="L7:L9"/>
    <mergeCell ref="D3:K3"/>
    <mergeCell ref="L3:O4"/>
    <mergeCell ref="D4:K4"/>
    <mergeCell ref="D5:K5"/>
    <mergeCell ref="L5:L6"/>
    <mergeCell ref="M5:O6"/>
    <mergeCell ref="D6:K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3"/>
  <sheetViews>
    <sheetView workbookViewId="0">
      <selection activeCell="C24" sqref="C24:G24"/>
    </sheetView>
  </sheetViews>
  <sheetFormatPr baseColWidth="10" defaultColWidth="11.44140625" defaultRowHeight="13.8"/>
  <cols>
    <col min="1" max="2" width="3.44140625" style="115" customWidth="1"/>
    <col min="3" max="3" width="12.44140625" style="115" customWidth="1"/>
    <col min="4" max="4" width="18" style="115" customWidth="1"/>
    <col min="5" max="9" width="11.44140625" style="115"/>
    <col min="10" max="10" width="16" style="115" customWidth="1"/>
    <col min="11" max="11" width="15" style="115" customWidth="1"/>
    <col min="12" max="12" width="17.44140625" style="115" customWidth="1"/>
    <col min="13" max="14" width="11.44140625" style="115"/>
    <col min="15" max="15" width="20" style="115" customWidth="1"/>
    <col min="16" max="16" width="3.44140625" style="115" customWidth="1"/>
    <col min="17" max="16384" width="11.44140625" style="115"/>
  </cols>
  <sheetData>
    <row r="1" spans="2:16" ht="14.4" thickBot="1"/>
    <row r="2" spans="2:16" ht="15" thickTop="1" thickBot="1">
      <c r="B2" s="116"/>
      <c r="C2" s="117"/>
      <c r="D2" s="117"/>
      <c r="E2" s="117"/>
      <c r="F2" s="117"/>
      <c r="G2" s="117"/>
      <c r="H2" s="117"/>
      <c r="I2" s="117"/>
      <c r="J2" s="117"/>
      <c r="K2" s="117"/>
      <c r="L2" s="117"/>
      <c r="M2" s="117"/>
      <c r="N2" s="117"/>
      <c r="O2" s="117"/>
      <c r="P2" s="118"/>
    </row>
    <row r="3" spans="2:16">
      <c r="B3" s="119"/>
      <c r="C3" s="502"/>
      <c r="D3" s="451"/>
      <c r="E3" s="452"/>
      <c r="F3" s="452"/>
      <c r="G3" s="452"/>
      <c r="H3" s="452"/>
      <c r="I3" s="452"/>
      <c r="J3" s="452"/>
      <c r="K3" s="453"/>
      <c r="L3" s="454"/>
      <c r="M3" s="455"/>
      <c r="N3" s="455"/>
      <c r="O3" s="456"/>
      <c r="P3" s="120"/>
    </row>
    <row r="4" spans="2:16">
      <c r="B4" s="119"/>
      <c r="C4" s="503"/>
      <c r="D4" s="460" t="s">
        <v>178</v>
      </c>
      <c r="E4" s="461"/>
      <c r="F4" s="461"/>
      <c r="G4" s="461"/>
      <c r="H4" s="461"/>
      <c r="I4" s="461"/>
      <c r="J4" s="461"/>
      <c r="K4" s="462"/>
      <c r="L4" s="457"/>
      <c r="M4" s="458"/>
      <c r="N4" s="458"/>
      <c r="O4" s="459"/>
      <c r="P4" s="120"/>
    </row>
    <row r="5" spans="2:16">
      <c r="B5" s="119"/>
      <c r="C5" s="503"/>
      <c r="D5" s="460"/>
      <c r="E5" s="461"/>
      <c r="F5" s="461"/>
      <c r="G5" s="461"/>
      <c r="H5" s="461"/>
      <c r="I5" s="461"/>
      <c r="J5" s="461"/>
      <c r="K5" s="462"/>
      <c r="L5" s="449" t="s">
        <v>179</v>
      </c>
      <c r="M5" s="464">
        <v>1</v>
      </c>
      <c r="N5" s="465"/>
      <c r="O5" s="466"/>
      <c r="P5" s="120"/>
    </row>
    <row r="6" spans="2:16">
      <c r="B6" s="119"/>
      <c r="C6" s="503"/>
      <c r="D6" s="460" t="s">
        <v>87</v>
      </c>
      <c r="E6" s="461"/>
      <c r="F6" s="461"/>
      <c r="G6" s="461"/>
      <c r="H6" s="461"/>
      <c r="I6" s="461"/>
      <c r="J6" s="461"/>
      <c r="K6" s="462"/>
      <c r="L6" s="463"/>
      <c r="M6" s="467"/>
      <c r="N6" s="468"/>
      <c r="O6" s="469"/>
      <c r="P6" s="121"/>
    </row>
    <row r="7" spans="2:16" ht="12.75" customHeight="1">
      <c r="B7" s="119"/>
      <c r="C7" s="503"/>
      <c r="D7" s="446"/>
      <c r="E7" s="447"/>
      <c r="F7" s="447"/>
      <c r="G7" s="447"/>
      <c r="H7" s="447"/>
      <c r="I7" s="447"/>
      <c r="J7" s="447"/>
      <c r="K7" s="448"/>
      <c r="L7" s="449" t="s">
        <v>180</v>
      </c>
      <c r="M7" s="449">
        <v>1</v>
      </c>
      <c r="N7" s="449" t="s">
        <v>181</v>
      </c>
      <c r="O7" s="495">
        <v>1</v>
      </c>
      <c r="P7" s="120"/>
    </row>
    <row r="8" spans="2:16">
      <c r="B8" s="119"/>
      <c r="C8" s="503"/>
      <c r="D8" s="446"/>
      <c r="E8" s="447"/>
      <c r="F8" s="447"/>
      <c r="G8" s="447"/>
      <c r="H8" s="447"/>
      <c r="I8" s="447"/>
      <c r="J8" s="447"/>
      <c r="K8" s="448"/>
      <c r="L8" s="450"/>
      <c r="M8" s="450"/>
      <c r="N8" s="450"/>
      <c r="O8" s="496"/>
      <c r="P8" s="120"/>
    </row>
    <row r="9" spans="2:16">
      <c r="B9" s="119"/>
      <c r="C9" s="503"/>
      <c r="D9" s="460" t="s">
        <v>182</v>
      </c>
      <c r="E9" s="461"/>
      <c r="F9" s="461"/>
      <c r="G9" s="461"/>
      <c r="H9" s="461"/>
      <c r="I9" s="461"/>
      <c r="J9" s="461"/>
      <c r="K9" s="462"/>
      <c r="L9" s="450"/>
      <c r="M9" s="450"/>
      <c r="N9" s="450"/>
      <c r="O9" s="496"/>
      <c r="P9" s="120"/>
    </row>
    <row r="10" spans="2:16" ht="14.4" thickBot="1">
      <c r="B10" s="119"/>
      <c r="C10" s="122"/>
      <c r="D10" s="123"/>
      <c r="E10" s="123"/>
      <c r="F10" s="123"/>
      <c r="G10" s="123"/>
      <c r="H10" s="123"/>
      <c r="I10" s="123"/>
      <c r="J10" s="123"/>
      <c r="K10" s="123"/>
      <c r="L10" s="123"/>
      <c r="M10" s="124"/>
      <c r="N10" s="124"/>
      <c r="O10" s="125"/>
      <c r="P10" s="126"/>
    </row>
    <row r="11" spans="2:16">
      <c r="B11" s="119"/>
      <c r="C11" s="127"/>
      <c r="D11" s="128"/>
      <c r="E11" s="128"/>
      <c r="F11" s="128"/>
      <c r="G11" s="128"/>
      <c r="H11" s="128"/>
      <c r="I11" s="128"/>
      <c r="J11" s="128"/>
      <c r="K11" s="128"/>
      <c r="L11" s="129" t="s">
        <v>150</v>
      </c>
      <c r="M11" s="130" t="s">
        <v>183</v>
      </c>
      <c r="N11" s="130" t="s">
        <v>184</v>
      </c>
      <c r="O11" s="131" t="s">
        <v>185</v>
      </c>
      <c r="P11" s="121"/>
    </row>
    <row r="12" spans="2:16">
      <c r="B12" s="119"/>
      <c r="C12" s="132"/>
      <c r="D12" s="133"/>
      <c r="E12" s="133"/>
      <c r="F12" s="133"/>
      <c r="G12" s="133"/>
      <c r="H12" s="133"/>
      <c r="I12" s="133"/>
      <c r="J12" s="133"/>
      <c r="K12" s="133"/>
      <c r="L12" s="134"/>
      <c r="M12" s="135"/>
      <c r="N12" s="135"/>
      <c r="O12" s="136"/>
      <c r="P12" s="137"/>
    </row>
    <row r="13" spans="2:16" ht="18" customHeight="1">
      <c r="B13" s="119"/>
      <c r="C13" s="497" t="s">
        <v>186</v>
      </c>
      <c r="D13" s="498"/>
      <c r="E13" s="498"/>
      <c r="F13" s="498"/>
      <c r="G13" s="133"/>
      <c r="H13" s="133"/>
      <c r="I13" s="133" t="s">
        <v>187</v>
      </c>
      <c r="J13" s="138"/>
      <c r="K13" s="133" t="s">
        <v>188</v>
      </c>
      <c r="L13" s="134"/>
      <c r="M13" s="138"/>
      <c r="N13" s="138"/>
      <c r="O13" s="139"/>
      <c r="P13" s="137"/>
    </row>
    <row r="14" spans="2:16">
      <c r="B14" s="119"/>
      <c r="C14" s="140"/>
      <c r="D14" s="141"/>
      <c r="E14" s="141"/>
      <c r="F14" s="141"/>
      <c r="G14" s="141"/>
      <c r="H14" s="141"/>
      <c r="I14" s="141"/>
      <c r="J14" s="141"/>
      <c r="K14" s="141"/>
      <c r="L14" s="141"/>
      <c r="M14" s="141"/>
      <c r="N14" s="141"/>
      <c r="O14" s="142"/>
      <c r="P14" s="121"/>
    </row>
    <row r="15" spans="2:16" ht="14.4" thickBot="1">
      <c r="B15" s="119"/>
      <c r="C15" s="143"/>
      <c r="D15" s="144"/>
      <c r="E15" s="144"/>
      <c r="F15" s="144"/>
      <c r="G15" s="144"/>
      <c r="H15" s="144"/>
      <c r="I15" s="144"/>
      <c r="J15" s="144"/>
      <c r="K15" s="144"/>
      <c r="L15" s="144"/>
      <c r="M15" s="144"/>
      <c r="N15" s="144"/>
      <c r="O15" s="145"/>
      <c r="P15" s="146"/>
    </row>
    <row r="16" spans="2:16" ht="14.4" thickBot="1">
      <c r="B16" s="119"/>
      <c r="C16" s="147"/>
      <c r="D16" s="148"/>
      <c r="E16" s="148"/>
      <c r="F16" s="148"/>
      <c r="G16" s="148"/>
      <c r="H16" s="148"/>
      <c r="I16" s="138"/>
      <c r="J16" s="138"/>
      <c r="K16" s="148"/>
      <c r="L16" s="148"/>
      <c r="M16" s="148"/>
      <c r="N16" s="148"/>
      <c r="O16" s="149"/>
      <c r="P16" s="146"/>
    </row>
    <row r="17" spans="2:16">
      <c r="B17" s="119"/>
      <c r="C17" s="499" t="s">
        <v>189</v>
      </c>
      <c r="D17" s="500"/>
      <c r="E17" s="500"/>
      <c r="F17" s="500"/>
      <c r="G17" s="500"/>
      <c r="H17" s="500"/>
      <c r="I17" s="500"/>
      <c r="J17" s="500"/>
      <c r="K17" s="500"/>
      <c r="L17" s="500"/>
      <c r="M17" s="500"/>
      <c r="N17" s="500"/>
      <c r="O17" s="501"/>
      <c r="P17" s="150"/>
    </row>
    <row r="18" spans="2:16" ht="14.4" thickBot="1">
      <c r="B18" s="119"/>
      <c r="C18" s="151"/>
      <c r="D18" s="138"/>
      <c r="E18" s="138"/>
      <c r="F18" s="138"/>
      <c r="G18" s="138"/>
      <c r="H18" s="138"/>
      <c r="I18" s="138"/>
      <c r="J18" s="138"/>
      <c r="K18" s="138"/>
      <c r="L18" s="138"/>
      <c r="M18" s="138"/>
      <c r="N18" s="138"/>
      <c r="O18" s="152"/>
      <c r="P18" s="146"/>
    </row>
    <row r="19" spans="2:16">
      <c r="B19" s="119"/>
      <c r="C19" s="153" t="s">
        <v>190</v>
      </c>
      <c r="D19" s="477" t="s">
        <v>155</v>
      </c>
      <c r="E19" s="478"/>
      <c r="F19" s="478"/>
      <c r="G19" s="478"/>
      <c r="H19" s="478"/>
      <c r="I19" s="478"/>
      <c r="J19" s="478"/>
      <c r="K19" s="478"/>
      <c r="L19" s="479"/>
      <c r="M19" s="470" t="s">
        <v>3</v>
      </c>
      <c r="N19" s="480"/>
      <c r="O19" s="153" t="s">
        <v>191</v>
      </c>
      <c r="P19" s="154"/>
    </row>
    <row r="20" spans="2:16" ht="58.5" customHeight="1" thickBot="1">
      <c r="B20" s="119"/>
      <c r="C20" s="155" t="s">
        <v>129</v>
      </c>
      <c r="D20" s="481" t="s">
        <v>130</v>
      </c>
      <c r="E20" s="482"/>
      <c r="F20" s="482"/>
      <c r="G20" s="482"/>
      <c r="H20" s="482"/>
      <c r="I20" s="482"/>
      <c r="J20" s="482"/>
      <c r="K20" s="482"/>
      <c r="L20" s="483"/>
      <c r="M20" s="484" t="s">
        <v>57</v>
      </c>
      <c r="N20" s="485"/>
      <c r="O20" s="156"/>
      <c r="P20" s="157"/>
    </row>
    <row r="21" spans="2:16">
      <c r="B21" s="119"/>
      <c r="C21" s="486" t="s">
        <v>192</v>
      </c>
      <c r="D21" s="487"/>
      <c r="E21" s="487"/>
      <c r="F21" s="487"/>
      <c r="G21" s="487"/>
      <c r="H21" s="487"/>
      <c r="I21" s="487"/>
      <c r="J21" s="487"/>
      <c r="K21" s="487"/>
      <c r="L21" s="487"/>
      <c r="M21" s="487"/>
      <c r="N21" s="487"/>
      <c r="O21" s="488"/>
      <c r="P21" s="158"/>
    </row>
    <row r="22" spans="2:16">
      <c r="B22" s="119"/>
      <c r="C22" s="489"/>
      <c r="D22" s="490"/>
      <c r="E22" s="490"/>
      <c r="F22" s="490"/>
      <c r="G22" s="490"/>
      <c r="H22" s="490"/>
      <c r="I22" s="490"/>
      <c r="J22" s="490"/>
      <c r="K22" s="490"/>
      <c r="L22" s="490"/>
      <c r="M22" s="490"/>
      <c r="N22" s="490"/>
      <c r="O22" s="491"/>
      <c r="P22" s="158"/>
    </row>
    <row r="23" spans="2:16" ht="14.4" thickBot="1">
      <c r="B23" s="119"/>
      <c r="C23" s="492"/>
      <c r="D23" s="493"/>
      <c r="E23" s="493"/>
      <c r="F23" s="493"/>
      <c r="G23" s="493"/>
      <c r="H23" s="493"/>
      <c r="I23" s="493"/>
      <c r="J23" s="493"/>
      <c r="K23" s="493"/>
      <c r="L23" s="493"/>
      <c r="M23" s="493"/>
      <c r="N23" s="493"/>
      <c r="O23" s="494"/>
      <c r="P23" s="158"/>
    </row>
    <row r="24" spans="2:16">
      <c r="B24" s="119"/>
      <c r="C24" s="470" t="s">
        <v>155</v>
      </c>
      <c r="D24" s="471"/>
      <c r="E24" s="471"/>
      <c r="F24" s="471"/>
      <c r="G24" s="472"/>
      <c r="H24" s="473" t="s">
        <v>193</v>
      </c>
      <c r="I24" s="471"/>
      <c r="J24" s="474" t="s">
        <v>162</v>
      </c>
      <c r="K24" s="475"/>
      <c r="L24" s="159" t="s">
        <v>194</v>
      </c>
      <c r="M24" s="473" t="s">
        <v>195</v>
      </c>
      <c r="N24" s="476"/>
      <c r="O24" s="160" t="s">
        <v>196</v>
      </c>
      <c r="P24" s="154"/>
    </row>
    <row r="25" spans="2:16" ht="23.25" customHeight="1">
      <c r="B25" s="119"/>
      <c r="C25" s="504" t="s">
        <v>197</v>
      </c>
      <c r="D25" s="505"/>
      <c r="E25" s="505"/>
      <c r="F25" s="505"/>
      <c r="G25" s="506"/>
      <c r="H25" s="507" t="s">
        <v>89</v>
      </c>
      <c r="I25" s="506"/>
      <c r="J25" s="508" t="s">
        <v>89</v>
      </c>
      <c r="K25" s="509"/>
      <c r="L25" s="161">
        <f>+O56</f>
        <v>5891.6976000000004</v>
      </c>
      <c r="M25" s="510">
        <v>0.05</v>
      </c>
      <c r="N25" s="511"/>
      <c r="O25" s="162">
        <f>ROUND(L25*M25,2)</f>
        <v>294.58</v>
      </c>
      <c r="P25" s="163"/>
    </row>
    <row r="26" spans="2:16" s="164" customFormat="1" ht="31.5" customHeight="1">
      <c r="B26" s="119"/>
      <c r="C26" s="504"/>
      <c r="D26" s="505"/>
      <c r="E26" s="505"/>
      <c r="F26" s="505"/>
      <c r="G26" s="506"/>
      <c r="H26" s="507"/>
      <c r="I26" s="506"/>
      <c r="J26" s="508"/>
      <c r="K26" s="509"/>
      <c r="L26" s="161"/>
      <c r="M26" s="545"/>
      <c r="N26" s="546"/>
      <c r="O26" s="162"/>
      <c r="P26" s="163"/>
    </row>
    <row r="27" spans="2:16" s="164" customFormat="1">
      <c r="B27" s="119"/>
      <c r="C27" s="504"/>
      <c r="D27" s="505"/>
      <c r="E27" s="505"/>
      <c r="F27" s="505"/>
      <c r="G27" s="506"/>
      <c r="H27" s="508"/>
      <c r="I27" s="509"/>
      <c r="J27" s="508"/>
      <c r="K27" s="509"/>
      <c r="L27" s="161"/>
      <c r="M27" s="512"/>
      <c r="N27" s="511"/>
      <c r="O27" s="162"/>
      <c r="P27" s="163"/>
    </row>
    <row r="28" spans="2:16" s="164" customFormat="1" ht="14.4" thickBot="1">
      <c r="B28" s="119"/>
      <c r="C28" s="513"/>
      <c r="D28" s="514"/>
      <c r="E28" s="514"/>
      <c r="F28" s="514"/>
      <c r="G28" s="515"/>
      <c r="H28" s="516"/>
      <c r="I28" s="517"/>
      <c r="J28" s="516"/>
      <c r="K28" s="517"/>
      <c r="L28" s="165"/>
      <c r="M28" s="518"/>
      <c r="N28" s="519"/>
      <c r="O28" s="162"/>
      <c r="P28" s="163"/>
    </row>
    <row r="29" spans="2:16" s="164" customFormat="1" ht="14.4" thickBot="1">
      <c r="B29" s="119"/>
      <c r="C29" s="520" t="s">
        <v>198</v>
      </c>
      <c r="D29" s="521"/>
      <c r="E29" s="521"/>
      <c r="F29" s="521"/>
      <c r="G29" s="521"/>
      <c r="H29" s="521"/>
      <c r="I29" s="521"/>
      <c r="J29" s="521"/>
      <c r="K29" s="521"/>
      <c r="L29" s="521"/>
      <c r="M29" s="521"/>
      <c r="N29" s="522"/>
      <c r="O29" s="166">
        <f>+SUM(O25:O28)</f>
        <v>294.58</v>
      </c>
      <c r="P29" s="167"/>
    </row>
    <row r="30" spans="2:16" s="164" customFormat="1" ht="13.5" customHeight="1">
      <c r="B30" s="119"/>
      <c r="C30" s="486" t="s">
        <v>199</v>
      </c>
      <c r="D30" s="487"/>
      <c r="E30" s="487"/>
      <c r="F30" s="487"/>
      <c r="G30" s="487"/>
      <c r="H30" s="487"/>
      <c r="I30" s="487"/>
      <c r="J30" s="487"/>
      <c r="K30" s="487"/>
      <c r="L30" s="487"/>
      <c r="M30" s="487"/>
      <c r="N30" s="487"/>
      <c r="O30" s="488"/>
      <c r="P30" s="158"/>
    </row>
    <row r="31" spans="2:16" s="164" customFormat="1">
      <c r="B31" s="119"/>
      <c r="C31" s="489"/>
      <c r="D31" s="490"/>
      <c r="E31" s="490"/>
      <c r="F31" s="490"/>
      <c r="G31" s="490"/>
      <c r="H31" s="490"/>
      <c r="I31" s="490"/>
      <c r="J31" s="490"/>
      <c r="K31" s="490"/>
      <c r="L31" s="490"/>
      <c r="M31" s="490"/>
      <c r="N31" s="490"/>
      <c r="O31" s="491"/>
      <c r="P31" s="158"/>
    </row>
    <row r="32" spans="2:16" s="164" customFormat="1" ht="14.4" thickBot="1">
      <c r="B32" s="119"/>
      <c r="C32" s="492"/>
      <c r="D32" s="493"/>
      <c r="E32" s="493"/>
      <c r="F32" s="493"/>
      <c r="G32" s="493"/>
      <c r="H32" s="493"/>
      <c r="I32" s="493"/>
      <c r="J32" s="493"/>
      <c r="K32" s="493"/>
      <c r="L32" s="493"/>
      <c r="M32" s="493"/>
      <c r="N32" s="493"/>
      <c r="O32" s="494"/>
      <c r="P32" s="158"/>
    </row>
    <row r="33" spans="2:16" s="164" customFormat="1">
      <c r="B33" s="119"/>
      <c r="C33" s="470" t="s">
        <v>155</v>
      </c>
      <c r="D33" s="523"/>
      <c r="E33" s="523"/>
      <c r="F33" s="523"/>
      <c r="G33" s="523"/>
      <c r="H33" s="523"/>
      <c r="I33" s="523"/>
      <c r="J33" s="476"/>
      <c r="K33" s="168" t="s">
        <v>3</v>
      </c>
      <c r="L33" s="159" t="s">
        <v>191</v>
      </c>
      <c r="M33" s="473" t="s">
        <v>200</v>
      </c>
      <c r="N33" s="476"/>
      <c r="O33" s="160" t="s">
        <v>196</v>
      </c>
      <c r="P33" s="154"/>
    </row>
    <row r="34" spans="2:16" s="164" customFormat="1" ht="37.5" customHeight="1">
      <c r="B34" s="119"/>
      <c r="C34" s="504" t="s">
        <v>240</v>
      </c>
      <c r="D34" s="505"/>
      <c r="E34" s="505"/>
      <c r="F34" s="505"/>
      <c r="G34" s="505"/>
      <c r="H34" s="505"/>
      <c r="I34" s="505"/>
      <c r="J34" s="506"/>
      <c r="K34" s="169" t="s">
        <v>241</v>
      </c>
      <c r="L34" s="170">
        <v>0.01</v>
      </c>
      <c r="M34" s="524">
        <v>30000</v>
      </c>
      <c r="N34" s="525"/>
      <c r="O34" s="171">
        <f>L34*M34</f>
        <v>300</v>
      </c>
      <c r="P34" s="163"/>
    </row>
    <row r="35" spans="2:16" s="164" customFormat="1" ht="37.5" customHeight="1">
      <c r="B35" s="119"/>
      <c r="C35" s="504" t="s">
        <v>242</v>
      </c>
      <c r="D35" s="505"/>
      <c r="E35" s="505"/>
      <c r="F35" s="505"/>
      <c r="G35" s="505"/>
      <c r="H35" s="505"/>
      <c r="I35" s="505"/>
      <c r="J35" s="506"/>
      <c r="K35" s="169" t="s">
        <v>41</v>
      </c>
      <c r="L35" s="170">
        <v>0.16</v>
      </c>
      <c r="M35" s="524">
        <v>3300</v>
      </c>
      <c r="N35" s="525"/>
      <c r="O35" s="171">
        <f>L35*M35</f>
        <v>528</v>
      </c>
      <c r="P35" s="163"/>
    </row>
    <row r="36" spans="2:16" s="164" customFormat="1" ht="37.5" customHeight="1">
      <c r="B36" s="119"/>
      <c r="C36" s="504" t="s">
        <v>243</v>
      </c>
      <c r="D36" s="505"/>
      <c r="E36" s="505"/>
      <c r="F36" s="505"/>
      <c r="G36" s="505"/>
      <c r="H36" s="505"/>
      <c r="I36" s="505"/>
      <c r="J36" s="506"/>
      <c r="K36" s="172" t="s">
        <v>241</v>
      </c>
      <c r="L36" s="173">
        <v>1.4999999999999999E-2</v>
      </c>
      <c r="M36" s="526">
        <v>80836.5</v>
      </c>
      <c r="N36" s="527"/>
      <c r="O36" s="171">
        <f>L36*M36</f>
        <v>1212.5474999999999</v>
      </c>
      <c r="P36" s="163"/>
    </row>
    <row r="37" spans="2:16" s="164" customFormat="1" ht="37.5" customHeight="1">
      <c r="B37" s="119"/>
      <c r="C37" s="504"/>
      <c r="D37" s="505"/>
      <c r="E37" s="505"/>
      <c r="F37" s="505"/>
      <c r="G37" s="505"/>
      <c r="H37" s="505"/>
      <c r="I37" s="505"/>
      <c r="J37" s="506"/>
      <c r="K37" s="172"/>
      <c r="L37" s="173"/>
      <c r="M37" s="526"/>
      <c r="N37" s="527"/>
      <c r="O37" s="171"/>
      <c r="P37" s="163"/>
    </row>
    <row r="38" spans="2:16" s="164" customFormat="1" ht="37.5" customHeight="1">
      <c r="B38" s="119"/>
      <c r="C38" s="504"/>
      <c r="D38" s="505"/>
      <c r="E38" s="505"/>
      <c r="F38" s="505"/>
      <c r="G38" s="505"/>
      <c r="H38" s="505"/>
      <c r="I38" s="505"/>
      <c r="J38" s="506"/>
      <c r="K38" s="172"/>
      <c r="L38" s="173"/>
      <c r="M38" s="526"/>
      <c r="N38" s="527"/>
      <c r="O38" s="171"/>
      <c r="P38" s="163"/>
    </row>
    <row r="39" spans="2:16" s="164" customFormat="1" ht="14.4" thickBot="1">
      <c r="B39" s="119"/>
      <c r="C39" s="528"/>
      <c r="D39" s="529"/>
      <c r="E39" s="529"/>
      <c r="F39" s="529"/>
      <c r="G39" s="529"/>
      <c r="H39" s="529"/>
      <c r="I39" s="529"/>
      <c r="J39" s="517"/>
      <c r="K39" s="172"/>
      <c r="L39" s="174"/>
      <c r="M39" s="530"/>
      <c r="N39" s="531"/>
      <c r="O39" s="162">
        <f t="shared" ref="O39" si="0">ROUND(L39*M39,2)</f>
        <v>0</v>
      </c>
      <c r="P39" s="163"/>
    </row>
    <row r="40" spans="2:16" s="164" customFormat="1" ht="14.4" thickBot="1">
      <c r="B40" s="119"/>
      <c r="C40" s="520" t="s">
        <v>198</v>
      </c>
      <c r="D40" s="521"/>
      <c r="E40" s="521"/>
      <c r="F40" s="521"/>
      <c r="G40" s="521"/>
      <c r="H40" s="521"/>
      <c r="I40" s="521"/>
      <c r="J40" s="521"/>
      <c r="K40" s="521"/>
      <c r="L40" s="521"/>
      <c r="M40" s="521"/>
      <c r="N40" s="522"/>
      <c r="O40" s="175">
        <f>+SUM(O34:O39)</f>
        <v>2040.5474999999999</v>
      </c>
      <c r="P40" s="163"/>
    </row>
    <row r="41" spans="2:16" s="164" customFormat="1">
      <c r="B41" s="119"/>
      <c r="C41" s="486" t="s">
        <v>203</v>
      </c>
      <c r="D41" s="487"/>
      <c r="E41" s="487"/>
      <c r="F41" s="487"/>
      <c r="G41" s="487"/>
      <c r="H41" s="487"/>
      <c r="I41" s="487"/>
      <c r="J41" s="487"/>
      <c r="K41" s="487"/>
      <c r="L41" s="487"/>
      <c r="M41" s="487"/>
      <c r="N41" s="487"/>
      <c r="O41" s="488"/>
      <c r="P41" s="158"/>
    </row>
    <row r="42" spans="2:16" s="164" customFormat="1">
      <c r="B42" s="119"/>
      <c r="C42" s="489"/>
      <c r="D42" s="490"/>
      <c r="E42" s="490"/>
      <c r="F42" s="490"/>
      <c r="G42" s="490"/>
      <c r="H42" s="490"/>
      <c r="I42" s="490"/>
      <c r="J42" s="490"/>
      <c r="K42" s="490"/>
      <c r="L42" s="490"/>
      <c r="M42" s="490"/>
      <c r="N42" s="490"/>
      <c r="O42" s="491"/>
      <c r="P42" s="158"/>
    </row>
    <row r="43" spans="2:16" s="164" customFormat="1" ht="14.4" thickBot="1">
      <c r="B43" s="119"/>
      <c r="C43" s="492"/>
      <c r="D43" s="493"/>
      <c r="E43" s="493"/>
      <c r="F43" s="493"/>
      <c r="G43" s="493"/>
      <c r="H43" s="493"/>
      <c r="I43" s="493"/>
      <c r="J43" s="493"/>
      <c r="K43" s="493"/>
      <c r="L43" s="493"/>
      <c r="M43" s="493"/>
      <c r="N43" s="493"/>
      <c r="O43" s="494"/>
      <c r="P43" s="158"/>
    </row>
    <row r="44" spans="2:16" s="164" customFormat="1" ht="16.2">
      <c r="B44" s="119"/>
      <c r="C44" s="470" t="s">
        <v>204</v>
      </c>
      <c r="D44" s="523"/>
      <c r="E44" s="523"/>
      <c r="F44" s="523"/>
      <c r="G44" s="523"/>
      <c r="H44" s="523"/>
      <c r="I44" s="523"/>
      <c r="J44" s="159" t="s">
        <v>205</v>
      </c>
      <c r="K44" s="176" t="s">
        <v>206</v>
      </c>
      <c r="L44" s="177" t="s">
        <v>207</v>
      </c>
      <c r="M44" s="473" t="s">
        <v>208</v>
      </c>
      <c r="N44" s="476"/>
      <c r="O44" s="160" t="s">
        <v>196</v>
      </c>
      <c r="P44" s="154"/>
    </row>
    <row r="45" spans="2:16" s="164" customFormat="1" ht="29.25" customHeight="1">
      <c r="B45" s="119"/>
      <c r="C45" s="532"/>
      <c r="D45" s="533"/>
      <c r="E45" s="533"/>
      <c r="F45" s="533"/>
      <c r="G45" s="533"/>
      <c r="H45" s="533"/>
      <c r="I45" s="533"/>
      <c r="J45" s="170"/>
      <c r="K45" s="178"/>
      <c r="L45" s="170"/>
      <c r="M45" s="530"/>
      <c r="N45" s="531"/>
      <c r="O45" s="162"/>
      <c r="P45" s="163"/>
    </row>
    <row r="46" spans="2:16" s="164" customFormat="1" ht="14.4" thickBot="1">
      <c r="B46" s="119"/>
      <c r="C46" s="528"/>
      <c r="D46" s="529"/>
      <c r="E46" s="529"/>
      <c r="F46" s="529"/>
      <c r="G46" s="529"/>
      <c r="H46" s="529"/>
      <c r="I46" s="529"/>
      <c r="J46" s="179"/>
      <c r="K46" s="180"/>
      <c r="L46" s="179"/>
      <c r="M46" s="534"/>
      <c r="N46" s="535"/>
      <c r="O46" s="181"/>
      <c r="P46" s="163"/>
    </row>
    <row r="47" spans="2:16" s="164" customFormat="1" ht="14.4" thickBot="1">
      <c r="B47" s="119"/>
      <c r="C47" s="520" t="s">
        <v>198</v>
      </c>
      <c r="D47" s="521"/>
      <c r="E47" s="521"/>
      <c r="F47" s="521"/>
      <c r="G47" s="521"/>
      <c r="H47" s="521"/>
      <c r="I47" s="521"/>
      <c r="J47" s="521"/>
      <c r="K47" s="521"/>
      <c r="L47" s="521"/>
      <c r="M47" s="521"/>
      <c r="N47" s="522"/>
      <c r="O47" s="175">
        <f>+SUM(O45:O46)</f>
        <v>0</v>
      </c>
      <c r="P47" s="167"/>
    </row>
    <row r="48" spans="2:16" s="164" customFormat="1">
      <c r="B48" s="119"/>
      <c r="C48" s="486" t="s">
        <v>209</v>
      </c>
      <c r="D48" s="487"/>
      <c r="E48" s="487"/>
      <c r="F48" s="487"/>
      <c r="G48" s="487"/>
      <c r="H48" s="487"/>
      <c r="I48" s="487"/>
      <c r="J48" s="487"/>
      <c r="K48" s="487"/>
      <c r="L48" s="487"/>
      <c r="M48" s="487"/>
      <c r="N48" s="487"/>
      <c r="O48" s="488"/>
      <c r="P48" s="158"/>
    </row>
    <row r="49" spans="2:16" s="164" customFormat="1">
      <c r="B49" s="119"/>
      <c r="C49" s="489"/>
      <c r="D49" s="490"/>
      <c r="E49" s="490"/>
      <c r="F49" s="490"/>
      <c r="G49" s="490"/>
      <c r="H49" s="490"/>
      <c r="I49" s="490"/>
      <c r="J49" s="490"/>
      <c r="K49" s="490"/>
      <c r="L49" s="490"/>
      <c r="M49" s="490"/>
      <c r="N49" s="490"/>
      <c r="O49" s="491"/>
      <c r="P49" s="158"/>
    </row>
    <row r="50" spans="2:16" s="164" customFormat="1" ht="14.4" thickBot="1">
      <c r="B50" s="119"/>
      <c r="C50" s="492"/>
      <c r="D50" s="493"/>
      <c r="E50" s="493"/>
      <c r="F50" s="493"/>
      <c r="G50" s="493"/>
      <c r="H50" s="493"/>
      <c r="I50" s="493"/>
      <c r="J50" s="493"/>
      <c r="K50" s="493"/>
      <c r="L50" s="493"/>
      <c r="M50" s="493"/>
      <c r="N50" s="493"/>
      <c r="O50" s="494"/>
      <c r="P50" s="158"/>
    </row>
    <row r="51" spans="2:16" s="164" customFormat="1">
      <c r="B51" s="119"/>
      <c r="C51" s="470" t="s">
        <v>210</v>
      </c>
      <c r="D51" s="523"/>
      <c r="E51" s="523"/>
      <c r="F51" s="523"/>
      <c r="G51" s="523"/>
      <c r="H51" s="523"/>
      <c r="I51" s="523"/>
      <c r="J51" s="159" t="s">
        <v>3</v>
      </c>
      <c r="K51" s="182" t="s">
        <v>211</v>
      </c>
      <c r="L51" s="183" t="s">
        <v>212</v>
      </c>
      <c r="M51" s="536" t="s">
        <v>195</v>
      </c>
      <c r="N51" s="537"/>
      <c r="O51" s="184" t="s">
        <v>196</v>
      </c>
      <c r="P51" s="185"/>
    </row>
    <row r="52" spans="2:16" s="164" customFormat="1">
      <c r="B52" s="119"/>
      <c r="C52" s="538" t="s">
        <v>244</v>
      </c>
      <c r="D52" s="539"/>
      <c r="E52" s="539"/>
      <c r="F52" s="539"/>
      <c r="G52" s="539"/>
      <c r="H52" s="539"/>
      <c r="I52" s="540"/>
      <c r="J52" s="186" t="s">
        <v>214</v>
      </c>
      <c r="K52" s="187"/>
      <c r="L52" s="188">
        <v>49097.48</v>
      </c>
      <c r="M52" s="541">
        <v>0.12</v>
      </c>
      <c r="N52" s="542"/>
      <c r="O52" s="162">
        <f>+L52*M52</f>
        <v>5891.6976000000004</v>
      </c>
      <c r="P52" s="189"/>
    </row>
    <row r="53" spans="2:16" s="164" customFormat="1">
      <c r="B53" s="119"/>
      <c r="C53" s="190"/>
      <c r="D53" s="191"/>
      <c r="E53" s="191"/>
      <c r="F53" s="191"/>
      <c r="G53" s="191"/>
      <c r="H53" s="191"/>
      <c r="I53" s="191"/>
      <c r="J53" s="192"/>
      <c r="K53" s="187"/>
      <c r="L53" s="193"/>
      <c r="M53" s="541"/>
      <c r="N53" s="542"/>
      <c r="O53" s="162"/>
      <c r="P53" s="189"/>
    </row>
    <row r="54" spans="2:16" s="164" customFormat="1">
      <c r="B54" s="119"/>
      <c r="C54" s="190"/>
      <c r="D54" s="191"/>
      <c r="E54" s="191"/>
      <c r="F54" s="191"/>
      <c r="G54" s="191"/>
      <c r="H54" s="191"/>
      <c r="I54" s="191"/>
      <c r="J54" s="192"/>
      <c r="K54" s="187"/>
      <c r="L54" s="193"/>
      <c r="M54" s="545"/>
      <c r="N54" s="546"/>
      <c r="O54" s="194"/>
      <c r="P54" s="189"/>
    </row>
    <row r="55" spans="2:16" s="164" customFormat="1" ht="14.4" thickBot="1">
      <c r="B55" s="119"/>
      <c r="C55" s="528"/>
      <c r="D55" s="529"/>
      <c r="E55" s="529"/>
      <c r="F55" s="529"/>
      <c r="G55" s="529"/>
      <c r="H55" s="529"/>
      <c r="I55" s="529"/>
      <c r="J55" s="179"/>
      <c r="K55" s="180"/>
      <c r="L55" s="179"/>
      <c r="M55" s="534"/>
      <c r="N55" s="535"/>
      <c r="O55" s="181"/>
      <c r="P55" s="163"/>
    </row>
    <row r="56" spans="2:16" s="164" customFormat="1" ht="14.4" thickBot="1">
      <c r="B56" s="119"/>
      <c r="C56" s="520" t="s">
        <v>198</v>
      </c>
      <c r="D56" s="521"/>
      <c r="E56" s="521"/>
      <c r="F56" s="521"/>
      <c r="G56" s="521"/>
      <c r="H56" s="521"/>
      <c r="I56" s="521"/>
      <c r="J56" s="521"/>
      <c r="K56" s="521"/>
      <c r="L56" s="521"/>
      <c r="M56" s="521"/>
      <c r="N56" s="522"/>
      <c r="O56" s="175">
        <f>+SUM(O52:O55)</f>
        <v>5891.6976000000004</v>
      </c>
      <c r="P56" s="163"/>
    </row>
    <row r="57" spans="2:16" s="164" customFormat="1" ht="14.4" thickBot="1">
      <c r="B57" s="119"/>
      <c r="C57" s="151"/>
      <c r="D57" s="138"/>
      <c r="E57" s="138"/>
      <c r="F57" s="138"/>
      <c r="G57" s="138"/>
      <c r="H57" s="138"/>
      <c r="I57" s="138"/>
      <c r="J57" s="138"/>
      <c r="K57" s="138"/>
      <c r="L57" s="138"/>
      <c r="M57" s="138"/>
      <c r="N57" s="138"/>
      <c r="O57" s="152"/>
      <c r="P57" s="146"/>
    </row>
    <row r="58" spans="2:16" s="164" customFormat="1" ht="14.4" thickBot="1">
      <c r="B58" s="119"/>
      <c r="C58" s="547" t="s">
        <v>215</v>
      </c>
      <c r="D58" s="548"/>
      <c r="E58" s="548"/>
      <c r="F58" s="548"/>
      <c r="G58" s="548"/>
      <c r="H58" s="548"/>
      <c r="I58" s="548"/>
      <c r="J58" s="548"/>
      <c r="K58" s="548"/>
      <c r="L58" s="548"/>
      <c r="M58" s="548"/>
      <c r="N58" s="549"/>
      <c r="O58" s="195">
        <f>ROUNDDOWN(+O56+O47+O40+O29,0)</f>
        <v>8226</v>
      </c>
      <c r="P58" s="196"/>
    </row>
    <row r="59" spans="2:16" s="164" customFormat="1" ht="14.4" thickBot="1">
      <c r="B59" s="119"/>
      <c r="C59" s="550" t="s">
        <v>216</v>
      </c>
      <c r="D59" s="551"/>
      <c r="E59" s="551"/>
      <c r="F59" s="551"/>
      <c r="G59" s="551"/>
      <c r="H59" s="551"/>
      <c r="I59" s="551"/>
      <c r="J59" s="551"/>
      <c r="K59" s="551"/>
      <c r="L59" s="551"/>
      <c r="M59" s="551"/>
      <c r="N59" s="552"/>
      <c r="O59" s="197"/>
      <c r="P59" s="196"/>
    </row>
    <row r="60" spans="2:16" s="164" customFormat="1" ht="14.4" thickBot="1">
      <c r="B60" s="119"/>
      <c r="C60" s="553" t="s">
        <v>217</v>
      </c>
      <c r="D60" s="554"/>
      <c r="E60" s="554"/>
      <c r="F60" s="554"/>
      <c r="G60" s="554"/>
      <c r="H60" s="554"/>
      <c r="I60" s="554"/>
      <c r="J60" s="554"/>
      <c r="K60" s="554"/>
      <c r="L60" s="554"/>
      <c r="M60" s="554"/>
      <c r="N60" s="555"/>
      <c r="O60" s="198"/>
      <c r="P60" s="196"/>
    </row>
    <row r="61" spans="2:16" s="164" customFormat="1" ht="12.75" customHeight="1">
      <c r="B61" s="119"/>
      <c r="C61" s="486" t="s">
        <v>218</v>
      </c>
      <c r="D61" s="487"/>
      <c r="E61" s="487"/>
      <c r="F61" s="487"/>
      <c r="G61" s="487"/>
      <c r="H61" s="487"/>
      <c r="I61" s="487"/>
      <c r="J61" s="487"/>
      <c r="K61" s="487"/>
      <c r="L61" s="487"/>
      <c r="M61" s="487"/>
      <c r="N61" s="487"/>
      <c r="O61" s="488"/>
      <c r="P61" s="158"/>
    </row>
    <row r="62" spans="2:16" s="164" customFormat="1" ht="12.75" customHeight="1">
      <c r="B62" s="119"/>
      <c r="C62" s="489"/>
      <c r="D62" s="490"/>
      <c r="E62" s="490"/>
      <c r="F62" s="490"/>
      <c r="G62" s="490"/>
      <c r="H62" s="490"/>
      <c r="I62" s="490"/>
      <c r="J62" s="490"/>
      <c r="K62" s="490"/>
      <c r="L62" s="490"/>
      <c r="M62" s="490"/>
      <c r="N62" s="490"/>
      <c r="O62" s="491"/>
      <c r="P62" s="158"/>
    </row>
    <row r="63" spans="2:16" s="164" customFormat="1" ht="13.5" customHeight="1" thickBot="1">
      <c r="B63" s="119"/>
      <c r="C63" s="492"/>
      <c r="D63" s="493"/>
      <c r="E63" s="493"/>
      <c r="F63" s="493"/>
      <c r="G63" s="493"/>
      <c r="H63" s="493"/>
      <c r="I63" s="493"/>
      <c r="J63" s="493"/>
      <c r="K63" s="493"/>
      <c r="L63" s="493"/>
      <c r="M63" s="493"/>
      <c r="N63" s="493"/>
      <c r="O63" s="494"/>
      <c r="P63" s="158"/>
    </row>
    <row r="64" spans="2:16" s="164" customFormat="1" ht="15" customHeight="1">
      <c r="B64" s="119"/>
      <c r="C64" s="470" t="s">
        <v>219</v>
      </c>
      <c r="D64" s="523"/>
      <c r="E64" s="523"/>
      <c r="F64" s="523"/>
      <c r="G64" s="523"/>
      <c r="H64" s="523"/>
      <c r="I64" s="523"/>
      <c r="J64" s="176"/>
      <c r="K64" s="199"/>
      <c r="L64" s="183" t="s">
        <v>220</v>
      </c>
      <c r="M64" s="536" t="s">
        <v>221</v>
      </c>
      <c r="N64" s="537"/>
      <c r="O64" s="184"/>
      <c r="P64" s="185"/>
    </row>
    <row r="65" spans="1:25" s="164" customFormat="1">
      <c r="B65" s="119"/>
      <c r="C65" s="532" t="s">
        <v>141</v>
      </c>
      <c r="D65" s="533"/>
      <c r="E65" s="533"/>
      <c r="F65" s="533"/>
      <c r="G65" s="533"/>
      <c r="H65" s="533"/>
      <c r="I65" s="533"/>
      <c r="J65" s="200"/>
      <c r="K65" s="201"/>
      <c r="L65" s="202">
        <v>0.24</v>
      </c>
      <c r="M65" s="543"/>
      <c r="N65" s="544"/>
      <c r="O65" s="203"/>
      <c r="P65" s="204"/>
    </row>
    <row r="66" spans="1:25" s="164" customFormat="1">
      <c r="B66" s="119"/>
      <c r="C66" s="205" t="s">
        <v>222</v>
      </c>
      <c r="D66" s="124"/>
      <c r="E66" s="124"/>
      <c r="F66" s="124"/>
      <c r="G66" s="124"/>
      <c r="H66" s="124"/>
      <c r="I66" s="124"/>
      <c r="J66" s="200"/>
      <c r="K66" s="201"/>
      <c r="L66" s="202">
        <v>0.01</v>
      </c>
      <c r="M66" s="543"/>
      <c r="N66" s="544"/>
      <c r="O66" s="203"/>
      <c r="P66" s="204"/>
    </row>
    <row r="67" spans="1:25" s="164" customFormat="1" ht="14.4" thickBot="1">
      <c r="B67" s="119"/>
      <c r="C67" s="143" t="s">
        <v>143</v>
      </c>
      <c r="D67" s="144"/>
      <c r="E67" s="144"/>
      <c r="F67" s="144"/>
      <c r="G67" s="144"/>
      <c r="H67" s="144"/>
      <c r="I67" s="144"/>
      <c r="J67" s="206"/>
      <c r="K67" s="207"/>
      <c r="L67" s="202">
        <v>0.05</v>
      </c>
      <c r="M67" s="563"/>
      <c r="N67" s="564"/>
      <c r="O67" s="203"/>
      <c r="P67" s="204"/>
    </row>
    <row r="68" spans="1:25" s="164" customFormat="1" ht="14.4" thickBot="1">
      <c r="B68" s="119"/>
      <c r="C68" s="520" t="s">
        <v>198</v>
      </c>
      <c r="D68" s="521"/>
      <c r="E68" s="521"/>
      <c r="F68" s="521"/>
      <c r="G68" s="521"/>
      <c r="H68" s="521"/>
      <c r="I68" s="521"/>
      <c r="J68" s="521"/>
      <c r="K68" s="521"/>
      <c r="L68" s="521"/>
      <c r="M68" s="521"/>
      <c r="N68" s="522"/>
      <c r="O68" s="208">
        <f>+SUM(O65:O67)</f>
        <v>0</v>
      </c>
      <c r="P68" s="209"/>
    </row>
    <row r="69" spans="1:25" s="164" customFormat="1" ht="14.4" thickBot="1">
      <c r="B69" s="119"/>
      <c r="C69" s="151"/>
      <c r="D69" s="138"/>
      <c r="E69" s="138"/>
      <c r="F69" s="138"/>
      <c r="G69" s="138"/>
      <c r="H69" s="138"/>
      <c r="I69" s="138"/>
      <c r="J69" s="138"/>
      <c r="K69" s="138"/>
      <c r="L69" s="138"/>
      <c r="M69" s="138"/>
      <c r="N69" s="138"/>
      <c r="O69" s="152"/>
      <c r="P69" s="146"/>
    </row>
    <row r="70" spans="1:25" s="164" customFormat="1" ht="14.4" thickBot="1">
      <c r="B70" s="119"/>
      <c r="C70" s="547" t="s">
        <v>223</v>
      </c>
      <c r="D70" s="548"/>
      <c r="E70" s="548"/>
      <c r="F70" s="548"/>
      <c r="G70" s="548"/>
      <c r="H70" s="548"/>
      <c r="I70" s="548"/>
      <c r="J70" s="548"/>
      <c r="K70" s="548"/>
      <c r="L70" s="548"/>
      <c r="M70" s="548"/>
      <c r="N70" s="549"/>
      <c r="O70" s="210" t="s">
        <v>211</v>
      </c>
      <c r="P70" s="209"/>
    </row>
    <row r="71" spans="1:25" s="164" customFormat="1">
      <c r="B71" s="119"/>
      <c r="C71" s="151"/>
      <c r="D71" s="138"/>
      <c r="E71" s="138"/>
      <c r="F71" s="138"/>
      <c r="G71" s="138"/>
      <c r="H71" s="138"/>
      <c r="I71" s="138"/>
      <c r="J71" s="138"/>
      <c r="K71" s="138"/>
      <c r="L71" s="138"/>
      <c r="M71" s="138"/>
      <c r="N71" s="138"/>
      <c r="O71" s="152"/>
      <c r="P71" s="146"/>
    </row>
    <row r="72" spans="1:25" s="164" customFormat="1">
      <c r="B72" s="119"/>
      <c r="C72" s="151"/>
      <c r="D72" s="138"/>
      <c r="E72" s="138"/>
      <c r="F72" s="138"/>
      <c r="G72" s="138"/>
      <c r="H72" s="211" t="s">
        <v>224</v>
      </c>
      <c r="I72" s="211"/>
      <c r="J72" s="211"/>
      <c r="K72" s="211"/>
      <c r="L72" s="138"/>
      <c r="M72" s="138"/>
      <c r="N72" s="138"/>
      <c r="O72" s="152"/>
      <c r="P72" s="146"/>
    </row>
    <row r="73" spans="1:25" s="164" customFormat="1">
      <c r="B73" s="119"/>
      <c r="C73" s="151"/>
      <c r="D73" s="138"/>
      <c r="E73" s="138"/>
      <c r="F73" s="138"/>
      <c r="G73" s="138"/>
      <c r="H73" s="211" t="s">
        <v>225</v>
      </c>
      <c r="I73" s="138"/>
      <c r="J73" s="138"/>
      <c r="K73" s="138"/>
      <c r="L73" s="138"/>
      <c r="M73" s="138"/>
      <c r="N73" s="138"/>
      <c r="O73" s="152"/>
      <c r="P73" s="212"/>
    </row>
    <row r="74" spans="1:25" s="164" customFormat="1">
      <c r="B74" s="119"/>
      <c r="C74" s="151"/>
      <c r="D74" s="138"/>
      <c r="E74" s="138"/>
      <c r="F74" s="138"/>
      <c r="G74" s="138"/>
      <c r="H74" s="211" t="s">
        <v>226</v>
      </c>
      <c r="I74" s="138"/>
      <c r="J74" s="138"/>
      <c r="K74" s="138"/>
      <c r="L74" s="138"/>
      <c r="M74" s="138"/>
      <c r="N74" s="138"/>
      <c r="O74" s="152"/>
      <c r="P74" s="212"/>
    </row>
    <row r="75" spans="1:25" s="164" customFormat="1">
      <c r="B75" s="119"/>
      <c r="C75" s="132"/>
      <c r="D75" s="213"/>
      <c r="E75" s="213"/>
      <c r="F75" s="213"/>
      <c r="G75" s="213"/>
      <c r="H75" s="211" t="s">
        <v>227</v>
      </c>
      <c r="I75" s="213"/>
      <c r="J75" s="213"/>
      <c r="K75" s="213"/>
      <c r="L75" s="213"/>
      <c r="M75" s="213"/>
      <c r="N75" s="213"/>
      <c r="O75" s="214"/>
      <c r="P75" s="215"/>
    </row>
    <row r="76" spans="1:25" s="164" customFormat="1">
      <c r="B76" s="119"/>
      <c r="C76" s="151"/>
      <c r="D76" s="138"/>
      <c r="E76" s="138"/>
      <c r="F76" s="138"/>
      <c r="G76" s="138"/>
      <c r="H76" s="138" t="s">
        <v>153</v>
      </c>
      <c r="I76" s="138"/>
      <c r="J76" s="138"/>
      <c r="K76" s="138"/>
      <c r="L76" s="138"/>
      <c r="M76" s="138"/>
      <c r="N76" s="138"/>
      <c r="O76" s="152"/>
      <c r="P76" s="146"/>
    </row>
    <row r="77" spans="1:25" s="164" customFormat="1">
      <c r="B77" s="119"/>
      <c r="C77" s="216" t="s">
        <v>228</v>
      </c>
      <c r="D77" s="217"/>
      <c r="E77" s="217"/>
      <c r="F77" s="217"/>
      <c r="G77" s="217" t="s">
        <v>245</v>
      </c>
      <c r="H77" s="217"/>
      <c r="I77" s="217"/>
      <c r="J77" s="217"/>
      <c r="K77" s="217"/>
      <c r="L77" s="217"/>
      <c r="M77" s="217"/>
      <c r="N77" s="217"/>
      <c r="O77" s="218"/>
      <c r="P77" s="146"/>
    </row>
    <row r="78" spans="1:25" s="164" customFormat="1">
      <c r="A78" s="115"/>
      <c r="B78" s="119"/>
      <c r="C78" s="565"/>
      <c r="D78" s="566"/>
      <c r="E78" s="566"/>
      <c r="F78" s="566"/>
      <c r="G78" s="566"/>
      <c r="H78" s="566"/>
      <c r="I78" s="566"/>
      <c r="J78" s="566"/>
      <c r="K78" s="566"/>
      <c r="L78" s="566"/>
      <c r="M78" s="566"/>
      <c r="N78" s="566"/>
      <c r="O78" s="567"/>
      <c r="P78" s="215"/>
      <c r="Q78" s="115"/>
      <c r="R78" s="115"/>
      <c r="S78" s="115"/>
      <c r="T78" s="115"/>
      <c r="U78" s="115"/>
      <c r="V78" s="115"/>
      <c r="W78" s="115"/>
      <c r="X78" s="115"/>
      <c r="Y78" s="115"/>
    </row>
    <row r="79" spans="1:25" s="164" customFormat="1">
      <c r="A79" s="115"/>
      <c r="B79" s="119"/>
      <c r="C79" s="565"/>
      <c r="D79" s="566"/>
      <c r="E79" s="566"/>
      <c r="F79" s="566"/>
      <c r="G79" s="566"/>
      <c r="H79" s="566"/>
      <c r="I79" s="566"/>
      <c r="J79" s="566"/>
      <c r="K79" s="566"/>
      <c r="L79" s="566"/>
      <c r="M79" s="566"/>
      <c r="N79" s="566"/>
      <c r="O79" s="567"/>
      <c r="P79" s="215"/>
      <c r="Q79" s="115"/>
      <c r="R79" s="115"/>
      <c r="S79" s="115"/>
      <c r="T79" s="115"/>
      <c r="U79" s="115"/>
      <c r="V79" s="115"/>
      <c r="W79" s="115"/>
      <c r="X79" s="115"/>
      <c r="Y79" s="115"/>
    </row>
    <row r="80" spans="1:25" s="164" customFormat="1">
      <c r="A80" s="115"/>
      <c r="B80" s="119"/>
      <c r="C80" s="132"/>
      <c r="D80" s="213"/>
      <c r="E80" s="213"/>
      <c r="F80" s="213"/>
      <c r="G80" s="213"/>
      <c r="H80" s="213"/>
      <c r="I80" s="213"/>
      <c r="J80" s="213"/>
      <c r="K80" s="213"/>
      <c r="L80" s="213"/>
      <c r="M80" s="213"/>
      <c r="N80" s="213"/>
      <c r="O80" s="214"/>
      <c r="P80" s="215"/>
      <c r="Q80" s="115"/>
      <c r="R80" s="115"/>
      <c r="S80" s="115"/>
      <c r="T80" s="115"/>
      <c r="U80" s="115"/>
      <c r="V80" s="115"/>
      <c r="W80" s="115"/>
      <c r="X80" s="115"/>
      <c r="Y80" s="115"/>
    </row>
    <row r="81" spans="1:25" s="164" customFormat="1">
      <c r="A81" s="115"/>
      <c r="B81" s="119"/>
      <c r="C81" s="219" t="s">
        <v>230</v>
      </c>
      <c r="D81" s="213"/>
      <c r="E81" s="213"/>
      <c r="F81" s="213"/>
      <c r="G81" s="213"/>
      <c r="H81" s="213"/>
      <c r="I81" s="213"/>
      <c r="J81" s="213"/>
      <c r="K81" s="213"/>
      <c r="L81" s="213"/>
      <c r="M81" s="213"/>
      <c r="N81" s="213"/>
      <c r="O81" s="214"/>
      <c r="P81" s="215"/>
      <c r="Q81" s="115"/>
      <c r="R81" s="115"/>
      <c r="S81" s="115"/>
      <c r="T81" s="115"/>
      <c r="U81" s="115"/>
      <c r="V81" s="115"/>
      <c r="W81" s="115"/>
      <c r="X81" s="115"/>
      <c r="Y81" s="115"/>
    </row>
    <row r="82" spans="1:25" s="164" customFormat="1" ht="12.75" customHeight="1">
      <c r="A82" s="115"/>
      <c r="B82" s="119"/>
      <c r="C82" s="556" t="s">
        <v>231</v>
      </c>
      <c r="D82" s="557"/>
      <c r="E82" s="557"/>
      <c r="F82" s="557"/>
      <c r="G82" s="557"/>
      <c r="H82" s="557"/>
      <c r="I82" s="557"/>
      <c r="J82" s="557"/>
      <c r="K82" s="557"/>
      <c r="L82" s="557"/>
      <c r="M82" s="557"/>
      <c r="N82" s="557"/>
      <c r="O82" s="558"/>
      <c r="P82" s="220"/>
      <c r="Q82" s="115"/>
      <c r="R82" s="115"/>
      <c r="S82" s="115"/>
      <c r="T82" s="115"/>
      <c r="U82" s="115"/>
      <c r="V82" s="115"/>
      <c r="W82" s="115"/>
      <c r="X82" s="115"/>
      <c r="Y82" s="115"/>
    </row>
    <row r="83" spans="1:25" s="164" customFormat="1" ht="28.5" customHeight="1">
      <c r="A83" s="115"/>
      <c r="B83" s="119"/>
      <c r="C83" s="556"/>
      <c r="D83" s="557"/>
      <c r="E83" s="557"/>
      <c r="F83" s="557"/>
      <c r="G83" s="557"/>
      <c r="H83" s="557"/>
      <c r="I83" s="557"/>
      <c r="J83" s="557"/>
      <c r="K83" s="557"/>
      <c r="L83" s="557"/>
      <c r="M83" s="557"/>
      <c r="N83" s="557"/>
      <c r="O83" s="558"/>
      <c r="P83" s="220"/>
      <c r="Q83" s="115"/>
      <c r="R83" s="115"/>
      <c r="S83" s="115"/>
      <c r="T83" s="115"/>
      <c r="U83" s="115"/>
      <c r="V83" s="115"/>
      <c r="W83" s="115"/>
      <c r="X83" s="115"/>
      <c r="Y83" s="115"/>
    </row>
    <row r="84" spans="1:25" ht="13.35" customHeight="1">
      <c r="B84" s="119"/>
      <c r="C84" s="556" t="s">
        <v>232</v>
      </c>
      <c r="D84" s="557"/>
      <c r="E84" s="557"/>
      <c r="F84" s="557"/>
      <c r="G84" s="557"/>
      <c r="H84" s="557"/>
      <c r="I84" s="557"/>
      <c r="J84" s="557"/>
      <c r="K84" s="557"/>
      <c r="L84" s="557"/>
      <c r="M84" s="557"/>
      <c r="N84" s="557"/>
      <c r="O84" s="558"/>
      <c r="P84" s="220"/>
    </row>
    <row r="85" spans="1:25" ht="45" customHeight="1">
      <c r="B85" s="119"/>
      <c r="C85" s="556"/>
      <c r="D85" s="557"/>
      <c r="E85" s="557"/>
      <c r="F85" s="557"/>
      <c r="G85" s="557"/>
      <c r="H85" s="557"/>
      <c r="I85" s="557"/>
      <c r="J85" s="557"/>
      <c r="K85" s="557"/>
      <c r="L85" s="557"/>
      <c r="M85" s="557"/>
      <c r="N85" s="557"/>
      <c r="O85" s="558"/>
      <c r="P85" s="220"/>
    </row>
    <row r="86" spans="1:25">
      <c r="B86" s="119"/>
      <c r="C86" s="132"/>
      <c r="D86" s="213"/>
      <c r="E86" s="213"/>
      <c r="F86" s="213"/>
      <c r="G86" s="213"/>
      <c r="H86" s="213"/>
      <c r="I86" s="213"/>
      <c r="J86" s="213"/>
      <c r="K86" s="213"/>
      <c r="L86" s="213"/>
      <c r="M86" s="213"/>
      <c r="N86" s="213"/>
      <c r="O86" s="214"/>
      <c r="P86" s="215"/>
    </row>
    <row r="87" spans="1:25">
      <c r="B87" s="119"/>
      <c r="C87" s="151"/>
      <c r="D87" s="138"/>
      <c r="E87" s="138"/>
      <c r="F87" s="138"/>
      <c r="G87" s="138"/>
      <c r="H87" s="211" t="s">
        <v>224</v>
      </c>
      <c r="I87" s="138"/>
      <c r="J87" s="138"/>
      <c r="K87" s="138"/>
      <c r="L87" s="138"/>
      <c r="M87" s="138"/>
      <c r="N87" s="138"/>
      <c r="O87" s="152"/>
      <c r="P87" s="146"/>
    </row>
    <row r="88" spans="1:25">
      <c r="B88" s="119"/>
      <c r="C88" s="151"/>
      <c r="D88" s="138"/>
      <c r="E88" s="138"/>
      <c r="F88" s="138"/>
      <c r="G88" s="138"/>
      <c r="H88" s="138" t="s">
        <v>225</v>
      </c>
      <c r="I88" s="124"/>
      <c r="J88" s="124"/>
      <c r="K88" s="124"/>
      <c r="L88" s="138"/>
      <c r="M88" s="138"/>
      <c r="N88" s="138"/>
      <c r="O88" s="152"/>
      <c r="P88" s="146"/>
    </row>
    <row r="89" spans="1:25">
      <c r="B89" s="119"/>
      <c r="C89" s="151"/>
      <c r="D89" s="138"/>
      <c r="E89" s="138"/>
      <c r="F89" s="138"/>
      <c r="G89" s="138"/>
      <c r="H89" s="138" t="s">
        <v>233</v>
      </c>
      <c r="I89" s="221"/>
      <c r="J89" s="221"/>
      <c r="K89" s="221"/>
      <c r="L89" s="138"/>
      <c r="M89" s="138"/>
      <c r="N89" s="138"/>
      <c r="O89" s="152"/>
      <c r="P89" s="146"/>
    </row>
    <row r="90" spans="1:25">
      <c r="B90" s="119"/>
      <c r="C90" s="222"/>
      <c r="D90" s="213"/>
      <c r="E90" s="213"/>
      <c r="F90" s="213"/>
      <c r="G90" s="213"/>
      <c r="H90" s="138" t="s">
        <v>234</v>
      </c>
      <c r="I90" s="138"/>
      <c r="J90" s="138"/>
      <c r="K90" s="138"/>
      <c r="L90" s="213"/>
      <c r="M90" s="213"/>
      <c r="N90" s="213"/>
      <c r="O90" s="214"/>
      <c r="P90" s="215"/>
    </row>
    <row r="91" spans="1:25" ht="18.75" customHeight="1" thickBot="1">
      <c r="B91" s="119"/>
      <c r="C91" s="559"/>
      <c r="D91" s="560"/>
      <c r="E91" s="560"/>
      <c r="F91" s="180"/>
      <c r="G91" s="180"/>
      <c r="H91" s="180"/>
      <c r="I91" s="180"/>
      <c r="J91" s="180"/>
      <c r="K91" s="561"/>
      <c r="L91" s="561"/>
      <c r="M91" s="561"/>
      <c r="N91" s="561"/>
      <c r="O91" s="562"/>
      <c r="P91" s="223"/>
    </row>
    <row r="92" spans="1:25" ht="14.4" thickBot="1">
      <c r="B92" s="224"/>
      <c r="C92" s="225"/>
      <c r="D92" s="225"/>
      <c r="E92" s="225"/>
      <c r="F92" s="225"/>
      <c r="G92" s="225"/>
      <c r="H92" s="225"/>
      <c r="I92" s="225"/>
      <c r="J92" s="225"/>
      <c r="K92" s="225"/>
      <c r="L92" s="225"/>
      <c r="M92" s="225"/>
      <c r="N92" s="225"/>
      <c r="O92" s="225"/>
      <c r="P92" s="226"/>
    </row>
    <row r="93" spans="1:25" ht="14.4" thickTop="1"/>
  </sheetData>
  <mergeCells count="94">
    <mergeCell ref="C82:O83"/>
    <mergeCell ref="C84:O85"/>
    <mergeCell ref="C91:E91"/>
    <mergeCell ref="K91:O91"/>
    <mergeCell ref="M66:N66"/>
    <mergeCell ref="M67:N67"/>
    <mergeCell ref="C68:N68"/>
    <mergeCell ref="C70:N70"/>
    <mergeCell ref="C78:O78"/>
    <mergeCell ref="C79:O79"/>
    <mergeCell ref="C65:I65"/>
    <mergeCell ref="M65:N65"/>
    <mergeCell ref="M53:N53"/>
    <mergeCell ref="M54:N54"/>
    <mergeCell ref="C55:I55"/>
    <mergeCell ref="M55:N55"/>
    <mergeCell ref="C56:N56"/>
    <mergeCell ref="C58:N58"/>
    <mergeCell ref="C59:N59"/>
    <mergeCell ref="C60:N60"/>
    <mergeCell ref="C61:O63"/>
    <mergeCell ref="C64:I64"/>
    <mergeCell ref="M64:N64"/>
    <mergeCell ref="C47:N47"/>
    <mergeCell ref="C48:O50"/>
    <mergeCell ref="C51:I51"/>
    <mergeCell ref="M51:N51"/>
    <mergeCell ref="C52:I52"/>
    <mergeCell ref="M52:N52"/>
    <mergeCell ref="C44:I44"/>
    <mergeCell ref="M44:N44"/>
    <mergeCell ref="C45:I45"/>
    <mergeCell ref="M45:N45"/>
    <mergeCell ref="C46:I46"/>
    <mergeCell ref="M46:N46"/>
    <mergeCell ref="C41:O43"/>
    <mergeCell ref="C35:J35"/>
    <mergeCell ref="M35:N35"/>
    <mergeCell ref="C36:J36"/>
    <mergeCell ref="M36:N36"/>
    <mergeCell ref="C37:J37"/>
    <mergeCell ref="M37:N37"/>
    <mergeCell ref="C38:J38"/>
    <mergeCell ref="M38:N38"/>
    <mergeCell ref="C39:J39"/>
    <mergeCell ref="M39:N39"/>
    <mergeCell ref="C40:N40"/>
    <mergeCell ref="C29:N29"/>
    <mergeCell ref="C30:O32"/>
    <mergeCell ref="C33:J33"/>
    <mergeCell ref="M33:N33"/>
    <mergeCell ref="C34:J34"/>
    <mergeCell ref="M34:N34"/>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C24:G24"/>
    <mergeCell ref="H24:I24"/>
    <mergeCell ref="J24:K24"/>
    <mergeCell ref="M24:N24"/>
    <mergeCell ref="M7:M9"/>
    <mergeCell ref="N7:N9"/>
    <mergeCell ref="D19:L19"/>
    <mergeCell ref="M19:N19"/>
    <mergeCell ref="D20:L20"/>
    <mergeCell ref="M20:N20"/>
    <mergeCell ref="C21:O23"/>
    <mergeCell ref="O7:O9"/>
    <mergeCell ref="D9:K9"/>
    <mergeCell ref="C13:F13"/>
    <mergeCell ref="C17:O17"/>
    <mergeCell ref="C3:C9"/>
    <mergeCell ref="D7:K8"/>
    <mergeCell ref="L7:L9"/>
    <mergeCell ref="D3:K3"/>
    <mergeCell ref="L3:O4"/>
    <mergeCell ref="D4:K4"/>
    <mergeCell ref="D5:K5"/>
    <mergeCell ref="L5:L6"/>
    <mergeCell ref="M5:O6"/>
    <mergeCell ref="D6:K6"/>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3"/>
  <sheetViews>
    <sheetView workbookViewId="0">
      <selection activeCell="C24" sqref="C24:G24"/>
    </sheetView>
  </sheetViews>
  <sheetFormatPr baseColWidth="10" defaultColWidth="11.44140625" defaultRowHeight="13.8"/>
  <cols>
    <col min="1" max="2" width="3.44140625" style="115" customWidth="1"/>
    <col min="3" max="3" width="12.44140625" style="115" customWidth="1"/>
    <col min="4" max="4" width="18" style="115" customWidth="1"/>
    <col min="5" max="9" width="11.44140625" style="115"/>
    <col min="10" max="10" width="16" style="115" customWidth="1"/>
    <col min="11" max="11" width="15" style="115" customWidth="1"/>
    <col min="12" max="12" width="17.44140625" style="115" customWidth="1"/>
    <col min="13" max="14" width="11.44140625" style="115"/>
    <col min="15" max="15" width="20" style="115" customWidth="1"/>
    <col min="16" max="16" width="3.44140625" style="115" customWidth="1"/>
    <col min="17" max="16384" width="11.44140625" style="115"/>
  </cols>
  <sheetData>
    <row r="1" spans="2:16" ht="14.4" thickBot="1"/>
    <row r="2" spans="2:16" ht="15" thickTop="1" thickBot="1">
      <c r="B2" s="116"/>
      <c r="C2" s="117"/>
      <c r="D2" s="117"/>
      <c r="E2" s="117"/>
      <c r="F2" s="117"/>
      <c r="G2" s="117"/>
      <c r="H2" s="117"/>
      <c r="I2" s="117"/>
      <c r="J2" s="117"/>
      <c r="K2" s="117"/>
      <c r="L2" s="117"/>
      <c r="M2" s="117"/>
      <c r="N2" s="117"/>
      <c r="O2" s="117"/>
      <c r="P2" s="118"/>
    </row>
    <row r="3" spans="2:16">
      <c r="B3" s="119"/>
      <c r="C3" s="502"/>
      <c r="D3" s="451"/>
      <c r="E3" s="452"/>
      <c r="F3" s="452"/>
      <c r="G3" s="452"/>
      <c r="H3" s="452"/>
      <c r="I3" s="452"/>
      <c r="J3" s="452"/>
      <c r="K3" s="453"/>
      <c r="L3" s="454"/>
      <c r="M3" s="455"/>
      <c r="N3" s="455"/>
      <c r="O3" s="456"/>
      <c r="P3" s="120"/>
    </row>
    <row r="4" spans="2:16">
      <c r="B4" s="119"/>
      <c r="C4" s="503"/>
      <c r="D4" s="460" t="s">
        <v>178</v>
      </c>
      <c r="E4" s="461"/>
      <c r="F4" s="461"/>
      <c r="G4" s="461"/>
      <c r="H4" s="461"/>
      <c r="I4" s="461"/>
      <c r="J4" s="461"/>
      <c r="K4" s="462"/>
      <c r="L4" s="457"/>
      <c r="M4" s="458"/>
      <c r="N4" s="458"/>
      <c r="O4" s="459"/>
      <c r="P4" s="120"/>
    </row>
    <row r="5" spans="2:16">
      <c r="B5" s="119"/>
      <c r="C5" s="503"/>
      <c r="D5" s="460"/>
      <c r="E5" s="461"/>
      <c r="F5" s="461"/>
      <c r="G5" s="461"/>
      <c r="H5" s="461"/>
      <c r="I5" s="461"/>
      <c r="J5" s="461"/>
      <c r="K5" s="462"/>
      <c r="L5" s="449" t="s">
        <v>179</v>
      </c>
      <c r="M5" s="464">
        <v>1</v>
      </c>
      <c r="N5" s="465"/>
      <c r="O5" s="466"/>
      <c r="P5" s="120"/>
    </row>
    <row r="6" spans="2:16">
      <c r="B6" s="119"/>
      <c r="C6" s="503"/>
      <c r="D6" s="460" t="s">
        <v>87</v>
      </c>
      <c r="E6" s="461"/>
      <c r="F6" s="461"/>
      <c r="G6" s="461"/>
      <c r="H6" s="461"/>
      <c r="I6" s="461"/>
      <c r="J6" s="461"/>
      <c r="K6" s="462"/>
      <c r="L6" s="463"/>
      <c r="M6" s="467"/>
      <c r="N6" s="468"/>
      <c r="O6" s="469"/>
      <c r="P6" s="121"/>
    </row>
    <row r="7" spans="2:16" ht="12.75" customHeight="1">
      <c r="B7" s="119"/>
      <c r="C7" s="503"/>
      <c r="D7" s="446"/>
      <c r="E7" s="447"/>
      <c r="F7" s="447"/>
      <c r="G7" s="447"/>
      <c r="H7" s="447"/>
      <c r="I7" s="447"/>
      <c r="J7" s="447"/>
      <c r="K7" s="448"/>
      <c r="L7" s="449" t="s">
        <v>180</v>
      </c>
      <c r="M7" s="449">
        <v>1</v>
      </c>
      <c r="N7" s="449" t="s">
        <v>181</v>
      </c>
      <c r="O7" s="495">
        <v>1</v>
      </c>
      <c r="P7" s="120"/>
    </row>
    <row r="8" spans="2:16">
      <c r="B8" s="119"/>
      <c r="C8" s="503"/>
      <c r="D8" s="446"/>
      <c r="E8" s="447"/>
      <c r="F8" s="447"/>
      <c r="G8" s="447"/>
      <c r="H8" s="447"/>
      <c r="I8" s="447"/>
      <c r="J8" s="447"/>
      <c r="K8" s="448"/>
      <c r="L8" s="450"/>
      <c r="M8" s="450"/>
      <c r="N8" s="450"/>
      <c r="O8" s="496"/>
      <c r="P8" s="120"/>
    </row>
    <row r="9" spans="2:16">
      <c r="B9" s="119"/>
      <c r="C9" s="503"/>
      <c r="D9" s="460" t="s">
        <v>182</v>
      </c>
      <c r="E9" s="461"/>
      <c r="F9" s="461"/>
      <c r="G9" s="461"/>
      <c r="H9" s="461"/>
      <c r="I9" s="461"/>
      <c r="J9" s="461"/>
      <c r="K9" s="462"/>
      <c r="L9" s="450"/>
      <c r="M9" s="450"/>
      <c r="N9" s="450"/>
      <c r="O9" s="496"/>
      <c r="P9" s="120"/>
    </row>
    <row r="10" spans="2:16" ht="14.4" thickBot="1">
      <c r="B10" s="119"/>
      <c r="C10" s="122"/>
      <c r="D10" s="123"/>
      <c r="E10" s="123"/>
      <c r="F10" s="123"/>
      <c r="G10" s="123"/>
      <c r="H10" s="123"/>
      <c r="I10" s="123"/>
      <c r="J10" s="123"/>
      <c r="K10" s="123"/>
      <c r="L10" s="123"/>
      <c r="M10" s="124"/>
      <c r="N10" s="124"/>
      <c r="O10" s="125"/>
      <c r="P10" s="126"/>
    </row>
    <row r="11" spans="2:16">
      <c r="B11" s="119"/>
      <c r="C11" s="127"/>
      <c r="D11" s="128"/>
      <c r="E11" s="128"/>
      <c r="F11" s="128"/>
      <c r="G11" s="128"/>
      <c r="H11" s="128"/>
      <c r="I11" s="128"/>
      <c r="J11" s="128"/>
      <c r="K11" s="128"/>
      <c r="L11" s="129" t="s">
        <v>150</v>
      </c>
      <c r="M11" s="130" t="s">
        <v>183</v>
      </c>
      <c r="N11" s="130" t="s">
        <v>184</v>
      </c>
      <c r="O11" s="131" t="s">
        <v>185</v>
      </c>
      <c r="P11" s="121"/>
    </row>
    <row r="12" spans="2:16">
      <c r="B12" s="119"/>
      <c r="C12" s="132"/>
      <c r="D12" s="133"/>
      <c r="E12" s="133"/>
      <c r="F12" s="133"/>
      <c r="G12" s="133"/>
      <c r="H12" s="133"/>
      <c r="I12" s="133"/>
      <c r="J12" s="133"/>
      <c r="K12" s="133"/>
      <c r="L12" s="134"/>
      <c r="M12" s="135"/>
      <c r="N12" s="135"/>
      <c r="O12" s="136"/>
      <c r="P12" s="137"/>
    </row>
    <row r="13" spans="2:16" ht="18" customHeight="1">
      <c r="B13" s="119"/>
      <c r="C13" s="497" t="s">
        <v>186</v>
      </c>
      <c r="D13" s="498"/>
      <c r="E13" s="498"/>
      <c r="F13" s="498"/>
      <c r="G13" s="133"/>
      <c r="H13" s="133"/>
      <c r="I13" s="133" t="s">
        <v>187</v>
      </c>
      <c r="J13" s="138"/>
      <c r="K13" s="133" t="s">
        <v>188</v>
      </c>
      <c r="L13" s="134"/>
      <c r="M13" s="138"/>
      <c r="N13" s="138"/>
      <c r="O13" s="139"/>
      <c r="P13" s="137"/>
    </row>
    <row r="14" spans="2:16">
      <c r="B14" s="119"/>
      <c r="C14" s="140"/>
      <c r="D14" s="141"/>
      <c r="E14" s="141"/>
      <c r="F14" s="141"/>
      <c r="G14" s="141"/>
      <c r="H14" s="141"/>
      <c r="I14" s="141"/>
      <c r="J14" s="141"/>
      <c r="K14" s="141"/>
      <c r="L14" s="141"/>
      <c r="M14" s="141"/>
      <c r="N14" s="141"/>
      <c r="O14" s="142"/>
      <c r="P14" s="121"/>
    </row>
    <row r="15" spans="2:16" ht="14.4" thickBot="1">
      <c r="B15" s="119"/>
      <c r="C15" s="143"/>
      <c r="D15" s="144"/>
      <c r="E15" s="144"/>
      <c r="F15" s="144"/>
      <c r="G15" s="144"/>
      <c r="H15" s="144"/>
      <c r="I15" s="144"/>
      <c r="J15" s="144"/>
      <c r="K15" s="144"/>
      <c r="L15" s="144"/>
      <c r="M15" s="144"/>
      <c r="N15" s="144"/>
      <c r="O15" s="145"/>
      <c r="P15" s="146"/>
    </row>
    <row r="16" spans="2:16" ht="14.4" thickBot="1">
      <c r="B16" s="119"/>
      <c r="C16" s="147"/>
      <c r="D16" s="148"/>
      <c r="E16" s="148"/>
      <c r="F16" s="148"/>
      <c r="G16" s="148"/>
      <c r="H16" s="148"/>
      <c r="I16" s="138"/>
      <c r="J16" s="138"/>
      <c r="K16" s="148"/>
      <c r="L16" s="148"/>
      <c r="M16" s="148"/>
      <c r="N16" s="148"/>
      <c r="O16" s="149"/>
      <c r="P16" s="146"/>
    </row>
    <row r="17" spans="2:16">
      <c r="B17" s="119"/>
      <c r="C17" s="499" t="s">
        <v>189</v>
      </c>
      <c r="D17" s="500"/>
      <c r="E17" s="500"/>
      <c r="F17" s="500"/>
      <c r="G17" s="500"/>
      <c r="H17" s="500"/>
      <c r="I17" s="500"/>
      <c r="J17" s="500"/>
      <c r="K17" s="500"/>
      <c r="L17" s="500"/>
      <c r="M17" s="500"/>
      <c r="N17" s="500"/>
      <c r="O17" s="501"/>
      <c r="P17" s="150"/>
    </row>
    <row r="18" spans="2:16" ht="14.4" thickBot="1">
      <c r="B18" s="119"/>
      <c r="C18" s="151"/>
      <c r="D18" s="138"/>
      <c r="E18" s="138"/>
      <c r="F18" s="138"/>
      <c r="G18" s="138"/>
      <c r="H18" s="138"/>
      <c r="I18" s="138"/>
      <c r="J18" s="138"/>
      <c r="K18" s="138"/>
      <c r="L18" s="138"/>
      <c r="M18" s="138"/>
      <c r="N18" s="138"/>
      <c r="O18" s="152"/>
      <c r="P18" s="146"/>
    </row>
    <row r="19" spans="2:16">
      <c r="B19" s="119"/>
      <c r="C19" s="153" t="s">
        <v>190</v>
      </c>
      <c r="D19" s="477" t="s">
        <v>155</v>
      </c>
      <c r="E19" s="478"/>
      <c r="F19" s="478"/>
      <c r="G19" s="478"/>
      <c r="H19" s="478"/>
      <c r="I19" s="478"/>
      <c r="J19" s="478"/>
      <c r="K19" s="478"/>
      <c r="L19" s="479"/>
      <c r="M19" s="470" t="s">
        <v>3</v>
      </c>
      <c r="N19" s="480"/>
      <c r="O19" s="153" t="s">
        <v>191</v>
      </c>
      <c r="P19" s="154"/>
    </row>
    <row r="20" spans="2:16" ht="58.5" customHeight="1" thickBot="1">
      <c r="B20" s="119"/>
      <c r="C20" s="155" t="s">
        <v>131</v>
      </c>
      <c r="D20" s="481" t="s">
        <v>133</v>
      </c>
      <c r="E20" s="482"/>
      <c r="F20" s="482"/>
      <c r="G20" s="482"/>
      <c r="H20" s="482"/>
      <c r="I20" s="482"/>
      <c r="J20" s="482"/>
      <c r="K20" s="482"/>
      <c r="L20" s="483"/>
      <c r="M20" s="484" t="s">
        <v>167</v>
      </c>
      <c r="N20" s="485"/>
      <c r="O20" s="156"/>
      <c r="P20" s="157"/>
    </row>
    <row r="21" spans="2:16">
      <c r="B21" s="119"/>
      <c r="C21" s="486" t="s">
        <v>192</v>
      </c>
      <c r="D21" s="487"/>
      <c r="E21" s="487"/>
      <c r="F21" s="487"/>
      <c r="G21" s="487"/>
      <c r="H21" s="487"/>
      <c r="I21" s="487"/>
      <c r="J21" s="487"/>
      <c r="K21" s="487"/>
      <c r="L21" s="487"/>
      <c r="M21" s="487"/>
      <c r="N21" s="487"/>
      <c r="O21" s="488"/>
      <c r="P21" s="158"/>
    </row>
    <row r="22" spans="2:16">
      <c r="B22" s="119"/>
      <c r="C22" s="489"/>
      <c r="D22" s="490"/>
      <c r="E22" s="490"/>
      <c r="F22" s="490"/>
      <c r="G22" s="490"/>
      <c r="H22" s="490"/>
      <c r="I22" s="490"/>
      <c r="J22" s="490"/>
      <c r="K22" s="490"/>
      <c r="L22" s="490"/>
      <c r="M22" s="490"/>
      <c r="N22" s="490"/>
      <c r="O22" s="491"/>
      <c r="P22" s="158"/>
    </row>
    <row r="23" spans="2:16" ht="14.4" thickBot="1">
      <c r="B23" s="119"/>
      <c r="C23" s="492"/>
      <c r="D23" s="493"/>
      <c r="E23" s="493"/>
      <c r="F23" s="493"/>
      <c r="G23" s="493"/>
      <c r="H23" s="493"/>
      <c r="I23" s="493"/>
      <c r="J23" s="493"/>
      <c r="K23" s="493"/>
      <c r="L23" s="493"/>
      <c r="M23" s="493"/>
      <c r="N23" s="493"/>
      <c r="O23" s="494"/>
      <c r="P23" s="158"/>
    </row>
    <row r="24" spans="2:16">
      <c r="B24" s="119"/>
      <c r="C24" s="470" t="s">
        <v>155</v>
      </c>
      <c r="D24" s="471"/>
      <c r="E24" s="471"/>
      <c r="F24" s="471"/>
      <c r="G24" s="472"/>
      <c r="H24" s="473" t="s">
        <v>193</v>
      </c>
      <c r="I24" s="471"/>
      <c r="J24" s="474" t="s">
        <v>162</v>
      </c>
      <c r="K24" s="475"/>
      <c r="L24" s="159" t="s">
        <v>194</v>
      </c>
      <c r="M24" s="473" t="s">
        <v>195</v>
      </c>
      <c r="N24" s="476"/>
      <c r="O24" s="160" t="s">
        <v>196</v>
      </c>
      <c r="P24" s="154"/>
    </row>
    <row r="25" spans="2:16" ht="23.25" customHeight="1">
      <c r="B25" s="119"/>
      <c r="C25" s="504" t="s">
        <v>197</v>
      </c>
      <c r="D25" s="505"/>
      <c r="E25" s="505"/>
      <c r="F25" s="505"/>
      <c r="G25" s="506"/>
      <c r="H25" s="507" t="s">
        <v>89</v>
      </c>
      <c r="I25" s="506"/>
      <c r="J25" s="508" t="s">
        <v>89</v>
      </c>
      <c r="K25" s="509"/>
      <c r="L25" s="161">
        <f>+O56</f>
        <v>6628.1598000000013</v>
      </c>
      <c r="M25" s="510">
        <v>0.05</v>
      </c>
      <c r="N25" s="511"/>
      <c r="O25" s="162">
        <f>ROUND(L25*M25,2)</f>
        <v>331.41</v>
      </c>
      <c r="P25" s="163"/>
    </row>
    <row r="26" spans="2:16" s="164" customFormat="1" ht="46.5" customHeight="1">
      <c r="B26" s="119"/>
      <c r="C26" s="504" t="s">
        <v>253</v>
      </c>
      <c r="D26" s="505"/>
      <c r="E26" s="505"/>
      <c r="F26" s="505"/>
      <c r="G26" s="506"/>
      <c r="H26" s="507" t="s">
        <v>89</v>
      </c>
      <c r="I26" s="506"/>
      <c r="J26" s="508" t="s">
        <v>254</v>
      </c>
      <c r="K26" s="509"/>
      <c r="L26" s="161">
        <v>27700</v>
      </c>
      <c r="M26" s="545">
        <v>0.3</v>
      </c>
      <c r="N26" s="546"/>
      <c r="O26" s="162">
        <f>ROUND(L26*M26,2)</f>
        <v>8310</v>
      </c>
      <c r="P26" s="163"/>
    </row>
    <row r="27" spans="2:16" s="164" customFormat="1">
      <c r="B27" s="119"/>
      <c r="C27" s="504"/>
      <c r="D27" s="505"/>
      <c r="E27" s="505"/>
      <c r="F27" s="505"/>
      <c r="G27" s="506"/>
      <c r="H27" s="508"/>
      <c r="I27" s="509"/>
      <c r="J27" s="508"/>
      <c r="K27" s="509"/>
      <c r="L27" s="161"/>
      <c r="M27" s="512"/>
      <c r="N27" s="511"/>
      <c r="O27" s="162"/>
      <c r="P27" s="163"/>
    </row>
    <row r="28" spans="2:16" s="164" customFormat="1" ht="14.4" thickBot="1">
      <c r="B28" s="119"/>
      <c r="C28" s="513"/>
      <c r="D28" s="514"/>
      <c r="E28" s="514"/>
      <c r="F28" s="514"/>
      <c r="G28" s="515"/>
      <c r="H28" s="516"/>
      <c r="I28" s="517"/>
      <c r="J28" s="516"/>
      <c r="K28" s="517"/>
      <c r="L28" s="165"/>
      <c r="M28" s="518"/>
      <c r="N28" s="519"/>
      <c r="O28" s="162"/>
      <c r="P28" s="163"/>
    </row>
    <row r="29" spans="2:16" s="164" customFormat="1" ht="14.4" thickBot="1">
      <c r="B29" s="119"/>
      <c r="C29" s="520" t="s">
        <v>198</v>
      </c>
      <c r="D29" s="521"/>
      <c r="E29" s="521"/>
      <c r="F29" s="521"/>
      <c r="G29" s="521"/>
      <c r="H29" s="521"/>
      <c r="I29" s="521"/>
      <c r="J29" s="521"/>
      <c r="K29" s="521"/>
      <c r="L29" s="521"/>
      <c r="M29" s="521"/>
      <c r="N29" s="522"/>
      <c r="O29" s="166">
        <f>+SUM(O25:O28)</f>
        <v>8641.41</v>
      </c>
      <c r="P29" s="167"/>
    </row>
    <row r="30" spans="2:16" s="164" customFormat="1" ht="13.5" customHeight="1">
      <c r="B30" s="119"/>
      <c r="C30" s="486" t="s">
        <v>199</v>
      </c>
      <c r="D30" s="487"/>
      <c r="E30" s="487"/>
      <c r="F30" s="487"/>
      <c r="G30" s="487"/>
      <c r="H30" s="487"/>
      <c r="I30" s="487"/>
      <c r="J30" s="487"/>
      <c r="K30" s="487"/>
      <c r="L30" s="487"/>
      <c r="M30" s="487"/>
      <c r="N30" s="487"/>
      <c r="O30" s="488"/>
      <c r="P30" s="158"/>
    </row>
    <row r="31" spans="2:16" s="164" customFormat="1">
      <c r="B31" s="119"/>
      <c r="C31" s="489"/>
      <c r="D31" s="490"/>
      <c r="E31" s="490"/>
      <c r="F31" s="490"/>
      <c r="G31" s="490"/>
      <c r="H31" s="490"/>
      <c r="I31" s="490"/>
      <c r="J31" s="490"/>
      <c r="K31" s="490"/>
      <c r="L31" s="490"/>
      <c r="M31" s="490"/>
      <c r="N31" s="490"/>
      <c r="O31" s="491"/>
      <c r="P31" s="158"/>
    </row>
    <row r="32" spans="2:16" s="164" customFormat="1" ht="14.4" thickBot="1">
      <c r="B32" s="119"/>
      <c r="C32" s="492"/>
      <c r="D32" s="493"/>
      <c r="E32" s="493"/>
      <c r="F32" s="493"/>
      <c r="G32" s="493"/>
      <c r="H32" s="493"/>
      <c r="I32" s="493"/>
      <c r="J32" s="493"/>
      <c r="K32" s="493"/>
      <c r="L32" s="493"/>
      <c r="M32" s="493"/>
      <c r="N32" s="493"/>
      <c r="O32" s="494"/>
      <c r="P32" s="158"/>
    </row>
    <row r="33" spans="2:16" s="164" customFormat="1">
      <c r="B33" s="119"/>
      <c r="C33" s="470" t="s">
        <v>155</v>
      </c>
      <c r="D33" s="523"/>
      <c r="E33" s="523"/>
      <c r="F33" s="523"/>
      <c r="G33" s="523"/>
      <c r="H33" s="523"/>
      <c r="I33" s="523"/>
      <c r="J33" s="476"/>
      <c r="K33" s="168" t="s">
        <v>3</v>
      </c>
      <c r="L33" s="159" t="s">
        <v>191</v>
      </c>
      <c r="M33" s="473" t="s">
        <v>200</v>
      </c>
      <c r="N33" s="476"/>
      <c r="O33" s="160" t="s">
        <v>196</v>
      </c>
      <c r="P33" s="154"/>
    </row>
    <row r="34" spans="2:16" s="164" customFormat="1" ht="37.5" customHeight="1">
      <c r="B34" s="119"/>
      <c r="C34" s="504" t="s">
        <v>255</v>
      </c>
      <c r="D34" s="505"/>
      <c r="E34" s="505"/>
      <c r="F34" s="505"/>
      <c r="G34" s="505"/>
      <c r="H34" s="505"/>
      <c r="I34" s="505"/>
      <c r="J34" s="506"/>
      <c r="K34" s="169" t="s">
        <v>241</v>
      </c>
      <c r="L34" s="170">
        <v>0.06</v>
      </c>
      <c r="M34" s="524">
        <v>58292.67</v>
      </c>
      <c r="N34" s="525"/>
      <c r="O34" s="171">
        <f>L34*M34</f>
        <v>3497.5601999999999</v>
      </c>
      <c r="P34" s="163"/>
    </row>
    <row r="35" spans="2:16" s="164" customFormat="1" ht="37.5" customHeight="1">
      <c r="B35" s="119"/>
      <c r="C35" s="504"/>
      <c r="D35" s="505"/>
      <c r="E35" s="505"/>
      <c r="F35" s="505"/>
      <c r="G35" s="505"/>
      <c r="H35" s="505"/>
      <c r="I35" s="505"/>
      <c r="J35" s="506"/>
      <c r="K35" s="169"/>
      <c r="L35" s="170"/>
      <c r="M35" s="524"/>
      <c r="N35" s="525"/>
      <c r="O35" s="171"/>
      <c r="P35" s="163"/>
    </row>
    <row r="36" spans="2:16" s="164" customFormat="1" ht="37.5" customHeight="1">
      <c r="B36" s="119"/>
      <c r="C36" s="504"/>
      <c r="D36" s="505"/>
      <c r="E36" s="505"/>
      <c r="F36" s="505"/>
      <c r="G36" s="505"/>
      <c r="H36" s="505"/>
      <c r="I36" s="505"/>
      <c r="J36" s="506"/>
      <c r="K36" s="172"/>
      <c r="L36" s="173"/>
      <c r="M36" s="526"/>
      <c r="N36" s="527"/>
      <c r="O36" s="171"/>
      <c r="P36" s="163"/>
    </row>
    <row r="37" spans="2:16" s="164" customFormat="1" ht="37.5" customHeight="1">
      <c r="B37" s="119"/>
      <c r="C37" s="504"/>
      <c r="D37" s="505"/>
      <c r="E37" s="505"/>
      <c r="F37" s="505"/>
      <c r="G37" s="505"/>
      <c r="H37" s="505"/>
      <c r="I37" s="505"/>
      <c r="J37" s="506"/>
      <c r="K37" s="172"/>
      <c r="L37" s="173"/>
      <c r="M37" s="526"/>
      <c r="N37" s="527"/>
      <c r="O37" s="171"/>
      <c r="P37" s="163"/>
    </row>
    <row r="38" spans="2:16" s="164" customFormat="1" ht="37.5" customHeight="1">
      <c r="B38" s="119"/>
      <c r="C38" s="504"/>
      <c r="D38" s="505"/>
      <c r="E38" s="505"/>
      <c r="F38" s="505"/>
      <c r="G38" s="505"/>
      <c r="H38" s="505"/>
      <c r="I38" s="505"/>
      <c r="J38" s="506"/>
      <c r="K38" s="172"/>
      <c r="L38" s="173"/>
      <c r="M38" s="526"/>
      <c r="N38" s="527"/>
      <c r="O38" s="171"/>
      <c r="P38" s="163"/>
    </row>
    <row r="39" spans="2:16" s="164" customFormat="1" ht="14.4" thickBot="1">
      <c r="B39" s="119"/>
      <c r="C39" s="528"/>
      <c r="D39" s="529"/>
      <c r="E39" s="529"/>
      <c r="F39" s="529"/>
      <c r="G39" s="529"/>
      <c r="H39" s="529"/>
      <c r="I39" s="529"/>
      <c r="J39" s="517"/>
      <c r="K39" s="172"/>
      <c r="L39" s="174"/>
      <c r="M39" s="530"/>
      <c r="N39" s="531"/>
      <c r="O39" s="162">
        <f t="shared" ref="O39" si="0">ROUND(L39*M39,2)</f>
        <v>0</v>
      </c>
      <c r="P39" s="163"/>
    </row>
    <row r="40" spans="2:16" s="164" customFormat="1" ht="14.4" thickBot="1">
      <c r="B40" s="119"/>
      <c r="C40" s="520" t="s">
        <v>198</v>
      </c>
      <c r="D40" s="521"/>
      <c r="E40" s="521"/>
      <c r="F40" s="521"/>
      <c r="G40" s="521"/>
      <c r="H40" s="521"/>
      <c r="I40" s="521"/>
      <c r="J40" s="521"/>
      <c r="K40" s="521"/>
      <c r="L40" s="521"/>
      <c r="M40" s="521"/>
      <c r="N40" s="522"/>
      <c r="O40" s="175">
        <f>+SUM(O34:O39)</f>
        <v>3497.5601999999999</v>
      </c>
      <c r="P40" s="163"/>
    </row>
    <row r="41" spans="2:16" s="164" customFormat="1">
      <c r="B41" s="119"/>
      <c r="C41" s="486" t="s">
        <v>203</v>
      </c>
      <c r="D41" s="487"/>
      <c r="E41" s="487"/>
      <c r="F41" s="487"/>
      <c r="G41" s="487"/>
      <c r="H41" s="487"/>
      <c r="I41" s="487"/>
      <c r="J41" s="487"/>
      <c r="K41" s="487"/>
      <c r="L41" s="487"/>
      <c r="M41" s="487"/>
      <c r="N41" s="487"/>
      <c r="O41" s="488"/>
      <c r="P41" s="158"/>
    </row>
    <row r="42" spans="2:16" s="164" customFormat="1">
      <c r="B42" s="119"/>
      <c r="C42" s="489"/>
      <c r="D42" s="490"/>
      <c r="E42" s="490"/>
      <c r="F42" s="490"/>
      <c r="G42" s="490"/>
      <c r="H42" s="490"/>
      <c r="I42" s="490"/>
      <c r="J42" s="490"/>
      <c r="K42" s="490"/>
      <c r="L42" s="490"/>
      <c r="M42" s="490"/>
      <c r="N42" s="490"/>
      <c r="O42" s="491"/>
      <c r="P42" s="158"/>
    </row>
    <row r="43" spans="2:16" s="164" customFormat="1" ht="14.4" thickBot="1">
      <c r="B43" s="119"/>
      <c r="C43" s="492"/>
      <c r="D43" s="493"/>
      <c r="E43" s="493"/>
      <c r="F43" s="493"/>
      <c r="G43" s="493"/>
      <c r="H43" s="493"/>
      <c r="I43" s="493"/>
      <c r="J43" s="493"/>
      <c r="K43" s="493"/>
      <c r="L43" s="493"/>
      <c r="M43" s="493"/>
      <c r="N43" s="493"/>
      <c r="O43" s="494"/>
      <c r="P43" s="158"/>
    </row>
    <row r="44" spans="2:16" s="164" customFormat="1" ht="16.2">
      <c r="B44" s="119"/>
      <c r="C44" s="470" t="s">
        <v>204</v>
      </c>
      <c r="D44" s="523"/>
      <c r="E44" s="523"/>
      <c r="F44" s="523"/>
      <c r="G44" s="523"/>
      <c r="H44" s="523"/>
      <c r="I44" s="523"/>
      <c r="J44" s="159" t="s">
        <v>205</v>
      </c>
      <c r="K44" s="176" t="s">
        <v>206</v>
      </c>
      <c r="L44" s="177" t="s">
        <v>207</v>
      </c>
      <c r="M44" s="473" t="s">
        <v>208</v>
      </c>
      <c r="N44" s="476"/>
      <c r="O44" s="160" t="s">
        <v>196</v>
      </c>
      <c r="P44" s="154"/>
    </row>
    <row r="45" spans="2:16" s="164" customFormat="1" ht="29.25" customHeight="1">
      <c r="B45" s="119"/>
      <c r="C45" s="532"/>
      <c r="D45" s="533"/>
      <c r="E45" s="533"/>
      <c r="F45" s="533"/>
      <c r="G45" s="533"/>
      <c r="H45" s="533"/>
      <c r="I45" s="533"/>
      <c r="J45" s="170"/>
      <c r="K45" s="178"/>
      <c r="L45" s="170"/>
      <c r="M45" s="530"/>
      <c r="N45" s="531"/>
      <c r="O45" s="162"/>
      <c r="P45" s="163"/>
    </row>
    <row r="46" spans="2:16" s="164" customFormat="1" ht="14.4" thickBot="1">
      <c r="B46" s="119"/>
      <c r="C46" s="528"/>
      <c r="D46" s="529"/>
      <c r="E46" s="529"/>
      <c r="F46" s="529"/>
      <c r="G46" s="529"/>
      <c r="H46" s="529"/>
      <c r="I46" s="529"/>
      <c r="J46" s="179"/>
      <c r="K46" s="180"/>
      <c r="L46" s="179"/>
      <c r="M46" s="534"/>
      <c r="N46" s="535"/>
      <c r="O46" s="181"/>
      <c r="P46" s="163"/>
    </row>
    <row r="47" spans="2:16" s="164" customFormat="1" ht="14.4" thickBot="1">
      <c r="B47" s="119"/>
      <c r="C47" s="520" t="s">
        <v>198</v>
      </c>
      <c r="D47" s="521"/>
      <c r="E47" s="521"/>
      <c r="F47" s="521"/>
      <c r="G47" s="521"/>
      <c r="H47" s="521"/>
      <c r="I47" s="521"/>
      <c r="J47" s="521"/>
      <c r="K47" s="521"/>
      <c r="L47" s="521"/>
      <c r="M47" s="521"/>
      <c r="N47" s="522"/>
      <c r="O47" s="175">
        <f>+SUM(O45:O46)</f>
        <v>0</v>
      </c>
      <c r="P47" s="167"/>
    </row>
    <row r="48" spans="2:16" s="164" customFormat="1">
      <c r="B48" s="119"/>
      <c r="C48" s="486" t="s">
        <v>209</v>
      </c>
      <c r="D48" s="487"/>
      <c r="E48" s="487"/>
      <c r="F48" s="487"/>
      <c r="G48" s="487"/>
      <c r="H48" s="487"/>
      <c r="I48" s="487"/>
      <c r="J48" s="487"/>
      <c r="K48" s="487"/>
      <c r="L48" s="487"/>
      <c r="M48" s="487"/>
      <c r="N48" s="487"/>
      <c r="O48" s="488"/>
      <c r="P48" s="158"/>
    </row>
    <row r="49" spans="2:16" s="164" customFormat="1">
      <c r="B49" s="119"/>
      <c r="C49" s="489"/>
      <c r="D49" s="490"/>
      <c r="E49" s="490"/>
      <c r="F49" s="490"/>
      <c r="G49" s="490"/>
      <c r="H49" s="490"/>
      <c r="I49" s="490"/>
      <c r="J49" s="490"/>
      <c r="K49" s="490"/>
      <c r="L49" s="490"/>
      <c r="M49" s="490"/>
      <c r="N49" s="490"/>
      <c r="O49" s="491"/>
      <c r="P49" s="158"/>
    </row>
    <row r="50" spans="2:16" s="164" customFormat="1" ht="14.4" thickBot="1">
      <c r="B50" s="119"/>
      <c r="C50" s="492"/>
      <c r="D50" s="493"/>
      <c r="E50" s="493"/>
      <c r="F50" s="493"/>
      <c r="G50" s="493"/>
      <c r="H50" s="493"/>
      <c r="I50" s="493"/>
      <c r="J50" s="493"/>
      <c r="K50" s="493"/>
      <c r="L50" s="493"/>
      <c r="M50" s="493"/>
      <c r="N50" s="493"/>
      <c r="O50" s="494"/>
      <c r="P50" s="158"/>
    </row>
    <row r="51" spans="2:16" s="164" customFormat="1">
      <c r="B51" s="119"/>
      <c r="C51" s="470" t="s">
        <v>210</v>
      </c>
      <c r="D51" s="523"/>
      <c r="E51" s="523"/>
      <c r="F51" s="523"/>
      <c r="G51" s="523"/>
      <c r="H51" s="523"/>
      <c r="I51" s="523"/>
      <c r="J51" s="159" t="s">
        <v>3</v>
      </c>
      <c r="K51" s="182" t="s">
        <v>211</v>
      </c>
      <c r="L51" s="183" t="s">
        <v>212</v>
      </c>
      <c r="M51" s="536" t="s">
        <v>195</v>
      </c>
      <c r="N51" s="537"/>
      <c r="O51" s="184" t="s">
        <v>196</v>
      </c>
      <c r="P51" s="185"/>
    </row>
    <row r="52" spans="2:16" s="164" customFormat="1">
      <c r="B52" s="119"/>
      <c r="C52" s="538" t="s">
        <v>244</v>
      </c>
      <c r="D52" s="539"/>
      <c r="E52" s="539"/>
      <c r="F52" s="539"/>
      <c r="G52" s="539"/>
      <c r="H52" s="539"/>
      <c r="I52" s="540"/>
      <c r="J52" s="186" t="s">
        <v>214</v>
      </c>
      <c r="K52" s="187"/>
      <c r="L52" s="188">
        <v>49097.48</v>
      </c>
      <c r="M52" s="541">
        <v>0.13500000000000001</v>
      </c>
      <c r="N52" s="542"/>
      <c r="O52" s="162">
        <f>+L52*M52</f>
        <v>6628.1598000000013</v>
      </c>
      <c r="P52" s="189"/>
    </row>
    <row r="53" spans="2:16" s="164" customFormat="1">
      <c r="B53" s="119"/>
      <c r="C53" s="190"/>
      <c r="D53" s="191"/>
      <c r="E53" s="191"/>
      <c r="F53" s="191"/>
      <c r="G53" s="191"/>
      <c r="H53" s="191"/>
      <c r="I53" s="191"/>
      <c r="J53" s="192"/>
      <c r="K53" s="187"/>
      <c r="L53" s="193"/>
      <c r="M53" s="541"/>
      <c r="N53" s="542"/>
      <c r="O53" s="162"/>
      <c r="P53" s="189"/>
    </row>
    <row r="54" spans="2:16" s="164" customFormat="1">
      <c r="B54" s="119"/>
      <c r="C54" s="190"/>
      <c r="D54" s="191"/>
      <c r="E54" s="191"/>
      <c r="F54" s="191"/>
      <c r="G54" s="191"/>
      <c r="H54" s="191"/>
      <c r="I54" s="191"/>
      <c r="J54" s="192"/>
      <c r="K54" s="187"/>
      <c r="L54" s="193"/>
      <c r="M54" s="545"/>
      <c r="N54" s="546"/>
      <c r="O54" s="194"/>
      <c r="P54" s="189"/>
    </row>
    <row r="55" spans="2:16" s="164" customFormat="1" ht="14.4" thickBot="1">
      <c r="B55" s="119"/>
      <c r="C55" s="528"/>
      <c r="D55" s="529"/>
      <c r="E55" s="529"/>
      <c r="F55" s="529"/>
      <c r="G55" s="529"/>
      <c r="H55" s="529"/>
      <c r="I55" s="529"/>
      <c r="J55" s="179"/>
      <c r="K55" s="180"/>
      <c r="L55" s="179"/>
      <c r="M55" s="534"/>
      <c r="N55" s="535"/>
      <c r="O55" s="181"/>
      <c r="P55" s="163"/>
    </row>
    <row r="56" spans="2:16" s="164" customFormat="1" ht="14.4" thickBot="1">
      <c r="B56" s="119"/>
      <c r="C56" s="520" t="s">
        <v>198</v>
      </c>
      <c r="D56" s="521"/>
      <c r="E56" s="521"/>
      <c r="F56" s="521"/>
      <c r="G56" s="521"/>
      <c r="H56" s="521"/>
      <c r="I56" s="521"/>
      <c r="J56" s="521"/>
      <c r="K56" s="521"/>
      <c r="L56" s="521"/>
      <c r="M56" s="521"/>
      <c r="N56" s="522"/>
      <c r="O56" s="175">
        <f>+SUM(O52:O55)</f>
        <v>6628.1598000000013</v>
      </c>
      <c r="P56" s="163"/>
    </row>
    <row r="57" spans="2:16" s="164" customFormat="1" ht="14.4" thickBot="1">
      <c r="B57" s="119"/>
      <c r="C57" s="151"/>
      <c r="D57" s="138"/>
      <c r="E57" s="138"/>
      <c r="F57" s="138"/>
      <c r="G57" s="138"/>
      <c r="H57" s="138"/>
      <c r="I57" s="138"/>
      <c r="J57" s="138"/>
      <c r="K57" s="138"/>
      <c r="L57" s="138"/>
      <c r="M57" s="138"/>
      <c r="N57" s="138"/>
      <c r="O57" s="152"/>
      <c r="P57" s="146"/>
    </row>
    <row r="58" spans="2:16" s="164" customFormat="1" ht="14.4" thickBot="1">
      <c r="B58" s="119"/>
      <c r="C58" s="547" t="s">
        <v>215</v>
      </c>
      <c r="D58" s="548"/>
      <c r="E58" s="548"/>
      <c r="F58" s="548"/>
      <c r="G58" s="548"/>
      <c r="H58" s="548"/>
      <c r="I58" s="548"/>
      <c r="J58" s="548"/>
      <c r="K58" s="548"/>
      <c r="L58" s="548"/>
      <c r="M58" s="548"/>
      <c r="N58" s="549"/>
      <c r="O58" s="195">
        <f>ROUNDDOWN(+O56+O47+O40+O29,0)</f>
        <v>18767</v>
      </c>
      <c r="P58" s="196"/>
    </row>
    <row r="59" spans="2:16" s="164" customFormat="1" ht="14.4" thickBot="1">
      <c r="B59" s="119"/>
      <c r="C59" s="550" t="s">
        <v>216</v>
      </c>
      <c r="D59" s="551"/>
      <c r="E59" s="551"/>
      <c r="F59" s="551"/>
      <c r="G59" s="551"/>
      <c r="H59" s="551"/>
      <c r="I59" s="551"/>
      <c r="J59" s="551"/>
      <c r="K59" s="551"/>
      <c r="L59" s="551"/>
      <c r="M59" s="551"/>
      <c r="N59" s="552"/>
      <c r="O59" s="197"/>
      <c r="P59" s="196"/>
    </row>
    <row r="60" spans="2:16" s="164" customFormat="1" ht="14.4" thickBot="1">
      <c r="B60" s="119"/>
      <c r="C60" s="553" t="s">
        <v>217</v>
      </c>
      <c r="D60" s="554"/>
      <c r="E60" s="554"/>
      <c r="F60" s="554"/>
      <c r="G60" s="554"/>
      <c r="H60" s="554"/>
      <c r="I60" s="554"/>
      <c r="J60" s="554"/>
      <c r="K60" s="554"/>
      <c r="L60" s="554"/>
      <c r="M60" s="554"/>
      <c r="N60" s="555"/>
      <c r="O60" s="198"/>
      <c r="P60" s="196"/>
    </row>
    <row r="61" spans="2:16" s="164" customFormat="1" ht="12.75" customHeight="1">
      <c r="B61" s="119"/>
      <c r="C61" s="486" t="s">
        <v>218</v>
      </c>
      <c r="D61" s="487"/>
      <c r="E61" s="487"/>
      <c r="F61" s="487"/>
      <c r="G61" s="487"/>
      <c r="H61" s="487"/>
      <c r="I61" s="487"/>
      <c r="J61" s="487"/>
      <c r="K61" s="487"/>
      <c r="L61" s="487"/>
      <c r="M61" s="487"/>
      <c r="N61" s="487"/>
      <c r="O61" s="488"/>
      <c r="P61" s="158"/>
    </row>
    <row r="62" spans="2:16" s="164" customFormat="1" ht="12.75" customHeight="1">
      <c r="B62" s="119"/>
      <c r="C62" s="489"/>
      <c r="D62" s="490"/>
      <c r="E62" s="490"/>
      <c r="F62" s="490"/>
      <c r="G62" s="490"/>
      <c r="H62" s="490"/>
      <c r="I62" s="490"/>
      <c r="J62" s="490"/>
      <c r="K62" s="490"/>
      <c r="L62" s="490"/>
      <c r="M62" s="490"/>
      <c r="N62" s="490"/>
      <c r="O62" s="491"/>
      <c r="P62" s="158"/>
    </row>
    <row r="63" spans="2:16" s="164" customFormat="1" ht="13.5" customHeight="1" thickBot="1">
      <c r="B63" s="119"/>
      <c r="C63" s="492"/>
      <c r="D63" s="493"/>
      <c r="E63" s="493"/>
      <c r="F63" s="493"/>
      <c r="G63" s="493"/>
      <c r="H63" s="493"/>
      <c r="I63" s="493"/>
      <c r="J63" s="493"/>
      <c r="K63" s="493"/>
      <c r="L63" s="493"/>
      <c r="M63" s="493"/>
      <c r="N63" s="493"/>
      <c r="O63" s="494"/>
      <c r="P63" s="158"/>
    </row>
    <row r="64" spans="2:16" s="164" customFormat="1" ht="15" customHeight="1">
      <c r="B64" s="119"/>
      <c r="C64" s="470" t="s">
        <v>219</v>
      </c>
      <c r="D64" s="523"/>
      <c r="E64" s="523"/>
      <c r="F64" s="523"/>
      <c r="G64" s="523"/>
      <c r="H64" s="523"/>
      <c r="I64" s="523"/>
      <c r="J64" s="176"/>
      <c r="K64" s="199"/>
      <c r="L64" s="183" t="s">
        <v>220</v>
      </c>
      <c r="M64" s="536" t="s">
        <v>221</v>
      </c>
      <c r="N64" s="537"/>
      <c r="O64" s="184"/>
      <c r="P64" s="185"/>
    </row>
    <row r="65" spans="1:25" s="164" customFormat="1">
      <c r="B65" s="119"/>
      <c r="C65" s="532" t="s">
        <v>141</v>
      </c>
      <c r="D65" s="533"/>
      <c r="E65" s="533"/>
      <c r="F65" s="533"/>
      <c r="G65" s="533"/>
      <c r="H65" s="533"/>
      <c r="I65" s="533"/>
      <c r="J65" s="200"/>
      <c r="K65" s="201"/>
      <c r="L65" s="202">
        <v>0.24</v>
      </c>
      <c r="M65" s="543"/>
      <c r="N65" s="544"/>
      <c r="O65" s="203"/>
      <c r="P65" s="204"/>
    </row>
    <row r="66" spans="1:25" s="164" customFormat="1">
      <c r="B66" s="119"/>
      <c r="C66" s="205" t="s">
        <v>222</v>
      </c>
      <c r="D66" s="124"/>
      <c r="E66" s="124"/>
      <c r="F66" s="124"/>
      <c r="G66" s="124"/>
      <c r="H66" s="124"/>
      <c r="I66" s="124"/>
      <c r="J66" s="200"/>
      <c r="K66" s="201"/>
      <c r="L66" s="202">
        <v>0.01</v>
      </c>
      <c r="M66" s="543"/>
      <c r="N66" s="544"/>
      <c r="O66" s="203"/>
      <c r="P66" s="204"/>
    </row>
    <row r="67" spans="1:25" s="164" customFormat="1" ht="14.4" thickBot="1">
      <c r="B67" s="119"/>
      <c r="C67" s="143" t="s">
        <v>143</v>
      </c>
      <c r="D67" s="144"/>
      <c r="E67" s="144"/>
      <c r="F67" s="144"/>
      <c r="G67" s="144"/>
      <c r="H67" s="144"/>
      <c r="I67" s="144"/>
      <c r="J67" s="206"/>
      <c r="K67" s="207"/>
      <c r="L67" s="202">
        <v>0.05</v>
      </c>
      <c r="M67" s="563"/>
      <c r="N67" s="564"/>
      <c r="O67" s="203"/>
      <c r="P67" s="204"/>
    </row>
    <row r="68" spans="1:25" s="164" customFormat="1" ht="14.4" thickBot="1">
      <c r="B68" s="119"/>
      <c r="C68" s="520" t="s">
        <v>198</v>
      </c>
      <c r="D68" s="521"/>
      <c r="E68" s="521"/>
      <c r="F68" s="521"/>
      <c r="G68" s="521"/>
      <c r="H68" s="521"/>
      <c r="I68" s="521"/>
      <c r="J68" s="521"/>
      <c r="K68" s="521"/>
      <c r="L68" s="521"/>
      <c r="M68" s="521"/>
      <c r="N68" s="522"/>
      <c r="O68" s="208">
        <f>+SUM(O65:O67)</f>
        <v>0</v>
      </c>
      <c r="P68" s="209"/>
    </row>
    <row r="69" spans="1:25" s="164" customFormat="1" ht="14.4" thickBot="1">
      <c r="B69" s="119"/>
      <c r="C69" s="151"/>
      <c r="D69" s="138"/>
      <c r="E69" s="138"/>
      <c r="F69" s="138"/>
      <c r="G69" s="138"/>
      <c r="H69" s="138"/>
      <c r="I69" s="138"/>
      <c r="J69" s="138"/>
      <c r="K69" s="138"/>
      <c r="L69" s="138"/>
      <c r="M69" s="138"/>
      <c r="N69" s="138"/>
      <c r="O69" s="152"/>
      <c r="P69" s="146"/>
    </row>
    <row r="70" spans="1:25" s="164" customFormat="1" ht="14.4" thickBot="1">
      <c r="B70" s="119"/>
      <c r="C70" s="547" t="s">
        <v>223</v>
      </c>
      <c r="D70" s="548"/>
      <c r="E70" s="548"/>
      <c r="F70" s="548"/>
      <c r="G70" s="548"/>
      <c r="H70" s="548"/>
      <c r="I70" s="548"/>
      <c r="J70" s="548"/>
      <c r="K70" s="548"/>
      <c r="L70" s="548"/>
      <c r="M70" s="548"/>
      <c r="N70" s="549"/>
      <c r="O70" s="210" t="s">
        <v>211</v>
      </c>
      <c r="P70" s="209"/>
    </row>
    <row r="71" spans="1:25" s="164" customFormat="1">
      <c r="B71" s="119"/>
      <c r="C71" s="151"/>
      <c r="D71" s="138"/>
      <c r="E71" s="138"/>
      <c r="F71" s="138"/>
      <c r="G71" s="138"/>
      <c r="H71" s="138"/>
      <c r="I71" s="138"/>
      <c r="J71" s="138"/>
      <c r="K71" s="138"/>
      <c r="L71" s="138"/>
      <c r="M71" s="138"/>
      <c r="N71" s="138"/>
      <c r="O71" s="152"/>
      <c r="P71" s="146"/>
    </row>
    <row r="72" spans="1:25" s="164" customFormat="1">
      <c r="B72" s="119"/>
      <c r="C72" s="151"/>
      <c r="D72" s="138"/>
      <c r="E72" s="138"/>
      <c r="F72" s="138"/>
      <c r="G72" s="138"/>
      <c r="H72" s="211" t="s">
        <v>224</v>
      </c>
      <c r="I72" s="211"/>
      <c r="J72" s="211"/>
      <c r="K72" s="211"/>
      <c r="L72" s="138"/>
      <c r="M72" s="138"/>
      <c r="N72" s="138"/>
      <c r="O72" s="152"/>
      <c r="P72" s="146"/>
    </row>
    <row r="73" spans="1:25" s="164" customFormat="1">
      <c r="B73" s="119"/>
      <c r="C73" s="151"/>
      <c r="D73" s="138"/>
      <c r="E73" s="138"/>
      <c r="F73" s="138"/>
      <c r="G73" s="138"/>
      <c r="H73" s="211" t="s">
        <v>225</v>
      </c>
      <c r="I73" s="138"/>
      <c r="J73" s="138"/>
      <c r="K73" s="138"/>
      <c r="L73" s="138"/>
      <c r="M73" s="138"/>
      <c r="N73" s="138"/>
      <c r="O73" s="152"/>
      <c r="P73" s="212"/>
    </row>
    <row r="74" spans="1:25" s="164" customFormat="1">
      <c r="B74" s="119"/>
      <c r="C74" s="151"/>
      <c r="D74" s="138"/>
      <c r="E74" s="138"/>
      <c r="F74" s="138"/>
      <c r="G74" s="138"/>
      <c r="H74" s="211" t="s">
        <v>226</v>
      </c>
      <c r="I74" s="138"/>
      <c r="J74" s="138"/>
      <c r="K74" s="138"/>
      <c r="L74" s="138"/>
      <c r="M74" s="138"/>
      <c r="N74" s="138"/>
      <c r="O74" s="152"/>
      <c r="P74" s="212"/>
    </row>
    <row r="75" spans="1:25" s="164" customFormat="1">
      <c r="B75" s="119"/>
      <c r="C75" s="132"/>
      <c r="D75" s="213"/>
      <c r="E75" s="213"/>
      <c r="F75" s="213"/>
      <c r="G75" s="213"/>
      <c r="H75" s="211" t="s">
        <v>227</v>
      </c>
      <c r="I75" s="213"/>
      <c r="J75" s="213"/>
      <c r="K75" s="213"/>
      <c r="L75" s="213"/>
      <c r="M75" s="213"/>
      <c r="N75" s="213"/>
      <c r="O75" s="214"/>
      <c r="P75" s="215"/>
    </row>
    <row r="76" spans="1:25" s="164" customFormat="1">
      <c r="B76" s="119"/>
      <c r="C76" s="151"/>
      <c r="D76" s="138"/>
      <c r="E76" s="138"/>
      <c r="F76" s="138"/>
      <c r="G76" s="138"/>
      <c r="H76" s="138" t="s">
        <v>153</v>
      </c>
      <c r="I76" s="138"/>
      <c r="J76" s="138"/>
      <c r="K76" s="138"/>
      <c r="L76" s="138"/>
      <c r="M76" s="138"/>
      <c r="N76" s="138"/>
      <c r="O76" s="152"/>
      <c r="P76" s="146"/>
    </row>
    <row r="77" spans="1:25" s="164" customFormat="1">
      <c r="B77" s="119"/>
      <c r="C77" s="216" t="s">
        <v>228</v>
      </c>
      <c r="D77" s="217"/>
      <c r="E77" s="217"/>
      <c r="F77" s="217"/>
      <c r="G77" s="217"/>
      <c r="H77" s="217" t="s">
        <v>256</v>
      </c>
      <c r="I77" s="217"/>
      <c r="J77" s="217"/>
      <c r="K77" s="217"/>
      <c r="L77" s="217"/>
      <c r="M77" s="217"/>
      <c r="N77" s="217"/>
      <c r="O77" s="218"/>
      <c r="P77" s="146"/>
    </row>
    <row r="78" spans="1:25" s="164" customFormat="1">
      <c r="A78" s="115"/>
      <c r="B78" s="119"/>
      <c r="C78" s="565"/>
      <c r="D78" s="566"/>
      <c r="E78" s="566"/>
      <c r="F78" s="566"/>
      <c r="G78" s="566"/>
      <c r="H78" s="566"/>
      <c r="I78" s="566"/>
      <c r="J78" s="566"/>
      <c r="K78" s="566"/>
      <c r="L78" s="566"/>
      <c r="M78" s="566"/>
      <c r="N78" s="566"/>
      <c r="O78" s="567"/>
      <c r="P78" s="215"/>
      <c r="Q78" s="115"/>
      <c r="R78" s="115"/>
      <c r="S78" s="115"/>
      <c r="T78" s="115"/>
      <c r="U78" s="115"/>
      <c r="V78" s="115"/>
      <c r="W78" s="115"/>
      <c r="X78" s="115"/>
      <c r="Y78" s="115"/>
    </row>
    <row r="79" spans="1:25" s="164" customFormat="1">
      <c r="A79" s="115"/>
      <c r="B79" s="119"/>
      <c r="C79" s="565"/>
      <c r="D79" s="566"/>
      <c r="E79" s="566"/>
      <c r="F79" s="566"/>
      <c r="G79" s="566"/>
      <c r="H79" s="566"/>
      <c r="I79" s="566"/>
      <c r="J79" s="566"/>
      <c r="K79" s="566"/>
      <c r="L79" s="566"/>
      <c r="M79" s="566"/>
      <c r="N79" s="566"/>
      <c r="O79" s="567"/>
      <c r="P79" s="215"/>
      <c r="Q79" s="115"/>
      <c r="R79" s="115"/>
      <c r="S79" s="115"/>
      <c r="T79" s="115"/>
      <c r="U79" s="115"/>
      <c r="V79" s="115"/>
      <c r="W79" s="115"/>
      <c r="X79" s="115"/>
      <c r="Y79" s="115"/>
    </row>
    <row r="80" spans="1:25" s="164" customFormat="1">
      <c r="A80" s="115"/>
      <c r="B80" s="119"/>
      <c r="C80" s="132"/>
      <c r="D80" s="213"/>
      <c r="E80" s="213"/>
      <c r="F80" s="213"/>
      <c r="G80" s="213"/>
      <c r="H80" s="213"/>
      <c r="I80" s="213"/>
      <c r="J80" s="213"/>
      <c r="K80" s="213"/>
      <c r="L80" s="213"/>
      <c r="M80" s="213"/>
      <c r="N80" s="213"/>
      <c r="O80" s="214"/>
      <c r="P80" s="215"/>
      <c r="Q80" s="115"/>
      <c r="R80" s="115"/>
      <c r="S80" s="115"/>
      <c r="T80" s="115"/>
      <c r="U80" s="115"/>
      <c r="V80" s="115"/>
      <c r="W80" s="115"/>
      <c r="X80" s="115"/>
      <c r="Y80" s="115"/>
    </row>
    <row r="81" spans="1:25" s="164" customFormat="1">
      <c r="A81" s="115"/>
      <c r="B81" s="119"/>
      <c r="C81" s="219" t="s">
        <v>230</v>
      </c>
      <c r="D81" s="213"/>
      <c r="E81" s="213"/>
      <c r="F81" s="213"/>
      <c r="G81" s="213"/>
      <c r="H81" s="213"/>
      <c r="I81" s="213"/>
      <c r="J81" s="213"/>
      <c r="K81" s="213"/>
      <c r="L81" s="213"/>
      <c r="M81" s="213"/>
      <c r="N81" s="213"/>
      <c r="O81" s="214"/>
      <c r="P81" s="215"/>
      <c r="Q81" s="115"/>
      <c r="R81" s="115"/>
      <c r="S81" s="115"/>
      <c r="T81" s="115"/>
      <c r="U81" s="115"/>
      <c r="V81" s="115"/>
      <c r="W81" s="115"/>
      <c r="X81" s="115"/>
      <c r="Y81" s="115"/>
    </row>
    <row r="82" spans="1:25" s="164" customFormat="1" ht="12.75" customHeight="1">
      <c r="A82" s="115"/>
      <c r="B82" s="119"/>
      <c r="C82" s="556" t="s">
        <v>231</v>
      </c>
      <c r="D82" s="557"/>
      <c r="E82" s="557"/>
      <c r="F82" s="557"/>
      <c r="G82" s="557"/>
      <c r="H82" s="557"/>
      <c r="I82" s="557"/>
      <c r="J82" s="557"/>
      <c r="K82" s="557"/>
      <c r="L82" s="557"/>
      <c r="M82" s="557"/>
      <c r="N82" s="557"/>
      <c r="O82" s="558"/>
      <c r="P82" s="220"/>
      <c r="Q82" s="115"/>
      <c r="R82" s="115"/>
      <c r="S82" s="115"/>
      <c r="T82" s="115"/>
      <c r="U82" s="115"/>
      <c r="V82" s="115"/>
      <c r="W82" s="115"/>
      <c r="X82" s="115"/>
      <c r="Y82" s="115"/>
    </row>
    <row r="83" spans="1:25" s="164" customFormat="1" ht="28.5" customHeight="1">
      <c r="A83" s="115"/>
      <c r="B83" s="119"/>
      <c r="C83" s="556"/>
      <c r="D83" s="557"/>
      <c r="E83" s="557"/>
      <c r="F83" s="557"/>
      <c r="G83" s="557"/>
      <c r="H83" s="557"/>
      <c r="I83" s="557"/>
      <c r="J83" s="557"/>
      <c r="K83" s="557"/>
      <c r="L83" s="557"/>
      <c r="M83" s="557"/>
      <c r="N83" s="557"/>
      <c r="O83" s="558"/>
      <c r="P83" s="220"/>
      <c r="Q83" s="115"/>
      <c r="R83" s="115"/>
      <c r="S83" s="115"/>
      <c r="T83" s="115"/>
      <c r="U83" s="115"/>
      <c r="V83" s="115"/>
      <c r="W83" s="115"/>
      <c r="X83" s="115"/>
      <c r="Y83" s="115"/>
    </row>
    <row r="84" spans="1:25" ht="13.35" customHeight="1">
      <c r="B84" s="119"/>
      <c r="C84" s="556" t="s">
        <v>232</v>
      </c>
      <c r="D84" s="557"/>
      <c r="E84" s="557"/>
      <c r="F84" s="557"/>
      <c r="G84" s="557"/>
      <c r="H84" s="557"/>
      <c r="I84" s="557"/>
      <c r="J84" s="557"/>
      <c r="K84" s="557"/>
      <c r="L84" s="557"/>
      <c r="M84" s="557"/>
      <c r="N84" s="557"/>
      <c r="O84" s="558"/>
      <c r="P84" s="220"/>
    </row>
    <row r="85" spans="1:25" ht="45" customHeight="1">
      <c r="B85" s="119"/>
      <c r="C85" s="556"/>
      <c r="D85" s="557"/>
      <c r="E85" s="557"/>
      <c r="F85" s="557"/>
      <c r="G85" s="557"/>
      <c r="H85" s="557"/>
      <c r="I85" s="557"/>
      <c r="J85" s="557"/>
      <c r="K85" s="557"/>
      <c r="L85" s="557"/>
      <c r="M85" s="557"/>
      <c r="N85" s="557"/>
      <c r="O85" s="558"/>
      <c r="P85" s="220"/>
    </row>
    <row r="86" spans="1:25">
      <c r="B86" s="119"/>
      <c r="C86" s="132"/>
      <c r="D86" s="213"/>
      <c r="E86" s="213"/>
      <c r="F86" s="213"/>
      <c r="G86" s="213"/>
      <c r="H86" s="213"/>
      <c r="I86" s="213"/>
      <c r="J86" s="213"/>
      <c r="K86" s="213"/>
      <c r="L86" s="213"/>
      <c r="M86" s="213"/>
      <c r="N86" s="213"/>
      <c r="O86" s="214"/>
      <c r="P86" s="215"/>
    </row>
    <row r="87" spans="1:25">
      <c r="B87" s="119"/>
      <c r="C87" s="151"/>
      <c r="D87" s="138"/>
      <c r="E87" s="138"/>
      <c r="F87" s="138"/>
      <c r="G87" s="138"/>
      <c r="H87" s="211" t="s">
        <v>224</v>
      </c>
      <c r="I87" s="138"/>
      <c r="J87" s="138"/>
      <c r="K87" s="138"/>
      <c r="L87" s="138"/>
      <c r="M87" s="138"/>
      <c r="N87" s="138"/>
      <c r="O87" s="152"/>
      <c r="P87" s="146"/>
    </row>
    <row r="88" spans="1:25">
      <c r="B88" s="119"/>
      <c r="C88" s="151"/>
      <c r="D88" s="138"/>
      <c r="E88" s="138"/>
      <c r="F88" s="138"/>
      <c r="G88" s="138"/>
      <c r="H88" s="138" t="s">
        <v>225</v>
      </c>
      <c r="I88" s="124"/>
      <c r="J88" s="124"/>
      <c r="K88" s="124"/>
      <c r="L88" s="138"/>
      <c r="M88" s="138"/>
      <c r="N88" s="138"/>
      <c r="O88" s="152"/>
      <c r="P88" s="146"/>
    </row>
    <row r="89" spans="1:25">
      <c r="B89" s="119"/>
      <c r="C89" s="151"/>
      <c r="D89" s="138"/>
      <c r="E89" s="138"/>
      <c r="F89" s="138"/>
      <c r="G89" s="138"/>
      <c r="H89" s="138" t="s">
        <v>233</v>
      </c>
      <c r="I89" s="221"/>
      <c r="J89" s="221"/>
      <c r="K89" s="221"/>
      <c r="L89" s="138"/>
      <c r="M89" s="138"/>
      <c r="N89" s="138"/>
      <c r="O89" s="152"/>
      <c r="P89" s="146"/>
    </row>
    <row r="90" spans="1:25">
      <c r="B90" s="119"/>
      <c r="C90" s="222"/>
      <c r="D90" s="213"/>
      <c r="E90" s="213"/>
      <c r="F90" s="213"/>
      <c r="G90" s="213"/>
      <c r="H90" s="138" t="s">
        <v>234</v>
      </c>
      <c r="I90" s="138"/>
      <c r="J90" s="138"/>
      <c r="K90" s="138"/>
      <c r="L90" s="213"/>
      <c r="M90" s="213"/>
      <c r="N90" s="213"/>
      <c r="O90" s="214"/>
      <c r="P90" s="215"/>
    </row>
    <row r="91" spans="1:25" ht="18.75" customHeight="1" thickBot="1">
      <c r="B91" s="119"/>
      <c r="C91" s="559"/>
      <c r="D91" s="560"/>
      <c r="E91" s="560"/>
      <c r="F91" s="180"/>
      <c r="G91" s="180"/>
      <c r="H91" s="180"/>
      <c r="I91" s="180"/>
      <c r="J91" s="180"/>
      <c r="K91" s="561"/>
      <c r="L91" s="561"/>
      <c r="M91" s="561"/>
      <c r="N91" s="561"/>
      <c r="O91" s="562"/>
      <c r="P91" s="223"/>
    </row>
    <row r="92" spans="1:25" ht="14.4" thickBot="1">
      <c r="B92" s="224"/>
      <c r="C92" s="225"/>
      <c r="D92" s="225"/>
      <c r="E92" s="225"/>
      <c r="F92" s="225"/>
      <c r="G92" s="225"/>
      <c r="H92" s="225"/>
      <c r="I92" s="225"/>
      <c r="J92" s="225"/>
      <c r="K92" s="225"/>
      <c r="L92" s="225"/>
      <c r="M92" s="225"/>
      <c r="N92" s="225"/>
      <c r="O92" s="225"/>
      <c r="P92" s="226"/>
    </row>
    <row r="93" spans="1:25" ht="14.4" thickTop="1"/>
  </sheetData>
  <mergeCells count="94">
    <mergeCell ref="C82:O83"/>
    <mergeCell ref="C84:O85"/>
    <mergeCell ref="C91:E91"/>
    <mergeCell ref="K91:O91"/>
    <mergeCell ref="M66:N66"/>
    <mergeCell ref="M67:N67"/>
    <mergeCell ref="C68:N68"/>
    <mergeCell ref="C70:N70"/>
    <mergeCell ref="C78:O78"/>
    <mergeCell ref="C79:O79"/>
    <mergeCell ref="C65:I65"/>
    <mergeCell ref="M65:N65"/>
    <mergeCell ref="M53:N53"/>
    <mergeCell ref="M54:N54"/>
    <mergeCell ref="C55:I55"/>
    <mergeCell ref="M55:N55"/>
    <mergeCell ref="C56:N56"/>
    <mergeCell ref="C58:N58"/>
    <mergeCell ref="C59:N59"/>
    <mergeCell ref="C60:N60"/>
    <mergeCell ref="C61:O63"/>
    <mergeCell ref="C64:I64"/>
    <mergeCell ref="M64:N64"/>
    <mergeCell ref="C47:N47"/>
    <mergeCell ref="C48:O50"/>
    <mergeCell ref="C51:I51"/>
    <mergeCell ref="M51:N51"/>
    <mergeCell ref="C52:I52"/>
    <mergeCell ref="M52:N52"/>
    <mergeCell ref="C44:I44"/>
    <mergeCell ref="M44:N44"/>
    <mergeCell ref="C45:I45"/>
    <mergeCell ref="M45:N45"/>
    <mergeCell ref="C46:I46"/>
    <mergeCell ref="M46:N46"/>
    <mergeCell ref="C41:O43"/>
    <mergeCell ref="C35:J35"/>
    <mergeCell ref="M35:N35"/>
    <mergeCell ref="C36:J36"/>
    <mergeCell ref="M36:N36"/>
    <mergeCell ref="C37:J37"/>
    <mergeCell ref="M37:N37"/>
    <mergeCell ref="C38:J38"/>
    <mergeCell ref="M38:N38"/>
    <mergeCell ref="C39:J39"/>
    <mergeCell ref="M39:N39"/>
    <mergeCell ref="C40:N40"/>
    <mergeCell ref="C29:N29"/>
    <mergeCell ref="C30:O32"/>
    <mergeCell ref="C33:J33"/>
    <mergeCell ref="M33:N33"/>
    <mergeCell ref="C34:J34"/>
    <mergeCell ref="M34:N34"/>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C24:G24"/>
    <mergeCell ref="H24:I24"/>
    <mergeCell ref="J24:K24"/>
    <mergeCell ref="M24:N24"/>
    <mergeCell ref="M7:M9"/>
    <mergeCell ref="N7:N9"/>
    <mergeCell ref="D19:L19"/>
    <mergeCell ref="M19:N19"/>
    <mergeCell ref="D20:L20"/>
    <mergeCell ref="M20:N20"/>
    <mergeCell ref="C21:O23"/>
    <mergeCell ref="O7:O9"/>
    <mergeCell ref="D9:K9"/>
    <mergeCell ref="C13:F13"/>
    <mergeCell ref="C17:O17"/>
    <mergeCell ref="C3:C9"/>
    <mergeCell ref="D7:K8"/>
    <mergeCell ref="L7:L9"/>
    <mergeCell ref="D3:K3"/>
    <mergeCell ref="L3:O4"/>
    <mergeCell ref="D4:K4"/>
    <mergeCell ref="D5:K5"/>
    <mergeCell ref="L5:L6"/>
    <mergeCell ref="M5:O6"/>
    <mergeCell ref="D6:K6"/>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B1:S1048392"/>
  <sheetViews>
    <sheetView zoomScale="50" zoomScaleNormal="50" workbookViewId="0">
      <selection activeCell="C4" sqref="C4:N4"/>
    </sheetView>
  </sheetViews>
  <sheetFormatPr baseColWidth="10" defaultColWidth="11.44140625" defaultRowHeight="15.6"/>
  <cols>
    <col min="1" max="1" width="11.44140625" style="54"/>
    <col min="2" max="2" width="1.109375" style="54" customWidth="1"/>
    <col min="3" max="3" width="12.6640625" style="55" customWidth="1"/>
    <col min="4" max="4" width="50.6640625" style="55" customWidth="1"/>
    <col min="5" max="5" width="6.33203125" style="55" customWidth="1"/>
    <col min="6" max="6" width="17.33203125" style="55" customWidth="1"/>
    <col min="7" max="7" width="25.6640625" style="55" customWidth="1"/>
    <col min="8" max="10" width="8.6640625" style="55" customWidth="1"/>
    <col min="11" max="11" width="11.44140625" style="55" customWidth="1"/>
    <col min="12" max="13" width="7.6640625" style="55" customWidth="1"/>
    <col min="14" max="14" width="7.6640625" style="54" customWidth="1"/>
    <col min="15" max="15" width="30.6640625" style="54" customWidth="1"/>
    <col min="16" max="16" width="25.44140625" style="54" customWidth="1"/>
    <col min="17" max="17" width="1.109375" style="54" customWidth="1"/>
    <col min="18" max="18" width="10.6640625" style="54" customWidth="1"/>
    <col min="19" max="19" width="11.44140625" style="54"/>
    <col min="20" max="20" width="11.44140625" style="54" customWidth="1"/>
    <col min="21" max="21" width="15.109375" style="54" bestFit="1" customWidth="1"/>
    <col min="22" max="16384" width="11.44140625" style="54"/>
  </cols>
  <sheetData>
    <row r="1" spans="2:19" ht="16.2" thickBot="1"/>
    <row r="2" spans="2:19" ht="6.9" customHeight="1" thickTop="1" thickBot="1">
      <c r="B2" s="56"/>
      <c r="C2" s="57"/>
      <c r="D2" s="57"/>
      <c r="E2" s="57"/>
      <c r="F2" s="57"/>
      <c r="G2" s="57"/>
      <c r="H2" s="57"/>
      <c r="I2" s="57"/>
      <c r="J2" s="57"/>
      <c r="K2" s="57"/>
      <c r="L2" s="57"/>
      <c r="M2" s="57"/>
      <c r="N2" s="58"/>
      <c r="O2" s="58"/>
      <c r="P2" s="58"/>
      <c r="Q2" s="59"/>
    </row>
    <row r="3" spans="2:19" ht="30" customHeight="1" thickBot="1">
      <c r="B3" s="60"/>
      <c r="C3" s="603" t="s">
        <v>145</v>
      </c>
      <c r="D3" s="604"/>
      <c r="E3" s="604"/>
      <c r="F3" s="604"/>
      <c r="G3" s="604"/>
      <c r="H3" s="604"/>
      <c r="I3" s="604"/>
      <c r="J3" s="604"/>
      <c r="K3" s="604"/>
      <c r="L3" s="604"/>
      <c r="M3" s="604"/>
      <c r="N3" s="605"/>
      <c r="O3" s="606"/>
      <c r="P3" s="608"/>
      <c r="Q3" s="61"/>
    </row>
    <row r="4" spans="2:19" ht="20.100000000000001" customHeight="1" thickBot="1">
      <c r="B4" s="60"/>
      <c r="C4" s="603"/>
      <c r="D4" s="604"/>
      <c r="E4" s="604"/>
      <c r="F4" s="604"/>
      <c r="G4" s="604"/>
      <c r="H4" s="604"/>
      <c r="I4" s="604"/>
      <c r="J4" s="604"/>
      <c r="K4" s="604"/>
      <c r="L4" s="604"/>
      <c r="M4" s="604"/>
      <c r="N4" s="605"/>
      <c r="O4" s="607"/>
      <c r="P4" s="609"/>
      <c r="Q4" s="61"/>
    </row>
    <row r="5" spans="2:19">
      <c r="B5" s="60"/>
      <c r="C5" s="593" t="s">
        <v>146</v>
      </c>
      <c r="D5" s="594"/>
      <c r="E5" s="595"/>
      <c r="F5" s="595"/>
      <c r="G5" s="595"/>
      <c r="H5" s="595"/>
      <c r="I5" s="595"/>
      <c r="J5" s="595"/>
      <c r="K5" s="595"/>
      <c r="L5" s="594" t="s">
        <v>147</v>
      </c>
      <c r="M5" s="594"/>
      <c r="N5" s="595"/>
      <c r="O5" s="595"/>
      <c r="P5" s="610"/>
      <c r="Q5" s="61"/>
    </row>
    <row r="6" spans="2:19">
      <c r="B6" s="60"/>
      <c r="C6" s="593" t="s">
        <v>148</v>
      </c>
      <c r="D6" s="594"/>
      <c r="E6" s="595" t="s">
        <v>149</v>
      </c>
      <c r="F6" s="595"/>
      <c r="G6" s="595"/>
      <c r="H6" s="595"/>
      <c r="I6" s="595"/>
      <c r="J6" s="595"/>
      <c r="K6" s="595"/>
      <c r="L6" s="594" t="s">
        <v>150</v>
      </c>
      <c r="M6" s="594"/>
      <c r="N6" s="596"/>
      <c r="O6" s="596"/>
      <c r="P6" s="597"/>
      <c r="Q6" s="61"/>
    </row>
    <row r="7" spans="2:19" ht="15" customHeight="1">
      <c r="B7" s="60"/>
      <c r="C7" s="598" t="s">
        <v>88</v>
      </c>
      <c r="D7" s="599"/>
      <c r="E7" s="600"/>
      <c r="F7" s="600"/>
      <c r="G7" s="600"/>
      <c r="H7" s="600"/>
      <c r="I7" s="600"/>
      <c r="J7" s="600"/>
      <c r="K7" s="600"/>
      <c r="L7" s="601" t="s">
        <v>86</v>
      </c>
      <c r="M7" s="601"/>
      <c r="N7" s="600"/>
      <c r="O7" s="600"/>
      <c r="P7" s="602"/>
      <c r="Q7" s="61"/>
    </row>
    <row r="8" spans="2:19">
      <c r="B8" s="60"/>
      <c r="C8" s="598"/>
      <c r="D8" s="599"/>
      <c r="E8" s="600"/>
      <c r="F8" s="600"/>
      <c r="G8" s="600"/>
      <c r="H8" s="600"/>
      <c r="I8" s="600"/>
      <c r="J8" s="600"/>
      <c r="K8" s="600"/>
      <c r="L8" s="601"/>
      <c r="M8" s="601"/>
      <c r="N8" s="600"/>
      <c r="O8" s="600"/>
      <c r="P8" s="602"/>
      <c r="Q8" s="62"/>
      <c r="R8" s="63"/>
    </row>
    <row r="9" spans="2:19" s="66" customFormat="1" ht="34.5" customHeight="1" thickBot="1">
      <c r="B9" s="64"/>
      <c r="C9" s="585" t="s">
        <v>176</v>
      </c>
      <c r="D9" s="586"/>
      <c r="E9" s="587" t="s">
        <v>177</v>
      </c>
      <c r="F9" s="587"/>
      <c r="G9" s="587"/>
      <c r="H9" s="587"/>
      <c r="I9" s="587"/>
      <c r="J9" s="587"/>
      <c r="K9" s="587"/>
      <c r="L9" s="588" t="s">
        <v>151</v>
      </c>
      <c r="M9" s="588"/>
      <c r="N9" s="587"/>
      <c r="O9" s="587"/>
      <c r="P9" s="589"/>
      <c r="Q9" s="65"/>
    </row>
    <row r="10" spans="2:19" s="66" customFormat="1" ht="20.100000000000001" customHeight="1" thickBot="1">
      <c r="B10" s="64"/>
      <c r="C10" s="590"/>
      <c r="D10" s="591"/>
      <c r="E10" s="591"/>
      <c r="F10" s="591"/>
      <c r="G10" s="591"/>
      <c r="H10" s="591" t="s">
        <v>152</v>
      </c>
      <c r="I10" s="591"/>
      <c r="J10" s="591"/>
      <c r="K10" s="591"/>
      <c r="L10" s="591"/>
      <c r="M10" s="591"/>
      <c r="N10" s="591"/>
      <c r="O10" s="591"/>
      <c r="P10" s="592"/>
      <c r="Q10" s="65"/>
    </row>
    <row r="11" spans="2:19" ht="394.5" customHeight="1" thickTop="1" thickBot="1">
      <c r="B11" s="60"/>
      <c r="C11" s="574"/>
      <c r="D11" s="575"/>
      <c r="E11" s="575"/>
      <c r="F11" s="575"/>
      <c r="G11" s="576"/>
      <c r="H11" s="574" t="s">
        <v>153</v>
      </c>
      <c r="I11" s="575"/>
      <c r="J11" s="575"/>
      <c r="K11" s="575"/>
      <c r="L11" s="575"/>
      <c r="M11" s="575"/>
      <c r="N11" s="575"/>
      <c r="O11" s="575"/>
      <c r="P11" s="576"/>
      <c r="Q11" s="61"/>
    </row>
    <row r="12" spans="2:19" ht="20.100000000000001" customHeight="1" thickTop="1">
      <c r="B12" s="60"/>
      <c r="C12" s="54"/>
      <c r="Q12" s="61"/>
    </row>
    <row r="13" spans="2:19" ht="46.8">
      <c r="B13" s="60"/>
      <c r="C13" s="89" t="s">
        <v>154</v>
      </c>
      <c r="D13" s="89" t="s">
        <v>155</v>
      </c>
      <c r="E13" s="89" t="s">
        <v>41</v>
      </c>
      <c r="F13" s="89" t="s">
        <v>156</v>
      </c>
      <c r="G13" s="89" t="s">
        <v>157</v>
      </c>
      <c r="H13" s="89" t="s">
        <v>158</v>
      </c>
      <c r="I13" s="89" t="s">
        <v>159</v>
      </c>
      <c r="J13" s="89" t="s">
        <v>160</v>
      </c>
      <c r="K13" s="89" t="s">
        <v>161</v>
      </c>
      <c r="L13" s="89" t="s">
        <v>162</v>
      </c>
      <c r="M13" s="89" t="s">
        <v>163</v>
      </c>
      <c r="N13" s="89" t="s">
        <v>164</v>
      </c>
      <c r="O13" s="89" t="s">
        <v>90</v>
      </c>
      <c r="P13" s="89" t="s">
        <v>93</v>
      </c>
      <c r="Q13" s="61"/>
    </row>
    <row r="14" spans="2:19" ht="30" customHeight="1">
      <c r="B14" s="60"/>
      <c r="C14" s="86">
        <v>1.2</v>
      </c>
      <c r="D14" s="87" t="s">
        <v>12</v>
      </c>
      <c r="E14" s="86" t="s">
        <v>10</v>
      </c>
      <c r="F14" s="88">
        <v>36956</v>
      </c>
      <c r="G14" s="84" t="s">
        <v>165</v>
      </c>
      <c r="H14" s="86">
        <v>3.52</v>
      </c>
      <c r="I14" s="86">
        <v>0.6</v>
      </c>
      <c r="J14" s="86"/>
      <c r="K14" s="85">
        <f>H14*I14</f>
        <v>2.1120000000000001</v>
      </c>
      <c r="L14" s="86"/>
      <c r="M14" s="86"/>
      <c r="N14" s="85">
        <v>2</v>
      </c>
      <c r="O14" s="113">
        <f>ROUND(K14*N14,2)</f>
        <v>4.22</v>
      </c>
      <c r="P14" s="114"/>
      <c r="Q14" s="61"/>
      <c r="R14" s="41">
        <f>+O14*100  -  INT(O14*100)</f>
        <v>0</v>
      </c>
      <c r="S14" s="41">
        <f>+P17*100  -  INT(P17*100)</f>
        <v>0</v>
      </c>
    </row>
    <row r="15" spans="2:19" ht="30" customHeight="1">
      <c r="B15" s="60"/>
      <c r="C15" s="86"/>
      <c r="D15" s="87"/>
      <c r="E15" s="86"/>
      <c r="F15" s="88"/>
      <c r="G15" s="84"/>
      <c r="H15" s="86">
        <v>0.75</v>
      </c>
      <c r="I15" s="86">
        <v>0.6</v>
      </c>
      <c r="J15" s="86"/>
      <c r="K15" s="85">
        <f>H15*I15</f>
        <v>0.44999999999999996</v>
      </c>
      <c r="L15" s="86"/>
      <c r="M15" s="86"/>
      <c r="N15" s="85">
        <v>2</v>
      </c>
      <c r="O15" s="113">
        <f>ROUND(K15*N15,2)</f>
        <v>0.9</v>
      </c>
      <c r="P15" s="94"/>
      <c r="Q15" s="61"/>
      <c r="R15" s="41">
        <f t="shared" ref="R15:R43" si="0">+O15*100  -  INT(O15*100)</f>
        <v>0</v>
      </c>
      <c r="S15" s="41">
        <f t="shared" ref="S15:S43" si="1">+P18*100  -  INT(P18*100)</f>
        <v>0</v>
      </c>
    </row>
    <row r="16" spans="2:19" ht="30" customHeight="1">
      <c r="B16" s="60"/>
      <c r="C16" s="86"/>
      <c r="D16" s="87"/>
      <c r="E16" s="86"/>
      <c r="F16" s="88"/>
      <c r="G16" s="84"/>
      <c r="H16" s="86">
        <v>0.85</v>
      </c>
      <c r="I16" s="86">
        <v>1.2</v>
      </c>
      <c r="J16" s="86"/>
      <c r="K16" s="85">
        <f>H16*I16</f>
        <v>1.02</v>
      </c>
      <c r="L16" s="86"/>
      <c r="M16" s="86"/>
      <c r="N16" s="85">
        <v>1</v>
      </c>
      <c r="O16" s="113">
        <f>ROUND(K16*N16,2)</f>
        <v>1.02</v>
      </c>
      <c r="P16" s="94"/>
      <c r="Q16" s="61"/>
      <c r="R16" s="41">
        <f t="shared" si="0"/>
        <v>0</v>
      </c>
      <c r="S16" s="41">
        <f t="shared" si="1"/>
        <v>0</v>
      </c>
    </row>
    <row r="17" spans="2:19" ht="30" customHeight="1" thickBot="1">
      <c r="B17" s="60"/>
      <c r="C17" s="90"/>
      <c r="D17" s="91"/>
      <c r="E17" s="90"/>
      <c r="F17" s="92"/>
      <c r="G17" s="67"/>
      <c r="H17" s="90"/>
      <c r="I17" s="90"/>
      <c r="J17" s="90"/>
      <c r="K17" s="93"/>
      <c r="L17" s="90"/>
      <c r="M17" s="90"/>
      <c r="N17" s="93"/>
      <c r="O17" s="73">
        <f>ROUND(SUM(O14:O16),2)</f>
        <v>6.14</v>
      </c>
      <c r="P17" s="74">
        <f>ROUND(O17*F14,2)</f>
        <v>226909.84</v>
      </c>
      <c r="Q17" s="61"/>
      <c r="R17" s="41">
        <f t="shared" si="0"/>
        <v>0</v>
      </c>
      <c r="S17" s="41">
        <f t="shared" si="1"/>
        <v>0</v>
      </c>
    </row>
    <row r="18" spans="2:19" s="83" customFormat="1" ht="30" customHeight="1">
      <c r="B18" s="75"/>
      <c r="C18" s="76">
        <v>4.0999999999999996</v>
      </c>
      <c r="D18" s="77" t="s">
        <v>26</v>
      </c>
      <c r="E18" s="76" t="s">
        <v>167</v>
      </c>
      <c r="F18" s="78">
        <f>ROUND(187550.79*1.02,2)</f>
        <v>191301.81</v>
      </c>
      <c r="G18" s="84" t="s">
        <v>166</v>
      </c>
      <c r="H18" s="79"/>
      <c r="I18" s="79"/>
      <c r="J18" s="79"/>
      <c r="K18" s="79"/>
      <c r="L18" s="79"/>
      <c r="M18" s="79"/>
      <c r="N18" s="79"/>
      <c r="O18" s="80"/>
      <c r="P18" s="96"/>
      <c r="Q18" s="82"/>
      <c r="R18" s="41">
        <f t="shared" si="0"/>
        <v>0</v>
      </c>
      <c r="S18" s="41">
        <f t="shared" si="1"/>
        <v>0</v>
      </c>
    </row>
    <row r="19" spans="2:19" s="83" customFormat="1" ht="30" customHeight="1">
      <c r="B19" s="75"/>
      <c r="C19" s="76"/>
      <c r="D19" s="77"/>
      <c r="E19" s="76"/>
      <c r="F19" s="78"/>
      <c r="G19" s="76" t="s">
        <v>168</v>
      </c>
      <c r="H19" s="79">
        <v>2.2999999999999998</v>
      </c>
      <c r="I19" s="79">
        <v>0.6</v>
      </c>
      <c r="J19" s="79"/>
      <c r="K19" s="79">
        <f>H19*I19</f>
        <v>1.38</v>
      </c>
      <c r="L19" s="79"/>
      <c r="M19" s="79"/>
      <c r="N19" s="79">
        <v>1</v>
      </c>
      <c r="O19" s="79">
        <f>ROUND(K19*N19,2)</f>
        <v>1.38</v>
      </c>
      <c r="P19" s="81"/>
      <c r="Q19" s="82"/>
      <c r="R19" s="41">
        <f t="shared" si="0"/>
        <v>0</v>
      </c>
      <c r="S19" s="41">
        <f t="shared" si="1"/>
        <v>0</v>
      </c>
    </row>
    <row r="20" spans="2:19" s="83" customFormat="1" ht="30" customHeight="1">
      <c r="B20" s="75"/>
      <c r="C20" s="76"/>
      <c r="D20" s="77"/>
      <c r="E20" s="76"/>
      <c r="F20" s="78"/>
      <c r="G20" s="76" t="s">
        <v>169</v>
      </c>
      <c r="H20" s="79">
        <v>2</v>
      </c>
      <c r="I20" s="79">
        <v>0.6</v>
      </c>
      <c r="J20" s="79"/>
      <c r="K20" s="79">
        <f>H20*I20</f>
        <v>1.2</v>
      </c>
      <c r="L20" s="79"/>
      <c r="M20" s="79"/>
      <c r="N20" s="79">
        <v>1</v>
      </c>
      <c r="O20" s="79">
        <f>ROUND(K20*N20,2)</f>
        <v>1.2</v>
      </c>
      <c r="P20" s="81"/>
      <c r="Q20" s="82"/>
      <c r="R20" s="41">
        <f t="shared" si="0"/>
        <v>0</v>
      </c>
      <c r="S20" s="41">
        <f t="shared" si="1"/>
        <v>0</v>
      </c>
    </row>
    <row r="21" spans="2:19" s="83" customFormat="1" ht="30" customHeight="1">
      <c r="B21" s="75"/>
      <c r="C21" s="76"/>
      <c r="D21" s="77"/>
      <c r="E21" s="76"/>
      <c r="F21" s="78"/>
      <c r="G21" s="76" t="s">
        <v>170</v>
      </c>
      <c r="H21" s="79">
        <v>0.85</v>
      </c>
      <c r="I21" s="79">
        <v>0.6</v>
      </c>
      <c r="J21" s="79"/>
      <c r="K21" s="79">
        <f>H21*I21</f>
        <v>0.51</v>
      </c>
      <c r="L21" s="79"/>
      <c r="M21" s="79"/>
      <c r="N21" s="79">
        <v>3</v>
      </c>
      <c r="O21" s="79">
        <f>ROUND(K21*N21,2)</f>
        <v>1.53</v>
      </c>
      <c r="P21" s="81"/>
      <c r="Q21" s="82"/>
      <c r="R21" s="41">
        <f t="shared" si="0"/>
        <v>0</v>
      </c>
      <c r="S21" s="41">
        <f t="shared" si="1"/>
        <v>0</v>
      </c>
    </row>
    <row r="22" spans="2:19" s="83" customFormat="1" ht="30" customHeight="1" thickBot="1">
      <c r="B22" s="75"/>
      <c r="C22" s="90"/>
      <c r="D22" s="91"/>
      <c r="E22" s="90"/>
      <c r="F22" s="92"/>
      <c r="G22" s="90"/>
      <c r="H22" s="93"/>
      <c r="I22" s="93"/>
      <c r="J22" s="93"/>
      <c r="K22" s="93"/>
      <c r="L22" s="93"/>
      <c r="M22" s="93"/>
      <c r="N22" s="93"/>
      <c r="O22" s="73">
        <f>SUM(O19:O21)</f>
        <v>4.1100000000000003</v>
      </c>
      <c r="P22" s="74">
        <f>ROUND(O22*F18,2)</f>
        <v>786250.44</v>
      </c>
      <c r="Q22" s="82"/>
      <c r="R22" s="41">
        <f t="shared" si="0"/>
        <v>0</v>
      </c>
      <c r="S22" s="41">
        <f t="shared" si="1"/>
        <v>0</v>
      </c>
    </row>
    <row r="23" spans="2:19" s="83" customFormat="1" ht="30" customHeight="1">
      <c r="B23" s="75"/>
      <c r="C23" s="76">
        <v>10.199999999999999</v>
      </c>
      <c r="D23" s="77" t="s">
        <v>72</v>
      </c>
      <c r="E23" s="76" t="s">
        <v>167</v>
      </c>
      <c r="F23" s="78">
        <f>ROUND(91325.6*1.02,2)</f>
        <v>93152.11</v>
      </c>
      <c r="G23" s="97" t="s">
        <v>171</v>
      </c>
      <c r="H23" s="79"/>
      <c r="I23" s="79"/>
      <c r="J23" s="79"/>
      <c r="K23" s="79"/>
      <c r="L23" s="79"/>
      <c r="M23" s="79"/>
      <c r="N23" s="79"/>
      <c r="O23" s="79"/>
      <c r="P23" s="81"/>
      <c r="Q23" s="82"/>
      <c r="R23" s="41">
        <f t="shared" si="0"/>
        <v>0</v>
      </c>
      <c r="S23" s="41">
        <f t="shared" si="1"/>
        <v>0</v>
      </c>
    </row>
    <row r="24" spans="2:19" s="83" customFormat="1" ht="30" customHeight="1">
      <c r="B24" s="75"/>
      <c r="C24" s="76"/>
      <c r="D24" s="77"/>
      <c r="E24" s="76"/>
      <c r="F24" s="78"/>
      <c r="G24" s="76" t="s">
        <v>168</v>
      </c>
      <c r="H24" s="79">
        <v>2.2999999999999998</v>
      </c>
      <c r="I24" s="79">
        <v>0.6</v>
      </c>
      <c r="J24" s="79"/>
      <c r="K24" s="79">
        <f>H24*I24</f>
        <v>1.38</v>
      </c>
      <c r="L24" s="79"/>
      <c r="M24" s="79"/>
      <c r="N24" s="79">
        <v>1</v>
      </c>
      <c r="O24" s="79">
        <f t="shared" ref="O24:O27" si="2">ROUND(K24*N24,2)</f>
        <v>1.38</v>
      </c>
      <c r="P24" s="81"/>
      <c r="Q24" s="82"/>
      <c r="R24" s="41">
        <f t="shared" si="0"/>
        <v>0</v>
      </c>
      <c r="S24" s="41">
        <f t="shared" si="1"/>
        <v>0</v>
      </c>
    </row>
    <row r="25" spans="2:19" s="83" customFormat="1" ht="30" customHeight="1">
      <c r="B25" s="75"/>
      <c r="C25" s="76"/>
      <c r="D25" s="77"/>
      <c r="E25" s="76"/>
      <c r="F25" s="78"/>
      <c r="G25" s="76" t="s">
        <v>169</v>
      </c>
      <c r="H25" s="79">
        <v>2</v>
      </c>
      <c r="I25" s="79">
        <v>0.6</v>
      </c>
      <c r="J25" s="79"/>
      <c r="K25" s="79">
        <f>H25*I25</f>
        <v>1.2</v>
      </c>
      <c r="L25" s="79"/>
      <c r="M25" s="79"/>
      <c r="N25" s="79">
        <v>1</v>
      </c>
      <c r="O25" s="79">
        <f t="shared" si="2"/>
        <v>1.2</v>
      </c>
      <c r="P25" s="81"/>
      <c r="Q25" s="82"/>
      <c r="R25" s="41">
        <f t="shared" si="0"/>
        <v>0</v>
      </c>
      <c r="S25" s="41">
        <f t="shared" si="1"/>
        <v>0</v>
      </c>
    </row>
    <row r="26" spans="2:19" s="83" customFormat="1" ht="30" customHeight="1">
      <c r="B26" s="75"/>
      <c r="C26" s="76"/>
      <c r="D26" s="77"/>
      <c r="E26" s="76"/>
      <c r="F26" s="88"/>
      <c r="G26" s="76" t="s">
        <v>172</v>
      </c>
      <c r="H26" s="79">
        <v>0.5</v>
      </c>
      <c r="I26" s="79">
        <v>0.35</v>
      </c>
      <c r="J26" s="79"/>
      <c r="K26" s="79">
        <f>H26*I26</f>
        <v>0.17499999999999999</v>
      </c>
      <c r="L26" s="79"/>
      <c r="M26" s="79"/>
      <c r="N26" s="79">
        <v>-1</v>
      </c>
      <c r="O26" s="79">
        <f t="shared" si="2"/>
        <v>-0.18</v>
      </c>
      <c r="P26" s="81"/>
      <c r="Q26" s="82"/>
      <c r="R26" s="41">
        <f t="shared" si="0"/>
        <v>0</v>
      </c>
      <c r="S26" s="41">
        <f t="shared" si="1"/>
        <v>0</v>
      </c>
    </row>
    <row r="27" spans="2:19" s="83" customFormat="1" ht="30" customHeight="1">
      <c r="B27" s="75"/>
      <c r="C27" s="76"/>
      <c r="D27" s="77"/>
      <c r="E27" s="76"/>
      <c r="F27" s="88"/>
      <c r="G27" s="76" t="s">
        <v>170</v>
      </c>
      <c r="H27" s="85">
        <v>0.85</v>
      </c>
      <c r="I27" s="85">
        <v>0.6</v>
      </c>
      <c r="J27" s="85"/>
      <c r="K27" s="79">
        <f>H27*I27</f>
        <v>0.51</v>
      </c>
      <c r="L27" s="85"/>
      <c r="M27" s="85"/>
      <c r="N27" s="79">
        <v>3</v>
      </c>
      <c r="O27" s="79">
        <f t="shared" si="2"/>
        <v>1.53</v>
      </c>
      <c r="P27" s="81"/>
      <c r="Q27" s="82"/>
      <c r="R27" s="41">
        <f t="shared" si="0"/>
        <v>0</v>
      </c>
      <c r="S27" s="41">
        <f t="shared" si="1"/>
        <v>0</v>
      </c>
    </row>
    <row r="28" spans="2:19" s="83" customFormat="1" ht="30" customHeight="1" thickBot="1">
      <c r="B28" s="75"/>
      <c r="C28" s="90"/>
      <c r="D28" s="91"/>
      <c r="E28" s="90"/>
      <c r="F28" s="92"/>
      <c r="G28" s="90"/>
      <c r="H28" s="93"/>
      <c r="I28" s="93"/>
      <c r="J28" s="93"/>
      <c r="K28" s="93"/>
      <c r="L28" s="93"/>
      <c r="M28" s="93"/>
      <c r="N28" s="93"/>
      <c r="O28" s="73">
        <f>SUM(O23:O27)</f>
        <v>3.9299999999999997</v>
      </c>
      <c r="P28" s="74">
        <f>ROUND(O28*F23,2)</f>
        <v>366087.79</v>
      </c>
      <c r="Q28" s="82"/>
      <c r="R28" s="41">
        <f t="shared" si="0"/>
        <v>0</v>
      </c>
      <c r="S28" s="41">
        <f t="shared" si="1"/>
        <v>0</v>
      </c>
    </row>
    <row r="29" spans="2:19" s="83" customFormat="1" ht="30" customHeight="1" thickBot="1">
      <c r="B29" s="75"/>
      <c r="C29" s="68">
        <v>10.5</v>
      </c>
      <c r="D29" s="69" t="s">
        <v>74</v>
      </c>
      <c r="E29" s="68" t="s">
        <v>57</v>
      </c>
      <c r="F29" s="70">
        <f>ROUND(20594.02*1.02,2)</f>
        <v>21005.9</v>
      </c>
      <c r="G29" s="71" t="s">
        <v>171</v>
      </c>
      <c r="H29" s="72">
        <f>1.71+1.54+0.8+0.39-0.06</f>
        <v>4.38</v>
      </c>
      <c r="I29" s="72"/>
      <c r="J29" s="72"/>
      <c r="K29" s="72"/>
      <c r="L29" s="72"/>
      <c r="M29" s="72"/>
      <c r="N29" s="72">
        <v>1</v>
      </c>
      <c r="O29" s="98">
        <f>H29*N29</f>
        <v>4.38</v>
      </c>
      <c r="P29" s="95">
        <f>ROUND(O29*F29,2)</f>
        <v>92005.84</v>
      </c>
      <c r="Q29" s="82"/>
      <c r="R29" s="41">
        <f t="shared" si="0"/>
        <v>0</v>
      </c>
      <c r="S29" s="41">
        <f t="shared" si="1"/>
        <v>0</v>
      </c>
    </row>
    <row r="30" spans="2:19" s="83" customFormat="1" ht="30" customHeight="1" thickBot="1">
      <c r="B30" s="75"/>
      <c r="C30" s="68" t="s">
        <v>121</v>
      </c>
      <c r="D30" s="69" t="s">
        <v>123</v>
      </c>
      <c r="E30" s="68" t="s">
        <v>173</v>
      </c>
      <c r="F30" s="70">
        <f>ROUND(159030.31*1.02,2)</f>
        <v>162210.92000000001</v>
      </c>
      <c r="G30" s="71" t="s">
        <v>171</v>
      </c>
      <c r="H30" s="72"/>
      <c r="I30" s="72"/>
      <c r="J30" s="72"/>
      <c r="K30" s="72"/>
      <c r="L30" s="72"/>
      <c r="M30" s="72"/>
      <c r="N30" s="72">
        <v>1</v>
      </c>
      <c r="O30" s="98">
        <f>N30</f>
        <v>1</v>
      </c>
      <c r="P30" s="95">
        <f t="shared" ref="P30:P31" si="3">ROUND(O30*F30,2)</f>
        <v>162210.92000000001</v>
      </c>
      <c r="Q30" s="82"/>
      <c r="R30" s="41">
        <f t="shared" si="0"/>
        <v>0</v>
      </c>
      <c r="S30" s="41">
        <f t="shared" si="1"/>
        <v>0</v>
      </c>
    </row>
    <row r="31" spans="2:19" s="83" customFormat="1" ht="30" customHeight="1" thickBot="1">
      <c r="B31" s="75"/>
      <c r="C31" s="235" t="s">
        <v>124</v>
      </c>
      <c r="D31" s="236" t="s">
        <v>126</v>
      </c>
      <c r="E31" s="235" t="s">
        <v>173</v>
      </c>
      <c r="F31" s="237">
        <f>ROUND(134623.11*1.02,2)</f>
        <v>137315.57</v>
      </c>
      <c r="G31" s="238" t="s">
        <v>171</v>
      </c>
      <c r="H31" s="239"/>
      <c r="I31" s="239"/>
      <c r="J31" s="239"/>
      <c r="K31" s="239"/>
      <c r="L31" s="239"/>
      <c r="M31" s="239"/>
      <c r="N31" s="239">
        <v>1</v>
      </c>
      <c r="O31" s="241">
        <f>N31</f>
        <v>1</v>
      </c>
      <c r="P31" s="240">
        <f t="shared" si="3"/>
        <v>137315.57</v>
      </c>
      <c r="Q31" s="82"/>
      <c r="R31" s="41">
        <f t="shared" si="0"/>
        <v>0</v>
      </c>
      <c r="S31" s="41">
        <f t="shared" si="1"/>
        <v>0</v>
      </c>
    </row>
    <row r="32" spans="2:19" s="83" customFormat="1" ht="30" customHeight="1" thickBot="1">
      <c r="B32" s="75"/>
      <c r="C32" s="68">
        <v>6.3</v>
      </c>
      <c r="D32" s="69" t="s">
        <v>52</v>
      </c>
      <c r="E32" s="68" t="s">
        <v>173</v>
      </c>
      <c r="F32" s="70">
        <f>ROUND(82624*1.02,2)</f>
        <v>84276.479999999996</v>
      </c>
      <c r="G32" s="71" t="s">
        <v>171</v>
      </c>
      <c r="H32" s="72"/>
      <c r="I32" s="72"/>
      <c r="J32" s="72"/>
      <c r="K32" s="72"/>
      <c r="L32" s="72"/>
      <c r="M32" s="72"/>
      <c r="N32" s="72">
        <v>1</v>
      </c>
      <c r="O32" s="98">
        <f>N32</f>
        <v>1</v>
      </c>
      <c r="P32" s="95">
        <f t="shared" ref="P32" si="4">ROUND(O32*F32,2)</f>
        <v>84276.479999999996</v>
      </c>
      <c r="Q32" s="82"/>
      <c r="R32" s="41">
        <f t="shared" si="0"/>
        <v>0</v>
      </c>
      <c r="S32" s="41">
        <f t="shared" si="1"/>
        <v>0</v>
      </c>
    </row>
    <row r="33" spans="2:19" s="83" customFormat="1" ht="30" customHeight="1">
      <c r="B33" s="75"/>
      <c r="C33" s="76">
        <v>11.5</v>
      </c>
      <c r="D33" s="77" t="s">
        <v>238</v>
      </c>
      <c r="E33" s="76" t="s">
        <v>167</v>
      </c>
      <c r="F33" s="78">
        <f>ROUND(99369.78*1.02,2)</f>
        <v>101357.18</v>
      </c>
      <c r="G33" s="97" t="s">
        <v>166</v>
      </c>
      <c r="H33" s="79">
        <v>1.4</v>
      </c>
      <c r="I33" s="79">
        <v>0.84</v>
      </c>
      <c r="J33" s="79"/>
      <c r="K33" s="79">
        <f>H33*I33</f>
        <v>1.1759999999999999</v>
      </c>
      <c r="L33" s="79"/>
      <c r="M33" s="79"/>
      <c r="N33" s="79">
        <v>1</v>
      </c>
      <c r="O33" s="79">
        <f t="shared" ref="O33:O34" si="5">ROUND(K33*N33,2)</f>
        <v>1.18</v>
      </c>
      <c r="P33" s="247"/>
      <c r="Q33" s="82"/>
      <c r="R33" s="41">
        <f t="shared" si="0"/>
        <v>0</v>
      </c>
      <c r="S33" s="41">
        <f t="shared" si="1"/>
        <v>0</v>
      </c>
    </row>
    <row r="34" spans="2:19" s="83" customFormat="1" ht="30" customHeight="1">
      <c r="B34" s="75"/>
      <c r="C34" s="86"/>
      <c r="D34" s="87"/>
      <c r="E34" s="86"/>
      <c r="F34" s="88"/>
      <c r="G34" s="84" t="s">
        <v>166</v>
      </c>
      <c r="H34" s="85">
        <v>0.6</v>
      </c>
      <c r="I34" s="85">
        <v>0.73</v>
      </c>
      <c r="J34" s="85"/>
      <c r="K34" s="85">
        <f>H34*I34</f>
        <v>0.438</v>
      </c>
      <c r="L34" s="85"/>
      <c r="M34" s="85"/>
      <c r="N34" s="85">
        <v>1</v>
      </c>
      <c r="O34" s="85">
        <f t="shared" si="5"/>
        <v>0.44</v>
      </c>
      <c r="P34" s="94"/>
      <c r="Q34" s="82"/>
      <c r="R34" s="41">
        <f t="shared" si="0"/>
        <v>0</v>
      </c>
      <c r="S34" s="41">
        <f t="shared" si="1"/>
        <v>0</v>
      </c>
    </row>
    <row r="35" spans="2:19" s="83" customFormat="1" ht="30" customHeight="1" thickBot="1">
      <c r="B35" s="75"/>
      <c r="C35" s="90"/>
      <c r="D35" s="91"/>
      <c r="E35" s="90"/>
      <c r="F35" s="92"/>
      <c r="G35" s="67"/>
      <c r="H35" s="93"/>
      <c r="I35" s="93"/>
      <c r="J35" s="93"/>
      <c r="K35" s="93"/>
      <c r="L35" s="93"/>
      <c r="M35" s="93"/>
      <c r="N35" s="93"/>
      <c r="O35" s="73">
        <f>SUM(O33:O34)</f>
        <v>1.6199999999999999</v>
      </c>
      <c r="P35" s="74">
        <f>ROUND(O35*F33,2)</f>
        <v>164198.63</v>
      </c>
      <c r="Q35" s="82"/>
      <c r="R35" s="41">
        <f t="shared" si="0"/>
        <v>0</v>
      </c>
      <c r="S35" s="41">
        <f t="shared" si="1"/>
        <v>0</v>
      </c>
    </row>
    <row r="36" spans="2:19" s="83" customFormat="1" ht="30" customHeight="1">
      <c r="B36" s="75"/>
      <c r="C36" s="76" t="s">
        <v>129</v>
      </c>
      <c r="D36" s="77" t="s">
        <v>130</v>
      </c>
      <c r="E36" s="76" t="s">
        <v>57</v>
      </c>
      <c r="F36" s="78">
        <f>ROUND(8226.84*1.02,2)</f>
        <v>8391.3799999999992</v>
      </c>
      <c r="G36" s="97" t="s">
        <v>166</v>
      </c>
      <c r="H36" s="79"/>
      <c r="I36" s="79"/>
      <c r="J36" s="79"/>
      <c r="K36" s="79"/>
      <c r="L36" s="79"/>
      <c r="M36" s="79"/>
      <c r="N36" s="79"/>
      <c r="O36" s="80"/>
      <c r="P36" s="96"/>
      <c r="Q36" s="82"/>
      <c r="R36" s="41">
        <f t="shared" si="0"/>
        <v>0</v>
      </c>
      <c r="S36" s="41">
        <f t="shared" si="1"/>
        <v>0</v>
      </c>
    </row>
    <row r="37" spans="2:19" s="83" customFormat="1" ht="30" customHeight="1">
      <c r="B37" s="75"/>
      <c r="C37" s="86"/>
      <c r="D37" s="87"/>
      <c r="E37" s="86"/>
      <c r="F37" s="88"/>
      <c r="G37" s="86" t="s">
        <v>246</v>
      </c>
      <c r="H37" s="85"/>
      <c r="I37" s="85"/>
      <c r="J37" s="85"/>
      <c r="K37" s="85">
        <f>1.4*4*2</f>
        <v>11.2</v>
      </c>
      <c r="L37" s="85"/>
      <c r="M37" s="85"/>
      <c r="N37" s="85">
        <v>1</v>
      </c>
      <c r="O37" s="85">
        <f t="shared" ref="O37:O38" si="6">ROUND(K37*N37,2)</f>
        <v>11.2</v>
      </c>
      <c r="P37" s="94"/>
      <c r="Q37" s="82"/>
      <c r="R37" s="41">
        <f t="shared" si="0"/>
        <v>0</v>
      </c>
      <c r="S37" s="41">
        <f t="shared" si="1"/>
        <v>0</v>
      </c>
    </row>
    <row r="38" spans="2:19" s="83" customFormat="1" ht="30" customHeight="1">
      <c r="B38" s="75"/>
      <c r="C38" s="86"/>
      <c r="D38" s="87"/>
      <c r="E38" s="86"/>
      <c r="F38" s="88"/>
      <c r="G38" s="86" t="s">
        <v>251</v>
      </c>
      <c r="H38" s="85"/>
      <c r="I38" s="85"/>
      <c r="J38" s="85"/>
      <c r="K38" s="85">
        <f>0.76*1.8*2</f>
        <v>2.7360000000000002</v>
      </c>
      <c r="L38" s="85"/>
      <c r="M38" s="85"/>
      <c r="N38" s="85">
        <v>1</v>
      </c>
      <c r="O38" s="85">
        <f t="shared" si="6"/>
        <v>2.74</v>
      </c>
      <c r="P38" s="94"/>
      <c r="Q38" s="82"/>
      <c r="R38" s="41">
        <f t="shared" si="0"/>
        <v>0</v>
      </c>
      <c r="S38" s="41">
        <f t="shared" si="1"/>
        <v>0</v>
      </c>
    </row>
    <row r="39" spans="2:19" s="83" customFormat="1" ht="30" customHeight="1">
      <c r="B39" s="75"/>
      <c r="C39" s="86"/>
      <c r="D39" s="87"/>
      <c r="E39" s="86"/>
      <c r="F39" s="88"/>
      <c r="G39" s="86" t="s">
        <v>249</v>
      </c>
      <c r="H39" s="85"/>
      <c r="I39" s="85"/>
      <c r="J39" s="85"/>
      <c r="K39" s="85">
        <f>0.76*1.76</f>
        <v>1.3376000000000001</v>
      </c>
      <c r="L39" s="85"/>
      <c r="M39" s="85"/>
      <c r="N39" s="85">
        <v>1</v>
      </c>
      <c r="O39" s="85">
        <f t="shared" ref="O39" si="7">ROUND(K39*N39,2)</f>
        <v>1.34</v>
      </c>
      <c r="P39" s="94"/>
      <c r="Q39" s="82"/>
      <c r="R39" s="41">
        <f t="shared" si="0"/>
        <v>0</v>
      </c>
      <c r="S39" s="41">
        <f t="shared" si="1"/>
        <v>0</v>
      </c>
    </row>
    <row r="40" spans="2:19" s="83" customFormat="1" ht="30" customHeight="1">
      <c r="B40" s="75"/>
      <c r="C40" s="86"/>
      <c r="D40" s="87"/>
      <c r="E40" s="86"/>
      <c r="F40" s="88"/>
      <c r="G40" s="84" t="s">
        <v>250</v>
      </c>
      <c r="H40" s="85"/>
      <c r="I40" s="85"/>
      <c r="J40" s="85"/>
      <c r="K40" s="85">
        <f>0.87*1.73</f>
        <v>1.5050999999999999</v>
      </c>
      <c r="L40" s="85"/>
      <c r="M40" s="85"/>
      <c r="N40" s="85">
        <v>1</v>
      </c>
      <c r="O40" s="85">
        <f t="shared" ref="O40:O41" si="8">ROUND(K40*N40,2)</f>
        <v>1.51</v>
      </c>
      <c r="P40" s="94"/>
      <c r="Q40" s="82"/>
      <c r="R40" s="41">
        <f t="shared" si="0"/>
        <v>0</v>
      </c>
      <c r="S40" s="41">
        <f t="shared" si="1"/>
        <v>0</v>
      </c>
    </row>
    <row r="41" spans="2:19" s="83" customFormat="1" ht="30" customHeight="1">
      <c r="B41" s="75"/>
      <c r="C41" s="86"/>
      <c r="D41" s="87"/>
      <c r="E41" s="86"/>
      <c r="F41" s="88"/>
      <c r="G41" s="86" t="s">
        <v>249</v>
      </c>
      <c r="H41" s="85"/>
      <c r="I41" s="85"/>
      <c r="J41" s="85"/>
      <c r="K41" s="85">
        <f>0.7*0.77</f>
        <v>0.53899999999999992</v>
      </c>
      <c r="L41" s="85"/>
      <c r="M41" s="85"/>
      <c r="N41" s="85">
        <v>1</v>
      </c>
      <c r="O41" s="85">
        <f t="shared" si="8"/>
        <v>0.54</v>
      </c>
      <c r="P41" s="94"/>
      <c r="Q41" s="82"/>
      <c r="R41" s="41">
        <f t="shared" si="0"/>
        <v>0</v>
      </c>
      <c r="S41" s="41">
        <f t="shared" si="1"/>
        <v>0</v>
      </c>
    </row>
    <row r="42" spans="2:19" s="83" customFormat="1" ht="30" customHeight="1" thickBot="1">
      <c r="B42" s="75"/>
      <c r="C42" s="90"/>
      <c r="D42" s="91"/>
      <c r="E42" s="90"/>
      <c r="F42" s="92"/>
      <c r="G42" s="67"/>
      <c r="H42" s="93"/>
      <c r="I42" s="93"/>
      <c r="J42" s="93"/>
      <c r="K42" s="93"/>
      <c r="L42" s="93"/>
      <c r="M42" s="93"/>
      <c r="N42" s="93"/>
      <c r="O42" s="73">
        <f>SUM(O36:O41)</f>
        <v>17.329999999999998</v>
      </c>
      <c r="P42" s="74">
        <f>ROUND(O42*F36,2)</f>
        <v>145422.62</v>
      </c>
      <c r="Q42" s="82"/>
      <c r="R42" s="41">
        <f t="shared" si="0"/>
        <v>0</v>
      </c>
      <c r="S42" s="41">
        <f t="shared" si="1"/>
        <v>0</v>
      </c>
    </row>
    <row r="43" spans="2:19" s="83" customFormat="1" ht="30" customHeight="1">
      <c r="B43" s="75"/>
      <c r="C43" s="577" t="s">
        <v>174</v>
      </c>
      <c r="D43" s="577"/>
      <c r="E43" s="577"/>
      <c r="F43" s="577"/>
      <c r="G43" s="577"/>
      <c r="H43" s="577"/>
      <c r="I43" s="577"/>
      <c r="J43" s="577"/>
      <c r="K43" s="577"/>
      <c r="L43" s="577"/>
      <c r="M43" s="577"/>
      <c r="N43" s="577"/>
      <c r="O43" s="577"/>
      <c r="P43" s="99">
        <f>ROUND(SUM(P15:P42)*1.3,0)</f>
        <v>2814082</v>
      </c>
      <c r="Q43" s="82"/>
      <c r="R43" s="41">
        <f t="shared" si="0"/>
        <v>0</v>
      </c>
      <c r="S43" s="41">
        <f t="shared" si="1"/>
        <v>0</v>
      </c>
    </row>
    <row r="44" spans="2:19" s="104" customFormat="1" ht="8.4" customHeight="1">
      <c r="B44" s="100"/>
      <c r="C44" s="101"/>
      <c r="D44" s="101"/>
      <c r="E44" s="101"/>
      <c r="F44" s="101"/>
      <c r="G44" s="101"/>
      <c r="H44" s="101"/>
      <c r="I44" s="101"/>
      <c r="J44" s="101"/>
      <c r="K44" s="101"/>
      <c r="L44" s="101"/>
      <c r="M44" s="101"/>
      <c r="N44" s="101"/>
      <c r="O44" s="101"/>
      <c r="P44" s="102"/>
      <c r="Q44" s="103"/>
      <c r="R44" s="41"/>
      <c r="S44" s="41"/>
    </row>
    <row r="45" spans="2:19" ht="5.4" customHeight="1" thickBot="1">
      <c r="B45" s="60"/>
      <c r="Q45" s="61"/>
    </row>
    <row r="46" spans="2:19" ht="16.2" thickTop="1">
      <c r="B46" s="60"/>
      <c r="C46" s="578" t="s">
        <v>148</v>
      </c>
      <c r="D46" s="579"/>
      <c r="E46" s="579"/>
      <c r="F46" s="579"/>
      <c r="G46" s="580"/>
      <c r="I46" s="578" t="s">
        <v>146</v>
      </c>
      <c r="J46" s="579"/>
      <c r="K46" s="579"/>
      <c r="L46" s="579"/>
      <c r="M46" s="579"/>
      <c r="N46" s="579"/>
      <c r="O46" s="579"/>
      <c r="P46" s="580"/>
      <c r="Q46" s="61"/>
    </row>
    <row r="47" spans="2:19">
      <c r="B47" s="60"/>
      <c r="C47" s="105" t="s">
        <v>92</v>
      </c>
      <c r="D47" s="581" t="s">
        <v>149</v>
      </c>
      <c r="E47" s="581"/>
      <c r="F47" s="581"/>
      <c r="G47" s="582"/>
      <c r="I47" s="583" t="s">
        <v>92</v>
      </c>
      <c r="J47" s="584"/>
      <c r="K47" s="581"/>
      <c r="L47" s="581"/>
      <c r="M47" s="581"/>
      <c r="N47" s="581"/>
      <c r="O47" s="581"/>
      <c r="P47" s="582"/>
      <c r="Q47" s="61"/>
    </row>
    <row r="48" spans="2:19" ht="45" customHeight="1">
      <c r="B48" s="60"/>
      <c r="C48" s="106" t="s">
        <v>175</v>
      </c>
      <c r="D48" s="568"/>
      <c r="E48" s="568"/>
      <c r="F48" s="568"/>
      <c r="G48" s="569"/>
      <c r="I48" s="570" t="s">
        <v>175</v>
      </c>
      <c r="J48" s="571"/>
      <c r="K48" s="572"/>
      <c r="L48" s="572"/>
      <c r="M48" s="572"/>
      <c r="N48" s="572"/>
      <c r="O48" s="572"/>
      <c r="P48" s="573"/>
      <c r="Q48" s="61"/>
    </row>
    <row r="49" spans="2:17" ht="16.2" thickBot="1">
      <c r="B49" s="60"/>
      <c r="C49" s="107"/>
      <c r="D49" s="108"/>
      <c r="E49" s="108"/>
      <c r="F49" s="108"/>
      <c r="G49" s="109"/>
      <c r="I49" s="107"/>
      <c r="J49" s="108"/>
      <c r="K49" s="108"/>
      <c r="L49" s="108"/>
      <c r="M49" s="108"/>
      <c r="N49" s="110"/>
      <c r="O49" s="110"/>
      <c r="P49" s="111"/>
      <c r="Q49" s="61"/>
    </row>
    <row r="50" spans="2:17" ht="6.9" customHeight="1" thickTop="1" thickBot="1">
      <c r="B50" s="112"/>
      <c r="C50" s="108"/>
      <c r="D50" s="108"/>
      <c r="E50" s="108"/>
      <c r="F50" s="108"/>
      <c r="G50" s="108"/>
      <c r="H50" s="108"/>
      <c r="I50" s="108"/>
      <c r="J50" s="108"/>
      <c r="K50" s="108"/>
      <c r="L50" s="108"/>
      <c r="M50" s="108"/>
      <c r="N50" s="110"/>
      <c r="O50" s="110"/>
      <c r="P50" s="110"/>
      <c r="Q50" s="111"/>
    </row>
    <row r="51" spans="2:17" ht="16.2" thickTop="1"/>
    <row r="1048392" spans="15:15">
      <c r="O1048392" s="80"/>
    </row>
  </sheetData>
  <mergeCells count="33">
    <mergeCell ref="C3:N3"/>
    <mergeCell ref="O3:O4"/>
    <mergeCell ref="P3:P4"/>
    <mergeCell ref="C4:N4"/>
    <mergeCell ref="C5:D5"/>
    <mergeCell ref="E5:K5"/>
    <mergeCell ref="L5:M5"/>
    <mergeCell ref="N5:P5"/>
    <mergeCell ref="C6:D6"/>
    <mergeCell ref="E6:K6"/>
    <mergeCell ref="L6:M6"/>
    <mergeCell ref="N6:P6"/>
    <mergeCell ref="C7:D8"/>
    <mergeCell ref="E7:K8"/>
    <mergeCell ref="L7:M8"/>
    <mergeCell ref="N7:P8"/>
    <mergeCell ref="C9:D9"/>
    <mergeCell ref="E9:K9"/>
    <mergeCell ref="L9:M9"/>
    <mergeCell ref="N9:P9"/>
    <mergeCell ref="C10:G10"/>
    <mergeCell ref="H10:P10"/>
    <mergeCell ref="D48:G48"/>
    <mergeCell ref="I48:J48"/>
    <mergeCell ref="K48:P48"/>
    <mergeCell ref="C11:G11"/>
    <mergeCell ref="H11:P11"/>
    <mergeCell ref="C43:O43"/>
    <mergeCell ref="C46:G46"/>
    <mergeCell ref="I46:P46"/>
    <mergeCell ref="D47:G47"/>
    <mergeCell ref="I47:J47"/>
    <mergeCell ref="K47:P47"/>
  </mergeCells>
  <conditionalFormatting sqref="R44:S44">
    <cfRule type="expression" dxfId="10" priority="1">
      <formula>R44&gt;0</formula>
    </cfRule>
  </conditionalFormatting>
  <pageMargins left="0.7" right="0.7" top="0.75" bottom="0.75" header="0.3" footer="0.3"/>
  <pageSetup scale="47"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2" id="{281B3AD4-E835-450D-B3E0-685C85C570DA}">
            <xm:f>'C:\Users\HP PAVILION\Desktop\MEJORAMIENTOS DE VIVIENEDA_ COMBITA_SAMC-004_2026\[SÁBANA_GENERAL_25.08.26.xlsx]02_USU_ARS_M1 '!#REF!&gt;0</xm:f>
            <x14:dxf>
              <fill>
                <patternFill>
                  <bgColor rgb="FFFF0000"/>
                </patternFill>
              </fill>
            </x14:dxf>
          </x14:cfRule>
          <xm:sqref>R14:S43</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50"/>
  </sheetPr>
  <dimension ref="B1:S1048407"/>
  <sheetViews>
    <sheetView zoomScale="70" zoomScaleNormal="70" workbookViewId="0">
      <selection activeCell="C4" sqref="C4:N4"/>
    </sheetView>
  </sheetViews>
  <sheetFormatPr baseColWidth="10" defaultColWidth="11.44140625" defaultRowHeight="15.6"/>
  <cols>
    <col min="1" max="1" width="11.44140625" style="54"/>
    <col min="2" max="2" width="1.109375" style="54" customWidth="1"/>
    <col min="3" max="3" width="12.6640625" style="55" customWidth="1"/>
    <col min="4" max="4" width="50.6640625" style="55" customWidth="1"/>
    <col min="5" max="5" width="6.33203125" style="55" customWidth="1"/>
    <col min="6" max="6" width="17.33203125" style="55" customWidth="1"/>
    <col min="7" max="7" width="25.6640625" style="55" customWidth="1"/>
    <col min="8" max="10" width="8.6640625" style="55" customWidth="1"/>
    <col min="11" max="11" width="11.44140625" style="55" customWidth="1"/>
    <col min="12" max="13" width="7.6640625" style="55" customWidth="1"/>
    <col min="14" max="14" width="7.6640625" style="54" customWidth="1"/>
    <col min="15" max="15" width="30.6640625" style="54" customWidth="1"/>
    <col min="16" max="16" width="25.44140625" style="54" customWidth="1"/>
    <col min="17" max="17" width="1.109375" style="54" customWidth="1"/>
    <col min="18" max="18" width="10.6640625" style="54" customWidth="1"/>
    <col min="19" max="19" width="11.44140625" style="54"/>
    <col min="20" max="20" width="11.44140625" style="54" customWidth="1"/>
    <col min="21" max="21" width="15.109375" style="54" bestFit="1" customWidth="1"/>
    <col min="22" max="16384" width="11.44140625" style="54"/>
  </cols>
  <sheetData>
    <row r="1" spans="2:19" ht="16.2" thickBot="1"/>
    <row r="2" spans="2:19" ht="6.9" customHeight="1" thickTop="1" thickBot="1">
      <c r="B2" s="56"/>
      <c r="C2" s="57"/>
      <c r="D2" s="57"/>
      <c r="E2" s="57"/>
      <c r="F2" s="57"/>
      <c r="G2" s="57"/>
      <c r="H2" s="57"/>
      <c r="I2" s="57"/>
      <c r="J2" s="57"/>
      <c r="K2" s="57"/>
      <c r="L2" s="57"/>
      <c r="M2" s="57"/>
      <c r="N2" s="58"/>
      <c r="O2" s="58"/>
      <c r="P2" s="58"/>
      <c r="Q2" s="59"/>
    </row>
    <row r="3" spans="2:19" ht="30" customHeight="1" thickBot="1">
      <c r="B3" s="60"/>
      <c r="C3" s="603" t="s">
        <v>145</v>
      </c>
      <c r="D3" s="604"/>
      <c r="E3" s="604"/>
      <c r="F3" s="604"/>
      <c r="G3" s="604"/>
      <c r="H3" s="604"/>
      <c r="I3" s="604"/>
      <c r="J3" s="604"/>
      <c r="K3" s="604"/>
      <c r="L3" s="604"/>
      <c r="M3" s="604"/>
      <c r="N3" s="605"/>
      <c r="O3" s="606"/>
      <c r="P3" s="608"/>
      <c r="Q3" s="61"/>
    </row>
    <row r="4" spans="2:19" ht="20.100000000000001" customHeight="1" thickBot="1">
      <c r="B4" s="60"/>
      <c r="C4" s="603"/>
      <c r="D4" s="604"/>
      <c r="E4" s="604"/>
      <c r="F4" s="604"/>
      <c r="G4" s="604"/>
      <c r="H4" s="604"/>
      <c r="I4" s="604"/>
      <c r="J4" s="604"/>
      <c r="K4" s="604"/>
      <c r="L4" s="604"/>
      <c r="M4" s="604"/>
      <c r="N4" s="605"/>
      <c r="O4" s="607"/>
      <c r="P4" s="609"/>
      <c r="Q4" s="61"/>
    </row>
    <row r="5" spans="2:19">
      <c r="B5" s="60"/>
      <c r="C5" s="593" t="s">
        <v>146</v>
      </c>
      <c r="D5" s="594"/>
      <c r="E5" s="595"/>
      <c r="F5" s="595"/>
      <c r="G5" s="595"/>
      <c r="H5" s="595"/>
      <c r="I5" s="595"/>
      <c r="J5" s="595"/>
      <c r="K5" s="595"/>
      <c r="L5" s="594" t="s">
        <v>147</v>
      </c>
      <c r="M5" s="594"/>
      <c r="N5" s="595"/>
      <c r="O5" s="595"/>
      <c r="P5" s="610"/>
      <c r="Q5" s="61"/>
    </row>
    <row r="6" spans="2:19">
      <c r="B6" s="60"/>
      <c r="C6" s="593" t="s">
        <v>148</v>
      </c>
      <c r="D6" s="594"/>
      <c r="E6" s="595" t="s">
        <v>149</v>
      </c>
      <c r="F6" s="595"/>
      <c r="G6" s="595"/>
      <c r="H6" s="595"/>
      <c r="I6" s="595"/>
      <c r="J6" s="595"/>
      <c r="K6" s="595"/>
      <c r="L6" s="594" t="s">
        <v>150</v>
      </c>
      <c r="M6" s="594"/>
      <c r="N6" s="596"/>
      <c r="O6" s="596"/>
      <c r="P6" s="597"/>
      <c r="Q6" s="61"/>
    </row>
    <row r="7" spans="2:19" ht="15" customHeight="1">
      <c r="B7" s="60"/>
      <c r="C7" s="598" t="s">
        <v>88</v>
      </c>
      <c r="D7" s="599"/>
      <c r="E7" s="600"/>
      <c r="F7" s="600"/>
      <c r="G7" s="600"/>
      <c r="H7" s="600"/>
      <c r="I7" s="600"/>
      <c r="J7" s="600"/>
      <c r="K7" s="600"/>
      <c r="L7" s="601" t="s">
        <v>86</v>
      </c>
      <c r="M7" s="601"/>
      <c r="N7" s="600"/>
      <c r="O7" s="600"/>
      <c r="P7" s="602"/>
      <c r="Q7" s="61"/>
    </row>
    <row r="8" spans="2:19">
      <c r="B8" s="60"/>
      <c r="C8" s="598"/>
      <c r="D8" s="599"/>
      <c r="E8" s="600"/>
      <c r="F8" s="600"/>
      <c r="G8" s="600"/>
      <c r="H8" s="600"/>
      <c r="I8" s="600"/>
      <c r="J8" s="600"/>
      <c r="K8" s="600"/>
      <c r="L8" s="601"/>
      <c r="M8" s="601"/>
      <c r="N8" s="600"/>
      <c r="O8" s="600"/>
      <c r="P8" s="602"/>
      <c r="Q8" s="62"/>
      <c r="R8" s="63"/>
    </row>
    <row r="9" spans="2:19" s="66" customFormat="1" ht="34.5" customHeight="1" thickBot="1">
      <c r="B9" s="64"/>
      <c r="C9" s="585" t="s">
        <v>176</v>
      </c>
      <c r="D9" s="586"/>
      <c r="E9" s="587" t="s">
        <v>252</v>
      </c>
      <c r="F9" s="587"/>
      <c r="G9" s="587"/>
      <c r="H9" s="587"/>
      <c r="I9" s="587"/>
      <c r="J9" s="587"/>
      <c r="K9" s="587"/>
      <c r="L9" s="588" t="s">
        <v>151</v>
      </c>
      <c r="M9" s="588"/>
      <c r="N9" s="587"/>
      <c r="O9" s="587"/>
      <c r="P9" s="589"/>
      <c r="Q9" s="65"/>
    </row>
    <row r="10" spans="2:19" s="66" customFormat="1" ht="20.100000000000001" customHeight="1" thickBot="1">
      <c r="B10" s="64"/>
      <c r="C10" s="590"/>
      <c r="D10" s="591"/>
      <c r="E10" s="591"/>
      <c r="F10" s="591"/>
      <c r="G10" s="591"/>
      <c r="H10" s="591" t="s">
        <v>152</v>
      </c>
      <c r="I10" s="591"/>
      <c r="J10" s="591"/>
      <c r="K10" s="591"/>
      <c r="L10" s="591"/>
      <c r="M10" s="591"/>
      <c r="N10" s="591"/>
      <c r="O10" s="591"/>
      <c r="P10" s="592"/>
      <c r="Q10" s="65"/>
    </row>
    <row r="11" spans="2:19" ht="394.5" customHeight="1" thickTop="1" thickBot="1">
      <c r="B11" s="60"/>
      <c r="C11" s="574"/>
      <c r="D11" s="575"/>
      <c r="E11" s="575"/>
      <c r="F11" s="575"/>
      <c r="G11" s="576"/>
      <c r="H11" s="574" t="s">
        <v>153</v>
      </c>
      <c r="I11" s="575"/>
      <c r="J11" s="575"/>
      <c r="K11" s="575"/>
      <c r="L11" s="575"/>
      <c r="M11" s="575"/>
      <c r="N11" s="575"/>
      <c r="O11" s="575"/>
      <c r="P11" s="576"/>
      <c r="Q11" s="61"/>
    </row>
    <row r="12" spans="2:19" ht="20.100000000000001" customHeight="1" thickTop="1">
      <c r="B12" s="60"/>
      <c r="C12" s="54"/>
      <c r="Q12" s="61"/>
    </row>
    <row r="13" spans="2:19" ht="46.8">
      <c r="B13" s="60"/>
      <c r="C13" s="89" t="s">
        <v>154</v>
      </c>
      <c r="D13" s="89" t="s">
        <v>155</v>
      </c>
      <c r="E13" s="89" t="s">
        <v>41</v>
      </c>
      <c r="F13" s="84" t="s">
        <v>156</v>
      </c>
      <c r="G13" s="89" t="s">
        <v>157</v>
      </c>
      <c r="H13" s="89" t="s">
        <v>158</v>
      </c>
      <c r="I13" s="89" t="s">
        <v>159</v>
      </c>
      <c r="J13" s="89" t="s">
        <v>160</v>
      </c>
      <c r="K13" s="89" t="s">
        <v>161</v>
      </c>
      <c r="L13" s="89" t="s">
        <v>162</v>
      </c>
      <c r="M13" s="89" t="s">
        <v>163</v>
      </c>
      <c r="N13" s="89" t="s">
        <v>164</v>
      </c>
      <c r="O13" s="89" t="s">
        <v>90</v>
      </c>
      <c r="P13" s="89" t="s">
        <v>93</v>
      </c>
      <c r="Q13" s="61"/>
    </row>
    <row r="14" spans="2:19" ht="30" customHeight="1">
      <c r="B14" s="60"/>
      <c r="C14" s="86" t="s">
        <v>131</v>
      </c>
      <c r="D14" s="87" t="s">
        <v>133</v>
      </c>
      <c r="E14" s="76" t="s">
        <v>167</v>
      </c>
      <c r="F14" s="78">
        <f>ROUND(18767.13*1.02,2)</f>
        <v>19142.47</v>
      </c>
      <c r="G14" s="84" t="s">
        <v>257</v>
      </c>
      <c r="H14" s="86">
        <v>6.15</v>
      </c>
      <c r="I14" s="86">
        <v>7.1</v>
      </c>
      <c r="J14" s="86"/>
      <c r="K14" s="85">
        <f>H14*I14</f>
        <v>43.664999999999999</v>
      </c>
      <c r="L14" s="86"/>
      <c r="M14" s="86"/>
      <c r="N14" s="85">
        <v>1</v>
      </c>
      <c r="O14" s="113">
        <f>ROUND(K14*N14,2)</f>
        <v>43.67</v>
      </c>
      <c r="P14" s="114"/>
      <c r="Q14" s="61"/>
      <c r="R14" s="41">
        <f>+O14*100  -  INT(O14*100)</f>
        <v>0</v>
      </c>
      <c r="S14" s="41">
        <f>+P16*100  -  INT(P16*100)</f>
        <v>0</v>
      </c>
    </row>
    <row r="15" spans="2:19" ht="30" customHeight="1">
      <c r="B15" s="60"/>
      <c r="C15" s="242"/>
      <c r="D15" s="258"/>
      <c r="E15" s="227"/>
      <c r="F15" s="228"/>
      <c r="G15" s="84" t="s">
        <v>166</v>
      </c>
      <c r="H15" s="86">
        <v>3.95</v>
      </c>
      <c r="I15" s="86">
        <v>2.1</v>
      </c>
      <c r="J15" s="86"/>
      <c r="K15" s="85">
        <f>H15*I15</f>
        <v>8.2949999999999999</v>
      </c>
      <c r="L15" s="86"/>
      <c r="M15" s="86"/>
      <c r="N15" s="85">
        <v>1</v>
      </c>
      <c r="O15" s="113">
        <f>ROUND(K15*N15,2)</f>
        <v>8.3000000000000007</v>
      </c>
      <c r="P15" s="268"/>
      <c r="Q15" s="61"/>
      <c r="R15" s="41">
        <f t="shared" ref="R15:R78" si="0">+O15*100  -  INT(O15*100)</f>
        <v>0</v>
      </c>
      <c r="S15" s="41">
        <f t="shared" ref="S15:S78" si="1">+P17*100  -  INT(P17*100)</f>
        <v>0</v>
      </c>
    </row>
    <row r="16" spans="2:19" ht="30" customHeight="1" thickBot="1">
      <c r="B16" s="60"/>
      <c r="C16" s="90"/>
      <c r="D16" s="91"/>
      <c r="E16" s="90"/>
      <c r="F16" s="92"/>
      <c r="G16" s="67"/>
      <c r="H16" s="90"/>
      <c r="I16" s="90"/>
      <c r="J16" s="90"/>
      <c r="K16" s="93"/>
      <c r="L16" s="90"/>
      <c r="M16" s="90"/>
      <c r="N16" s="93"/>
      <c r="O16" s="73">
        <f>ROUND(SUM(O14:O15),2)</f>
        <v>51.97</v>
      </c>
      <c r="P16" s="74">
        <f>ROUND(O16*F14,2)</f>
        <v>994834.17</v>
      </c>
      <c r="Q16" s="61"/>
      <c r="R16" s="41">
        <f t="shared" si="0"/>
        <v>0</v>
      </c>
      <c r="S16" s="41">
        <f t="shared" si="1"/>
        <v>0</v>
      </c>
    </row>
    <row r="17" spans="2:19" s="83" customFormat="1" ht="30" customHeight="1">
      <c r="B17" s="75"/>
      <c r="C17" s="76">
        <v>4.1100000000000003</v>
      </c>
      <c r="D17" s="77" t="s">
        <v>35</v>
      </c>
      <c r="E17" s="76" t="s">
        <v>167</v>
      </c>
      <c r="F17" s="78">
        <f>ROUND(9941.61*1.02,2)</f>
        <v>10140.44</v>
      </c>
      <c r="G17" s="84" t="s">
        <v>257</v>
      </c>
      <c r="H17" s="79"/>
      <c r="I17" s="79"/>
      <c r="J17" s="79"/>
      <c r="K17" s="79"/>
      <c r="L17" s="79"/>
      <c r="M17" s="79"/>
      <c r="N17" s="79"/>
      <c r="O17" s="79"/>
      <c r="P17" s="81"/>
      <c r="Q17" s="82"/>
      <c r="R17" s="41">
        <f t="shared" si="0"/>
        <v>0</v>
      </c>
      <c r="S17" s="41">
        <f t="shared" si="1"/>
        <v>0</v>
      </c>
    </row>
    <row r="18" spans="2:19" s="83" customFormat="1" ht="30" customHeight="1">
      <c r="B18" s="75"/>
      <c r="C18" s="76"/>
      <c r="D18" s="77"/>
      <c r="E18" s="76"/>
      <c r="F18" s="78"/>
      <c r="G18" s="250" t="s">
        <v>258</v>
      </c>
      <c r="H18" s="85">
        <v>6.15</v>
      </c>
      <c r="I18" s="85">
        <v>7.1</v>
      </c>
      <c r="J18" s="85">
        <v>2.37</v>
      </c>
      <c r="K18" s="85">
        <f>H18*2*J18+2*I18*J18</f>
        <v>62.805</v>
      </c>
      <c r="L18" s="85"/>
      <c r="M18" s="85"/>
      <c r="N18" s="85">
        <v>1</v>
      </c>
      <c r="O18" s="79">
        <f t="shared" ref="O18:O22" si="2">ROUND(K18*N18,2)</f>
        <v>62.81</v>
      </c>
      <c r="P18" s="81"/>
      <c r="Q18" s="82"/>
      <c r="R18" s="41">
        <f t="shared" si="0"/>
        <v>0</v>
      </c>
      <c r="S18" s="41">
        <f t="shared" si="1"/>
        <v>0</v>
      </c>
    </row>
    <row r="19" spans="2:19" s="83" customFormat="1" ht="30" customHeight="1">
      <c r="B19" s="75"/>
      <c r="C19" s="76"/>
      <c r="D19" s="77"/>
      <c r="E19" s="76"/>
      <c r="F19" s="78"/>
      <c r="G19" s="251" t="s">
        <v>259</v>
      </c>
      <c r="H19" s="85"/>
      <c r="I19" s="85">
        <v>0.98</v>
      </c>
      <c r="J19" s="85">
        <v>2.0499999999999998</v>
      </c>
      <c r="K19" s="85">
        <f>I19*J19</f>
        <v>2.0089999999999999</v>
      </c>
      <c r="L19" s="85"/>
      <c r="M19" s="85"/>
      <c r="N19" s="85">
        <v>-1</v>
      </c>
      <c r="O19" s="79">
        <f t="shared" si="2"/>
        <v>-2.0099999999999998</v>
      </c>
      <c r="P19" s="81"/>
      <c r="Q19" s="82"/>
      <c r="R19" s="41">
        <f t="shared" si="0"/>
        <v>0</v>
      </c>
      <c r="S19" s="41">
        <f t="shared" si="1"/>
        <v>0</v>
      </c>
    </row>
    <row r="20" spans="2:19" s="83" customFormat="1" ht="30" customHeight="1">
      <c r="B20" s="75"/>
      <c r="C20" s="76"/>
      <c r="D20" s="77"/>
      <c r="E20" s="76"/>
      <c r="F20" s="88"/>
      <c r="G20" s="86" t="s">
        <v>260</v>
      </c>
      <c r="H20" s="86">
        <v>2</v>
      </c>
      <c r="I20" s="86">
        <v>1.3</v>
      </c>
      <c r="J20" s="86"/>
      <c r="K20" s="85">
        <f>H20*I20</f>
        <v>2.6</v>
      </c>
      <c r="L20" s="246"/>
      <c r="M20" s="246"/>
      <c r="N20" s="85">
        <v>-1</v>
      </c>
      <c r="O20" s="79">
        <f t="shared" si="2"/>
        <v>-2.6</v>
      </c>
      <c r="P20" s="81"/>
      <c r="Q20" s="82"/>
      <c r="R20" s="41">
        <f t="shared" si="0"/>
        <v>0</v>
      </c>
      <c r="S20" s="41">
        <f t="shared" si="1"/>
        <v>0</v>
      </c>
    </row>
    <row r="21" spans="2:19" s="83" customFormat="1" ht="30" customHeight="1">
      <c r="B21" s="75"/>
      <c r="C21" s="76"/>
      <c r="D21" s="77"/>
      <c r="E21" s="76"/>
      <c r="F21" s="88"/>
      <c r="G21" s="86" t="s">
        <v>260</v>
      </c>
      <c r="H21" s="86">
        <v>2</v>
      </c>
      <c r="I21" s="86">
        <v>1.3</v>
      </c>
      <c r="J21" s="86"/>
      <c r="K21" s="85">
        <f>H21*I21</f>
        <v>2.6</v>
      </c>
      <c r="L21" s="246"/>
      <c r="M21" s="246"/>
      <c r="N21" s="85">
        <v>-1</v>
      </c>
      <c r="O21" s="79">
        <f t="shared" ref="O21" si="3">ROUND(K21*N21,2)</f>
        <v>-2.6</v>
      </c>
      <c r="P21" s="81"/>
      <c r="Q21" s="82"/>
      <c r="R21" s="41">
        <f t="shared" si="0"/>
        <v>0</v>
      </c>
      <c r="S21" s="41">
        <f t="shared" si="1"/>
        <v>0</v>
      </c>
    </row>
    <row r="22" spans="2:19" s="83" customFormat="1" ht="30" customHeight="1">
      <c r="B22" s="75"/>
      <c r="C22" s="227"/>
      <c r="D22" s="255"/>
      <c r="E22" s="227"/>
      <c r="F22" s="248"/>
      <c r="G22" s="84" t="s">
        <v>166</v>
      </c>
      <c r="H22" s="242"/>
      <c r="I22" s="242"/>
      <c r="J22" s="242"/>
      <c r="K22" s="243">
        <v>30</v>
      </c>
      <c r="L22" s="267"/>
      <c r="M22" s="267"/>
      <c r="N22" s="85">
        <v>1</v>
      </c>
      <c r="O22" s="79">
        <f t="shared" si="2"/>
        <v>30</v>
      </c>
      <c r="P22" s="249"/>
      <c r="Q22" s="82"/>
      <c r="R22" s="41">
        <f t="shared" si="0"/>
        <v>0</v>
      </c>
      <c r="S22" s="41">
        <f t="shared" si="1"/>
        <v>0</v>
      </c>
    </row>
    <row r="23" spans="2:19" s="83" customFormat="1" ht="30" customHeight="1" thickBot="1">
      <c r="B23" s="75"/>
      <c r="C23" s="90"/>
      <c r="D23" s="91"/>
      <c r="E23" s="90"/>
      <c r="F23" s="92"/>
      <c r="G23" s="90"/>
      <c r="H23" s="93"/>
      <c r="I23" s="93"/>
      <c r="J23" s="93"/>
      <c r="K23" s="93"/>
      <c r="L23" s="93"/>
      <c r="M23" s="93"/>
      <c r="N23" s="93"/>
      <c r="O23" s="73">
        <f>SUM(O17:O22)</f>
        <v>85.6</v>
      </c>
      <c r="P23" s="74">
        <f>ROUND(O23*F17,2)</f>
        <v>868021.66</v>
      </c>
      <c r="Q23" s="82"/>
      <c r="R23" s="41">
        <f t="shared" si="0"/>
        <v>0</v>
      </c>
      <c r="S23" s="41">
        <f t="shared" si="1"/>
        <v>0</v>
      </c>
    </row>
    <row r="24" spans="2:19" s="83" customFormat="1" ht="30" customHeight="1">
      <c r="B24" s="75"/>
      <c r="C24" s="76">
        <v>4.0999999999999996</v>
      </c>
      <c r="D24" s="77" t="s">
        <v>26</v>
      </c>
      <c r="E24" s="76" t="s">
        <v>167</v>
      </c>
      <c r="F24" s="78">
        <f>ROUND(187550.79*1.02,2)</f>
        <v>191301.81</v>
      </c>
      <c r="G24" s="84" t="s">
        <v>166</v>
      </c>
      <c r="H24" s="79"/>
      <c r="I24" s="79"/>
      <c r="J24" s="79"/>
      <c r="K24" s="79"/>
      <c r="L24" s="79"/>
      <c r="M24" s="79"/>
      <c r="N24" s="79"/>
      <c r="O24" s="80"/>
      <c r="P24" s="96"/>
      <c r="Q24" s="82"/>
      <c r="R24" s="41">
        <f t="shared" si="0"/>
        <v>0</v>
      </c>
      <c r="S24" s="41">
        <f t="shared" si="1"/>
        <v>0</v>
      </c>
    </row>
    <row r="25" spans="2:19" s="83" customFormat="1" ht="30" customHeight="1">
      <c r="B25" s="75"/>
      <c r="C25" s="76"/>
      <c r="D25" s="77"/>
      <c r="E25" s="76"/>
      <c r="F25" s="78"/>
      <c r="G25" s="76" t="s">
        <v>168</v>
      </c>
      <c r="H25" s="79">
        <v>2.5</v>
      </c>
      <c r="I25" s="79">
        <v>0.6</v>
      </c>
      <c r="J25" s="79"/>
      <c r="K25" s="79">
        <f>H25*I25</f>
        <v>1.5</v>
      </c>
      <c r="L25" s="79"/>
      <c r="M25" s="79"/>
      <c r="N25" s="79">
        <v>1</v>
      </c>
      <c r="O25" s="79">
        <f>ROUND(K25*N25,2)</f>
        <v>1.5</v>
      </c>
      <c r="P25" s="81"/>
      <c r="Q25" s="82"/>
      <c r="R25" s="41">
        <f t="shared" si="0"/>
        <v>0</v>
      </c>
      <c r="S25" s="41">
        <f t="shared" si="1"/>
        <v>0</v>
      </c>
    </row>
    <row r="26" spans="2:19" s="83" customFormat="1" ht="30" customHeight="1">
      <c r="B26" s="75"/>
      <c r="C26" s="76"/>
      <c r="D26" s="77"/>
      <c r="E26" s="76"/>
      <c r="F26" s="78"/>
      <c r="G26" s="76" t="s">
        <v>169</v>
      </c>
      <c r="H26" s="79">
        <v>2.2000000000000002</v>
      </c>
      <c r="I26" s="79">
        <v>0.6</v>
      </c>
      <c r="J26" s="79"/>
      <c r="K26" s="79">
        <f>H26*I26</f>
        <v>1.32</v>
      </c>
      <c r="L26" s="79"/>
      <c r="M26" s="79"/>
      <c r="N26" s="79">
        <v>1</v>
      </c>
      <c r="O26" s="79">
        <f>ROUND(K26*N26,2)</f>
        <v>1.32</v>
      </c>
      <c r="P26" s="81"/>
      <c r="Q26" s="82"/>
      <c r="R26" s="41">
        <f t="shared" si="0"/>
        <v>0</v>
      </c>
      <c r="S26" s="41">
        <f t="shared" si="1"/>
        <v>0</v>
      </c>
    </row>
    <row r="27" spans="2:19" s="83" customFormat="1" ht="30" customHeight="1">
      <c r="B27" s="75"/>
      <c r="C27" s="76"/>
      <c r="D27" s="77"/>
      <c r="E27" s="76"/>
      <c r="F27" s="78"/>
      <c r="G27" s="76" t="s">
        <v>170</v>
      </c>
      <c r="H27" s="79">
        <v>0.85</v>
      </c>
      <c r="I27" s="79">
        <v>0.65</v>
      </c>
      <c r="J27" s="79"/>
      <c r="K27" s="79">
        <f>H27*I27</f>
        <v>0.55249999999999999</v>
      </c>
      <c r="L27" s="79"/>
      <c r="M27" s="79"/>
      <c r="N27" s="79">
        <v>3</v>
      </c>
      <c r="O27" s="79">
        <f>ROUND(K27*N27,2)</f>
        <v>1.66</v>
      </c>
      <c r="P27" s="81"/>
      <c r="Q27" s="82"/>
      <c r="R27" s="41">
        <f t="shared" si="0"/>
        <v>0</v>
      </c>
      <c r="S27" s="41">
        <f t="shared" si="1"/>
        <v>0</v>
      </c>
    </row>
    <row r="28" spans="2:19" s="83" customFormat="1" ht="30" customHeight="1" thickBot="1">
      <c r="B28" s="75"/>
      <c r="C28" s="90"/>
      <c r="D28" s="91"/>
      <c r="E28" s="90"/>
      <c r="F28" s="92"/>
      <c r="G28" s="90"/>
      <c r="H28" s="93"/>
      <c r="I28" s="93"/>
      <c r="J28" s="93"/>
      <c r="K28" s="93"/>
      <c r="L28" s="93"/>
      <c r="M28" s="93"/>
      <c r="N28" s="93"/>
      <c r="O28" s="73">
        <f>SUM(O25:O27)</f>
        <v>4.4800000000000004</v>
      </c>
      <c r="P28" s="74">
        <f>ROUND(O28*F24,2)</f>
        <v>857032.11</v>
      </c>
      <c r="Q28" s="82"/>
      <c r="R28" s="41">
        <f t="shared" si="0"/>
        <v>0</v>
      </c>
      <c r="S28" s="41">
        <f t="shared" si="1"/>
        <v>0</v>
      </c>
    </row>
    <row r="29" spans="2:19" s="83" customFormat="1" ht="30" customHeight="1">
      <c r="B29" s="75"/>
      <c r="C29" s="76">
        <v>10.199999999999999</v>
      </c>
      <c r="D29" s="77" t="s">
        <v>72</v>
      </c>
      <c r="E29" s="76" t="s">
        <v>167</v>
      </c>
      <c r="F29" s="78">
        <f>ROUND(91325.6*1.02,2)</f>
        <v>93152.11</v>
      </c>
      <c r="G29" s="97" t="s">
        <v>171</v>
      </c>
      <c r="H29" s="79"/>
      <c r="I29" s="79"/>
      <c r="J29" s="79"/>
      <c r="K29" s="79"/>
      <c r="L29" s="79"/>
      <c r="M29" s="79"/>
      <c r="N29" s="79"/>
      <c r="O29" s="79"/>
      <c r="P29" s="81"/>
      <c r="Q29" s="82"/>
      <c r="R29" s="41">
        <f t="shared" si="0"/>
        <v>0</v>
      </c>
      <c r="S29" s="41">
        <f t="shared" si="1"/>
        <v>0</v>
      </c>
    </row>
    <row r="30" spans="2:19" s="83" customFormat="1" ht="30" customHeight="1">
      <c r="B30" s="75"/>
      <c r="C30" s="76"/>
      <c r="D30" s="77"/>
      <c r="E30" s="76"/>
      <c r="F30" s="78"/>
      <c r="G30" s="76" t="s">
        <v>168</v>
      </c>
      <c r="H30" s="79">
        <v>2.5</v>
      </c>
      <c r="I30" s="79">
        <v>0.6</v>
      </c>
      <c r="J30" s="79"/>
      <c r="K30" s="79">
        <f>H30*I30</f>
        <v>1.5</v>
      </c>
      <c r="L30" s="79"/>
      <c r="M30" s="79"/>
      <c r="N30" s="79">
        <v>1</v>
      </c>
      <c r="O30" s="79">
        <f t="shared" ref="O30:O33" si="4">ROUND(K30*N30,2)</f>
        <v>1.5</v>
      </c>
      <c r="P30" s="81"/>
      <c r="Q30" s="82"/>
      <c r="R30" s="41">
        <f t="shared" si="0"/>
        <v>0</v>
      </c>
      <c r="S30" s="41">
        <f t="shared" si="1"/>
        <v>0</v>
      </c>
    </row>
    <row r="31" spans="2:19" s="83" customFormat="1" ht="30" customHeight="1">
      <c r="B31" s="75"/>
      <c r="C31" s="76"/>
      <c r="D31" s="77"/>
      <c r="E31" s="76"/>
      <c r="F31" s="78"/>
      <c r="G31" s="76" t="s">
        <v>169</v>
      </c>
      <c r="H31" s="79">
        <v>2.2000000000000002</v>
      </c>
      <c r="I31" s="79">
        <v>0.6</v>
      </c>
      <c r="J31" s="79"/>
      <c r="K31" s="79">
        <f>H31*I31</f>
        <v>1.32</v>
      </c>
      <c r="L31" s="79"/>
      <c r="M31" s="79"/>
      <c r="N31" s="79">
        <v>1</v>
      </c>
      <c r="O31" s="79">
        <f t="shared" si="4"/>
        <v>1.32</v>
      </c>
      <c r="P31" s="81"/>
      <c r="Q31" s="82"/>
      <c r="R31" s="41">
        <f t="shared" si="0"/>
        <v>0</v>
      </c>
      <c r="S31" s="41">
        <f t="shared" si="1"/>
        <v>0</v>
      </c>
    </row>
    <row r="32" spans="2:19" s="83" customFormat="1" ht="30" customHeight="1">
      <c r="B32" s="75"/>
      <c r="C32" s="76"/>
      <c r="D32" s="77"/>
      <c r="E32" s="76"/>
      <c r="F32" s="88"/>
      <c r="G32" s="76" t="s">
        <v>172</v>
      </c>
      <c r="H32" s="79">
        <v>0.5</v>
      </c>
      <c r="I32" s="79">
        <v>0.35</v>
      </c>
      <c r="J32" s="79"/>
      <c r="K32" s="79">
        <f>H32*I32</f>
        <v>0.17499999999999999</v>
      </c>
      <c r="L32" s="79"/>
      <c r="M32" s="79"/>
      <c r="N32" s="79">
        <v>-1</v>
      </c>
      <c r="O32" s="79">
        <f t="shared" si="4"/>
        <v>-0.18</v>
      </c>
      <c r="P32" s="81"/>
      <c r="Q32" s="82"/>
      <c r="R32" s="41">
        <f t="shared" si="0"/>
        <v>0</v>
      </c>
      <c r="S32" s="41">
        <f t="shared" si="1"/>
        <v>0</v>
      </c>
    </row>
    <row r="33" spans="2:19" s="83" customFormat="1" ht="30" customHeight="1">
      <c r="B33" s="75"/>
      <c r="C33" s="76"/>
      <c r="D33" s="77"/>
      <c r="E33" s="76"/>
      <c r="F33" s="88"/>
      <c r="G33" s="76" t="s">
        <v>170</v>
      </c>
      <c r="H33" s="79">
        <v>0.85</v>
      </c>
      <c r="I33" s="79">
        <v>0.65</v>
      </c>
      <c r="J33" s="85"/>
      <c r="K33" s="79">
        <f>H33*I33</f>
        <v>0.55249999999999999</v>
      </c>
      <c r="L33" s="85"/>
      <c r="M33" s="85"/>
      <c r="N33" s="79">
        <v>3</v>
      </c>
      <c r="O33" s="79">
        <f t="shared" si="4"/>
        <v>1.66</v>
      </c>
      <c r="P33" s="81"/>
      <c r="Q33" s="82"/>
      <c r="R33" s="41">
        <f t="shared" si="0"/>
        <v>0</v>
      </c>
      <c r="S33" s="41">
        <f t="shared" si="1"/>
        <v>0</v>
      </c>
    </row>
    <row r="34" spans="2:19" s="83" customFormat="1" ht="30" customHeight="1">
      <c r="B34" s="75"/>
      <c r="C34" s="227"/>
      <c r="D34" s="255"/>
      <c r="E34" s="227"/>
      <c r="F34" s="248"/>
      <c r="G34" s="227" t="s">
        <v>288</v>
      </c>
      <c r="H34" s="79">
        <v>4</v>
      </c>
      <c r="I34" s="79">
        <v>2.1</v>
      </c>
      <c r="J34" s="79"/>
      <c r="K34" s="79">
        <f>H34*I34</f>
        <v>8.4</v>
      </c>
      <c r="L34" s="79"/>
      <c r="M34" s="79"/>
      <c r="N34" s="79">
        <v>1</v>
      </c>
      <c r="O34" s="79">
        <f t="shared" ref="O34" si="5">ROUND(K34*N34,2)</f>
        <v>8.4</v>
      </c>
      <c r="P34" s="249"/>
      <c r="Q34" s="82"/>
      <c r="R34" s="41">
        <f t="shared" si="0"/>
        <v>0</v>
      </c>
      <c r="S34" s="41">
        <f t="shared" si="1"/>
        <v>0</v>
      </c>
    </row>
    <row r="35" spans="2:19" s="83" customFormat="1" ht="30" customHeight="1" thickBot="1">
      <c r="B35" s="75"/>
      <c r="C35" s="90"/>
      <c r="D35" s="91"/>
      <c r="E35" s="90"/>
      <c r="F35" s="92"/>
      <c r="G35" s="90"/>
      <c r="H35" s="93"/>
      <c r="I35" s="93"/>
      <c r="J35" s="93"/>
      <c r="K35" s="93"/>
      <c r="L35" s="93"/>
      <c r="M35" s="93"/>
      <c r="N35" s="93"/>
      <c r="O35" s="73">
        <f>SUM(O29:O34)</f>
        <v>12.7</v>
      </c>
      <c r="P35" s="74">
        <f>ROUND(O35*F29,2)</f>
        <v>1183031.8</v>
      </c>
      <c r="Q35" s="82"/>
      <c r="R35" s="41">
        <f t="shared" si="0"/>
        <v>0</v>
      </c>
      <c r="S35" s="41">
        <f t="shared" si="1"/>
        <v>0</v>
      </c>
    </row>
    <row r="36" spans="2:19" s="83" customFormat="1" ht="30" customHeight="1" thickBot="1">
      <c r="B36" s="75"/>
      <c r="C36" s="235">
        <v>10.5</v>
      </c>
      <c r="D36" s="236" t="s">
        <v>74</v>
      </c>
      <c r="E36" s="235" t="s">
        <v>57</v>
      </c>
      <c r="F36" s="237">
        <f>ROUND(20594.02*1.02,2)</f>
        <v>21005.9</v>
      </c>
      <c r="G36" s="238" t="s">
        <v>171</v>
      </c>
      <c r="H36" s="239">
        <v>5.12</v>
      </c>
      <c r="I36" s="239"/>
      <c r="J36" s="239"/>
      <c r="K36" s="239"/>
      <c r="L36" s="239"/>
      <c r="M36" s="239"/>
      <c r="N36" s="239">
        <v>1</v>
      </c>
      <c r="O36" s="241">
        <f>H36*N36</f>
        <v>5.12</v>
      </c>
      <c r="P36" s="240">
        <f>ROUND(O36*F36,2)</f>
        <v>107550.21</v>
      </c>
      <c r="Q36" s="82"/>
      <c r="R36" s="41">
        <f t="shared" si="0"/>
        <v>0</v>
      </c>
      <c r="S36" s="41">
        <f t="shared" si="1"/>
        <v>0</v>
      </c>
    </row>
    <row r="37" spans="2:19" s="83" customFormat="1" ht="30" customHeight="1" thickBot="1">
      <c r="B37" s="75"/>
      <c r="C37" s="68" t="s">
        <v>121</v>
      </c>
      <c r="D37" s="69" t="s">
        <v>123</v>
      </c>
      <c r="E37" s="235" t="s">
        <v>173</v>
      </c>
      <c r="F37" s="70">
        <f>ROUND(159030.31*1.02,2)</f>
        <v>162210.92000000001</v>
      </c>
      <c r="G37" s="71" t="s">
        <v>171</v>
      </c>
      <c r="H37" s="72"/>
      <c r="I37" s="72"/>
      <c r="J37" s="72"/>
      <c r="K37" s="72"/>
      <c r="L37" s="72"/>
      <c r="M37" s="72"/>
      <c r="N37" s="72">
        <v>1</v>
      </c>
      <c r="O37" s="98">
        <f>N37</f>
        <v>1</v>
      </c>
      <c r="P37" s="95">
        <f t="shared" ref="P37:P39" si="6">ROUND(O37*F37,2)</f>
        <v>162210.92000000001</v>
      </c>
      <c r="Q37" s="82"/>
      <c r="R37" s="41">
        <f t="shared" si="0"/>
        <v>0</v>
      </c>
      <c r="S37" s="41">
        <f t="shared" si="1"/>
        <v>0</v>
      </c>
    </row>
    <row r="38" spans="2:19" s="83" customFormat="1" ht="30" customHeight="1" thickBot="1">
      <c r="B38" s="75"/>
      <c r="C38" s="235" t="s">
        <v>124</v>
      </c>
      <c r="D38" s="236" t="s">
        <v>126</v>
      </c>
      <c r="E38" s="235" t="s">
        <v>173</v>
      </c>
      <c r="F38" s="237">
        <f>ROUND(134623.11*1.02,2)</f>
        <v>137315.57</v>
      </c>
      <c r="G38" s="238" t="s">
        <v>171</v>
      </c>
      <c r="H38" s="239"/>
      <c r="I38" s="239"/>
      <c r="J38" s="239"/>
      <c r="K38" s="239"/>
      <c r="L38" s="239"/>
      <c r="M38" s="239"/>
      <c r="N38" s="239">
        <v>1</v>
      </c>
      <c r="O38" s="241">
        <f>N38</f>
        <v>1</v>
      </c>
      <c r="P38" s="240">
        <f t="shared" si="6"/>
        <v>137315.57</v>
      </c>
      <c r="Q38" s="82"/>
      <c r="R38" s="41">
        <f t="shared" si="0"/>
        <v>0</v>
      </c>
      <c r="S38" s="41">
        <f t="shared" si="1"/>
        <v>0</v>
      </c>
    </row>
    <row r="39" spans="2:19" s="83" customFormat="1" ht="30" customHeight="1" thickBot="1">
      <c r="B39" s="75"/>
      <c r="C39" s="68">
        <v>6.3</v>
      </c>
      <c r="D39" s="69" t="s">
        <v>52</v>
      </c>
      <c r="E39" s="68" t="s">
        <v>173</v>
      </c>
      <c r="F39" s="70">
        <f>ROUND(82624*1.02,2)</f>
        <v>84276.479999999996</v>
      </c>
      <c r="G39" s="71" t="s">
        <v>171</v>
      </c>
      <c r="H39" s="72"/>
      <c r="I39" s="72"/>
      <c r="J39" s="72"/>
      <c r="K39" s="72"/>
      <c r="L39" s="72"/>
      <c r="M39" s="72"/>
      <c r="N39" s="72">
        <v>1</v>
      </c>
      <c r="O39" s="98">
        <f>N39</f>
        <v>1</v>
      </c>
      <c r="P39" s="95">
        <f t="shared" si="6"/>
        <v>84276.479999999996</v>
      </c>
      <c r="Q39" s="82"/>
      <c r="R39" s="41">
        <f t="shared" si="0"/>
        <v>0</v>
      </c>
      <c r="S39" s="41">
        <f t="shared" si="1"/>
        <v>0</v>
      </c>
    </row>
    <row r="40" spans="2:19" s="83" customFormat="1" ht="30" customHeight="1">
      <c r="B40" s="75"/>
      <c r="C40" s="76" t="s">
        <v>129</v>
      </c>
      <c r="D40" s="77" t="s">
        <v>130</v>
      </c>
      <c r="E40" s="76" t="s">
        <v>57</v>
      </c>
      <c r="F40" s="78">
        <f>ROUND(8226.84*1.02,2)</f>
        <v>8391.3799999999992</v>
      </c>
      <c r="G40" s="97" t="s">
        <v>261</v>
      </c>
      <c r="H40" s="79"/>
      <c r="I40" s="79"/>
      <c r="J40" s="79"/>
      <c r="K40" s="79"/>
      <c r="L40" s="79"/>
      <c r="M40" s="79"/>
      <c r="N40" s="79"/>
      <c r="O40" s="80"/>
      <c r="P40" s="96"/>
      <c r="Q40" s="82"/>
      <c r="R40" s="41">
        <f t="shared" si="0"/>
        <v>0</v>
      </c>
      <c r="S40" s="41">
        <f t="shared" si="1"/>
        <v>0</v>
      </c>
    </row>
    <row r="41" spans="2:19" s="83" customFormat="1" ht="30" customHeight="1">
      <c r="B41" s="75"/>
      <c r="C41" s="86"/>
      <c r="D41" s="87"/>
      <c r="E41" s="86"/>
      <c r="F41" s="88"/>
      <c r="G41" s="86" t="s">
        <v>246</v>
      </c>
      <c r="H41" s="85"/>
      <c r="I41" s="85"/>
      <c r="J41" s="85"/>
      <c r="K41" s="85">
        <f>2*2+1.3*4</f>
        <v>9.1999999999999993</v>
      </c>
      <c r="L41" s="85"/>
      <c r="M41" s="85"/>
      <c r="N41" s="85">
        <v>2</v>
      </c>
      <c r="O41" s="85">
        <f t="shared" ref="O41:O50" si="7">ROUND(K41*N41,2)</f>
        <v>18.399999999999999</v>
      </c>
      <c r="P41" s="94"/>
      <c r="Q41" s="82"/>
      <c r="R41" s="41">
        <f t="shared" si="0"/>
        <v>0</v>
      </c>
      <c r="S41" s="41">
        <f t="shared" si="1"/>
        <v>0</v>
      </c>
    </row>
    <row r="42" spans="2:19" s="83" customFormat="1" ht="30" customHeight="1">
      <c r="B42" s="75"/>
      <c r="C42" s="86"/>
      <c r="D42" s="87"/>
      <c r="E42" s="86"/>
      <c r="F42" s="88"/>
      <c r="G42" s="86" t="s">
        <v>251</v>
      </c>
      <c r="H42" s="85"/>
      <c r="I42" s="85"/>
      <c r="J42" s="85"/>
      <c r="K42" s="85">
        <f>0.98+2.05</f>
        <v>3.03</v>
      </c>
      <c r="L42" s="85"/>
      <c r="M42" s="85"/>
      <c r="N42" s="85">
        <v>2</v>
      </c>
      <c r="O42" s="85">
        <f t="shared" si="7"/>
        <v>6.06</v>
      </c>
      <c r="P42" s="94"/>
      <c r="Q42" s="82"/>
      <c r="R42" s="41">
        <f t="shared" si="0"/>
        <v>0</v>
      </c>
      <c r="S42" s="41">
        <f t="shared" si="1"/>
        <v>0</v>
      </c>
    </row>
    <row r="43" spans="2:19" s="83" customFormat="1" ht="30" customHeight="1">
      <c r="B43" s="75"/>
      <c r="C43" s="86"/>
      <c r="D43" s="87"/>
      <c r="E43" s="86"/>
      <c r="F43" s="88"/>
      <c r="G43" s="86" t="s">
        <v>262</v>
      </c>
      <c r="H43" s="85"/>
      <c r="I43" s="85"/>
      <c r="J43" s="85"/>
      <c r="K43" s="85">
        <f>0.98*2.05</f>
        <v>2.0089999999999999</v>
      </c>
      <c r="L43" s="85"/>
      <c r="M43" s="85"/>
      <c r="N43" s="85">
        <v>1</v>
      </c>
      <c r="O43" s="85">
        <f t="shared" si="7"/>
        <v>2.0099999999999998</v>
      </c>
      <c r="P43" s="94"/>
      <c r="Q43" s="82"/>
      <c r="R43" s="41">
        <f t="shared" si="0"/>
        <v>0</v>
      </c>
      <c r="S43" s="41">
        <f t="shared" si="1"/>
        <v>0</v>
      </c>
    </row>
    <row r="44" spans="2:19" s="83" customFormat="1" ht="30" customHeight="1">
      <c r="B44" s="75"/>
      <c r="C44" s="242"/>
      <c r="D44" s="258"/>
      <c r="E44" s="242"/>
      <c r="F44" s="248"/>
      <c r="G44" s="242" t="s">
        <v>250</v>
      </c>
      <c r="H44" s="243"/>
      <c r="I44" s="243"/>
      <c r="J44" s="243"/>
      <c r="K44" s="85">
        <f>0.8*2+2*2+0.8*2</f>
        <v>7.1999999999999993</v>
      </c>
      <c r="L44" s="85"/>
      <c r="M44" s="85"/>
      <c r="N44" s="85">
        <v>2</v>
      </c>
      <c r="O44" s="85">
        <f t="shared" ref="O44:O45" si="8">ROUND(K44*N44,2)</f>
        <v>14.4</v>
      </c>
      <c r="P44" s="266"/>
      <c r="Q44" s="82"/>
      <c r="R44" s="41">
        <f t="shared" si="0"/>
        <v>0</v>
      </c>
      <c r="S44" s="41">
        <f t="shared" si="1"/>
        <v>0</v>
      </c>
    </row>
    <row r="45" spans="2:19" s="83" customFormat="1" ht="30" customHeight="1">
      <c r="B45" s="75"/>
      <c r="C45" s="242"/>
      <c r="D45" s="258"/>
      <c r="E45" s="242"/>
      <c r="F45" s="248"/>
      <c r="G45" s="242" t="s">
        <v>247</v>
      </c>
      <c r="H45" s="243"/>
      <c r="I45" s="243"/>
      <c r="J45" s="243"/>
      <c r="K45" s="85">
        <f>1.5*2+1*2</f>
        <v>5</v>
      </c>
      <c r="L45" s="85"/>
      <c r="M45" s="85"/>
      <c r="N45" s="85">
        <v>2</v>
      </c>
      <c r="O45" s="85">
        <f t="shared" si="8"/>
        <v>10</v>
      </c>
      <c r="P45" s="266"/>
      <c r="Q45" s="82"/>
      <c r="R45" s="41">
        <f t="shared" si="0"/>
        <v>0</v>
      </c>
      <c r="S45" s="41">
        <f t="shared" si="1"/>
        <v>0</v>
      </c>
    </row>
    <row r="46" spans="2:19" s="83" customFormat="1" ht="30" customHeight="1" thickBot="1">
      <c r="B46" s="75"/>
      <c r="C46" s="90"/>
      <c r="D46" s="91"/>
      <c r="E46" s="90"/>
      <c r="F46" s="92"/>
      <c r="G46" s="67"/>
      <c r="H46" s="93"/>
      <c r="I46" s="93"/>
      <c r="J46" s="93"/>
      <c r="K46" s="93"/>
      <c r="L46" s="93"/>
      <c r="M46" s="93"/>
      <c r="N46" s="93"/>
      <c r="O46" s="73">
        <f>SUM(O40:O45)</f>
        <v>50.87</v>
      </c>
      <c r="P46" s="74">
        <f>ROUND(O46*F40,2)</f>
        <v>426869.5</v>
      </c>
      <c r="Q46" s="82"/>
      <c r="R46" s="41">
        <f t="shared" si="0"/>
        <v>0</v>
      </c>
      <c r="S46" s="41">
        <f t="shared" si="1"/>
        <v>0</v>
      </c>
    </row>
    <row r="47" spans="2:19" s="83" customFormat="1" ht="30" customHeight="1" thickBot="1">
      <c r="B47" s="75"/>
      <c r="C47" s="235">
        <v>9.6999999999999993</v>
      </c>
      <c r="D47" s="236" t="s">
        <v>263</v>
      </c>
      <c r="E47" s="235" t="s">
        <v>173</v>
      </c>
      <c r="F47" s="237">
        <f>ROUND(38060.59*1.02,2)</f>
        <v>38821.800000000003</v>
      </c>
      <c r="G47" s="238" t="s">
        <v>257</v>
      </c>
      <c r="H47" s="239"/>
      <c r="I47" s="239"/>
      <c r="J47" s="239"/>
      <c r="K47" s="239">
        <v>5</v>
      </c>
      <c r="L47" s="239"/>
      <c r="M47" s="239"/>
      <c r="N47" s="239">
        <v>1</v>
      </c>
      <c r="O47" s="241">
        <f t="shared" si="7"/>
        <v>5</v>
      </c>
      <c r="P47" s="240">
        <f>ROUND(O47*F47,2)</f>
        <v>194109</v>
      </c>
      <c r="Q47" s="82"/>
      <c r="R47" s="41">
        <f t="shared" si="0"/>
        <v>0</v>
      </c>
      <c r="S47" s="41">
        <f t="shared" si="1"/>
        <v>0</v>
      </c>
    </row>
    <row r="48" spans="2:19" s="83" customFormat="1" ht="30" customHeight="1" thickBot="1">
      <c r="B48" s="75"/>
      <c r="C48" s="68">
        <v>1.6</v>
      </c>
      <c r="D48" s="69" t="s">
        <v>266</v>
      </c>
      <c r="E48" s="68" t="s">
        <v>267</v>
      </c>
      <c r="F48" s="70">
        <f>ROUND(70577.63,2)</f>
        <v>70577.63</v>
      </c>
      <c r="G48" s="261" t="s">
        <v>268</v>
      </c>
      <c r="H48" s="72">
        <v>0.6</v>
      </c>
      <c r="I48" s="72">
        <v>0.6</v>
      </c>
      <c r="J48" s="72">
        <v>0.6</v>
      </c>
      <c r="K48" s="72">
        <f>H48*I48*J48</f>
        <v>0.216</v>
      </c>
      <c r="L48" s="72"/>
      <c r="M48" s="72"/>
      <c r="N48" s="72">
        <v>1</v>
      </c>
      <c r="O48" s="241">
        <f t="shared" si="7"/>
        <v>0.22</v>
      </c>
      <c r="P48" s="240">
        <f>ROUND(O48*F48,2)</f>
        <v>15527.08</v>
      </c>
      <c r="Q48" s="82"/>
      <c r="R48" s="41">
        <f t="shared" si="0"/>
        <v>0</v>
      </c>
      <c r="S48" s="41">
        <f t="shared" si="1"/>
        <v>0</v>
      </c>
    </row>
    <row r="49" spans="2:19" s="83" customFormat="1" ht="30" customHeight="1" thickBot="1">
      <c r="B49" s="75"/>
      <c r="C49" s="68" t="s">
        <v>135</v>
      </c>
      <c r="D49" s="69" t="s">
        <v>137</v>
      </c>
      <c r="E49" s="68" t="s">
        <v>267</v>
      </c>
      <c r="F49" s="70">
        <f>ROUND(918441.77*1.02,2)</f>
        <v>936810.61</v>
      </c>
      <c r="G49" s="261" t="s">
        <v>269</v>
      </c>
      <c r="H49" s="72">
        <v>0.6</v>
      </c>
      <c r="I49" s="72">
        <v>0.6</v>
      </c>
      <c r="J49" s="72">
        <v>0.6</v>
      </c>
      <c r="K49" s="72">
        <f>H49*I49*J49</f>
        <v>0.216</v>
      </c>
      <c r="L49" s="72"/>
      <c r="M49" s="72"/>
      <c r="N49" s="72">
        <v>1</v>
      </c>
      <c r="O49" s="241">
        <f t="shared" si="7"/>
        <v>0.22</v>
      </c>
      <c r="P49" s="240">
        <f>ROUND(O49*F49,2)</f>
        <v>206098.33</v>
      </c>
      <c r="Q49" s="82"/>
      <c r="R49" s="41">
        <f t="shared" si="0"/>
        <v>0</v>
      </c>
      <c r="S49" s="41">
        <f t="shared" si="1"/>
        <v>0</v>
      </c>
    </row>
    <row r="50" spans="2:19" s="83" customFormat="1" ht="30" customHeight="1" thickBot="1">
      <c r="B50" s="75"/>
      <c r="C50" s="68">
        <v>3.2</v>
      </c>
      <c r="D50" s="69" t="s">
        <v>23</v>
      </c>
      <c r="E50" s="68" t="s">
        <v>15</v>
      </c>
      <c r="F50" s="70">
        <f>ROUND(1137084.62*1.02,2)</f>
        <v>1159826.31</v>
      </c>
      <c r="G50" s="68" t="s">
        <v>270</v>
      </c>
      <c r="H50" s="72">
        <v>0.2</v>
      </c>
      <c r="I50" s="72">
        <v>0.2</v>
      </c>
      <c r="J50" s="72">
        <v>2.5</v>
      </c>
      <c r="K50" s="72">
        <f>H50*I50*J50</f>
        <v>0.10000000000000002</v>
      </c>
      <c r="L50" s="72"/>
      <c r="M50" s="72"/>
      <c r="N50" s="72">
        <v>1</v>
      </c>
      <c r="O50" s="98">
        <f t="shared" si="7"/>
        <v>0.1</v>
      </c>
      <c r="P50" s="95">
        <f>ROUND(O50*F50,2)</f>
        <v>115982.63</v>
      </c>
      <c r="Q50" s="82"/>
      <c r="R50" s="41">
        <f t="shared" si="0"/>
        <v>0</v>
      </c>
      <c r="S50" s="41">
        <f t="shared" si="1"/>
        <v>0</v>
      </c>
    </row>
    <row r="51" spans="2:19" s="83" customFormat="1" ht="30" customHeight="1" thickBot="1">
      <c r="B51" s="75"/>
      <c r="C51" s="68" t="s">
        <v>127</v>
      </c>
      <c r="D51" s="69" t="s">
        <v>128</v>
      </c>
      <c r="E51" s="68" t="s">
        <v>167</v>
      </c>
      <c r="F51" s="70">
        <f>ROUND(162748.88*1.02,2)</f>
        <v>166003.85999999999</v>
      </c>
      <c r="G51" s="68" t="s">
        <v>265</v>
      </c>
      <c r="H51" s="72">
        <v>1</v>
      </c>
      <c r="I51" s="72">
        <v>1</v>
      </c>
      <c r="J51" s="72"/>
      <c r="K51" s="72">
        <f>H51*I51</f>
        <v>1</v>
      </c>
      <c r="L51" s="72"/>
      <c r="M51" s="72"/>
      <c r="N51" s="269">
        <v>1</v>
      </c>
      <c r="O51" s="98">
        <f>ROUND(K51*N51,2)</f>
        <v>1</v>
      </c>
      <c r="P51" s="95">
        <f>ROUND(O51*F51,2)</f>
        <v>166003.85999999999</v>
      </c>
      <c r="Q51" s="82"/>
      <c r="R51" s="41">
        <f t="shared" si="0"/>
        <v>0</v>
      </c>
      <c r="S51" s="41">
        <f t="shared" si="1"/>
        <v>0</v>
      </c>
    </row>
    <row r="52" spans="2:19" s="83" customFormat="1" ht="30" customHeight="1">
      <c r="B52" s="75"/>
      <c r="C52" s="76">
        <v>2.4</v>
      </c>
      <c r="D52" s="77" t="s">
        <v>271</v>
      </c>
      <c r="E52" s="76" t="s">
        <v>272</v>
      </c>
      <c r="F52" s="78">
        <f>ROUND(7675.05*1.02,2)</f>
        <v>7828.55</v>
      </c>
      <c r="G52" s="76" t="s">
        <v>269</v>
      </c>
      <c r="H52" s="79">
        <v>0.55000000000000004</v>
      </c>
      <c r="I52" s="79"/>
      <c r="J52" s="79"/>
      <c r="K52" s="79"/>
      <c r="L52" s="79" t="s">
        <v>273</v>
      </c>
      <c r="M52" s="79">
        <v>0.998</v>
      </c>
      <c r="N52" s="79">
        <v>10</v>
      </c>
      <c r="O52" s="79">
        <f>ROUND(H52*M52*N52,2)</f>
        <v>5.49</v>
      </c>
      <c r="P52" s="96"/>
      <c r="Q52" s="82"/>
      <c r="R52" s="41">
        <f t="shared" si="0"/>
        <v>0</v>
      </c>
      <c r="S52" s="41">
        <f t="shared" si="1"/>
        <v>0</v>
      </c>
    </row>
    <row r="53" spans="2:19" s="83" customFormat="1" ht="30" customHeight="1">
      <c r="B53" s="75"/>
      <c r="C53" s="86"/>
      <c r="D53" s="87"/>
      <c r="E53" s="86"/>
      <c r="F53" s="88"/>
      <c r="G53" s="86" t="s">
        <v>274</v>
      </c>
      <c r="H53" s="85">
        <v>3.9</v>
      </c>
      <c r="I53" s="85"/>
      <c r="J53" s="85"/>
      <c r="K53" s="85"/>
      <c r="L53" s="85" t="s">
        <v>273</v>
      </c>
      <c r="M53" s="85">
        <v>0.998</v>
      </c>
      <c r="N53" s="85">
        <v>4</v>
      </c>
      <c r="O53" s="79">
        <f>ROUND(H53*M53*N53,2)</f>
        <v>15.57</v>
      </c>
      <c r="P53" s="94"/>
      <c r="Q53" s="82"/>
      <c r="R53" s="41">
        <f t="shared" si="0"/>
        <v>0</v>
      </c>
      <c r="S53" s="41">
        <f t="shared" si="1"/>
        <v>0</v>
      </c>
    </row>
    <row r="54" spans="2:19" s="83" customFormat="1" ht="30" customHeight="1">
      <c r="B54" s="75"/>
      <c r="C54" s="86"/>
      <c r="D54" s="87"/>
      <c r="E54" s="86"/>
      <c r="F54" s="88"/>
      <c r="G54" s="86" t="s">
        <v>275</v>
      </c>
      <c r="H54" s="85">
        <v>0.75</v>
      </c>
      <c r="I54" s="85"/>
      <c r="J54" s="85"/>
      <c r="K54" s="85"/>
      <c r="L54" s="85" t="s">
        <v>276</v>
      </c>
      <c r="M54" s="4">
        <v>0.56000000000000005</v>
      </c>
      <c r="N54" s="85">
        <f>3.6/0.15</f>
        <v>24</v>
      </c>
      <c r="O54" s="79">
        <f>ROUND(H54*M54*N54,2)</f>
        <v>10.08</v>
      </c>
      <c r="P54" s="94"/>
      <c r="Q54" s="82"/>
      <c r="R54" s="41">
        <f t="shared" si="0"/>
        <v>0</v>
      </c>
      <c r="S54" s="41">
        <f t="shared" si="1"/>
        <v>0</v>
      </c>
    </row>
    <row r="55" spans="2:19" s="83" customFormat="1" ht="30" customHeight="1">
      <c r="B55" s="75"/>
      <c r="C55" s="86"/>
      <c r="D55" s="87"/>
      <c r="E55" s="86"/>
      <c r="F55" s="88"/>
      <c r="G55" s="86" t="s">
        <v>277</v>
      </c>
      <c r="H55" s="85">
        <v>0.95</v>
      </c>
      <c r="I55" s="85"/>
      <c r="J55" s="85"/>
      <c r="K55" s="85"/>
      <c r="L55" s="85" t="s">
        <v>273</v>
      </c>
      <c r="M55" s="4">
        <v>0.998</v>
      </c>
      <c r="N55" s="85">
        <v>20</v>
      </c>
      <c r="O55" s="79">
        <f>ROUND(H55*M55*N55,2)</f>
        <v>18.96</v>
      </c>
      <c r="P55" s="94"/>
      <c r="Q55" s="82"/>
      <c r="R55" s="41">
        <f t="shared" si="0"/>
        <v>0</v>
      </c>
      <c r="S55" s="41">
        <f t="shared" si="1"/>
        <v>0</v>
      </c>
    </row>
    <row r="56" spans="2:19" s="83" customFormat="1" ht="30" customHeight="1" thickBot="1">
      <c r="B56" s="75"/>
      <c r="C56" s="90"/>
      <c r="D56" s="91"/>
      <c r="E56" s="90"/>
      <c r="F56" s="92"/>
      <c r="G56" s="90"/>
      <c r="H56" s="93"/>
      <c r="I56" s="93"/>
      <c r="J56" s="93"/>
      <c r="K56" s="93"/>
      <c r="L56" s="93"/>
      <c r="M56" s="262"/>
      <c r="N56" s="93"/>
      <c r="O56" s="73">
        <f>SUM(O52:O55)</f>
        <v>50.1</v>
      </c>
      <c r="P56" s="74">
        <f>ROUND(O56*F52,2)</f>
        <v>392210.36</v>
      </c>
      <c r="Q56" s="82"/>
      <c r="R56" s="41">
        <f t="shared" si="0"/>
        <v>0</v>
      </c>
      <c r="S56" s="41">
        <f t="shared" si="1"/>
        <v>0</v>
      </c>
    </row>
    <row r="57" spans="2:19" s="83" customFormat="1" ht="30" customHeight="1" thickBot="1">
      <c r="B57" s="75"/>
      <c r="C57" s="68">
        <v>5.5</v>
      </c>
      <c r="D57" s="69" t="s">
        <v>278</v>
      </c>
      <c r="E57" s="68" t="s">
        <v>173</v>
      </c>
      <c r="F57" s="70">
        <f>ROUND(526509.06*1.02,2)</f>
        <v>537039.24</v>
      </c>
      <c r="G57" s="68" t="s">
        <v>279</v>
      </c>
      <c r="H57" s="72"/>
      <c r="I57" s="72"/>
      <c r="J57" s="72"/>
      <c r="K57" s="72"/>
      <c r="L57" s="72"/>
      <c r="M57" s="72"/>
      <c r="N57" s="72">
        <v>1</v>
      </c>
      <c r="O57" s="98">
        <f>N57</f>
        <v>1</v>
      </c>
      <c r="P57" s="95">
        <f>ROUND(O57*F57,2)</f>
        <v>537039.24</v>
      </c>
      <c r="Q57" s="82"/>
      <c r="R57" s="41">
        <f t="shared" si="0"/>
        <v>0</v>
      </c>
      <c r="S57" s="41">
        <f t="shared" si="1"/>
        <v>0</v>
      </c>
    </row>
    <row r="58" spans="2:19" s="83" customFormat="1" ht="30" customHeight="1" thickBot="1">
      <c r="B58" s="75"/>
      <c r="C58" s="235">
        <v>5.6</v>
      </c>
      <c r="D58" s="236" t="s">
        <v>47</v>
      </c>
      <c r="E58" s="235" t="s">
        <v>173</v>
      </c>
      <c r="F58" s="237">
        <f>ROUND(89118.87*1.02,2)</f>
        <v>90901.25</v>
      </c>
      <c r="G58" s="235" t="s">
        <v>280</v>
      </c>
      <c r="H58" s="239"/>
      <c r="I58" s="239"/>
      <c r="J58" s="239"/>
      <c r="K58" s="239"/>
      <c r="L58" s="239"/>
      <c r="M58" s="239"/>
      <c r="N58" s="239">
        <v>1</v>
      </c>
      <c r="O58" s="241">
        <f>N58</f>
        <v>1</v>
      </c>
      <c r="P58" s="240">
        <f>ROUND(O58*F58,2)</f>
        <v>90901.25</v>
      </c>
      <c r="Q58" s="82"/>
      <c r="R58" s="41">
        <f t="shared" si="0"/>
        <v>0</v>
      </c>
      <c r="S58" s="41">
        <f t="shared" si="1"/>
        <v>0</v>
      </c>
    </row>
    <row r="59" spans="2:19" s="83" customFormat="1" ht="30" customHeight="1" thickBot="1">
      <c r="B59" s="75"/>
      <c r="C59" s="235">
        <v>5.0999999999999996</v>
      </c>
      <c r="D59" s="236" t="s">
        <v>38</v>
      </c>
      <c r="E59" s="235" t="s">
        <v>31</v>
      </c>
      <c r="F59" s="237">
        <f>ROUND(7548.65*1.02,2)</f>
        <v>7699.62</v>
      </c>
      <c r="G59" s="235" t="s">
        <v>281</v>
      </c>
      <c r="H59" s="239">
        <v>3</v>
      </c>
      <c r="I59" s="239"/>
      <c r="J59" s="239"/>
      <c r="K59" s="239"/>
      <c r="L59" s="239"/>
      <c r="M59" s="264"/>
      <c r="N59" s="239">
        <v>1</v>
      </c>
      <c r="O59" s="241">
        <f>ROUND(H59*N59,2)</f>
        <v>3</v>
      </c>
      <c r="P59" s="240">
        <f>ROUND(O59*F59,2)</f>
        <v>23098.86</v>
      </c>
      <c r="Q59" s="82"/>
      <c r="R59" s="41">
        <f t="shared" si="0"/>
        <v>0</v>
      </c>
      <c r="S59" s="41">
        <f t="shared" si="1"/>
        <v>0</v>
      </c>
    </row>
    <row r="60" spans="2:19" s="83" customFormat="1" ht="30" customHeight="1" thickBot="1">
      <c r="B60" s="75"/>
      <c r="C60" s="68" t="s">
        <v>138</v>
      </c>
      <c r="D60" s="69" t="s">
        <v>282</v>
      </c>
      <c r="E60" s="68" t="s">
        <v>31</v>
      </c>
      <c r="F60" s="70">
        <f>ROUND(13462.83*1.02,2)</f>
        <v>13732.09</v>
      </c>
      <c r="G60" s="68" t="s">
        <v>283</v>
      </c>
      <c r="H60" s="239">
        <v>1</v>
      </c>
      <c r="I60" s="239"/>
      <c r="J60" s="239"/>
      <c r="K60" s="239"/>
      <c r="L60" s="239"/>
      <c r="M60" s="264"/>
      <c r="N60" s="239">
        <v>1</v>
      </c>
      <c r="O60" s="241">
        <f>ROUND(H60*N60,2)</f>
        <v>1</v>
      </c>
      <c r="P60" s="240">
        <f>ROUND(O60*F60,2)</f>
        <v>13732.09</v>
      </c>
      <c r="Q60" s="82"/>
      <c r="R60" s="41">
        <f t="shared" si="0"/>
        <v>0</v>
      </c>
      <c r="S60" s="41">
        <f t="shared" si="1"/>
        <v>0</v>
      </c>
    </row>
    <row r="61" spans="2:19" s="83" customFormat="1" ht="30" customHeight="1" thickBot="1">
      <c r="B61" s="75"/>
      <c r="C61" s="68">
        <v>5.3</v>
      </c>
      <c r="D61" s="69" t="s">
        <v>43</v>
      </c>
      <c r="E61" s="68" t="s">
        <v>173</v>
      </c>
      <c r="F61" s="70">
        <f>ROUND(30016.63*1.02,2)</f>
        <v>30616.959999999999</v>
      </c>
      <c r="G61" s="71"/>
      <c r="H61" s="72"/>
      <c r="I61" s="72"/>
      <c r="J61" s="72"/>
      <c r="K61" s="72"/>
      <c r="L61" s="72"/>
      <c r="M61" s="72"/>
      <c r="N61" s="72">
        <v>1</v>
      </c>
      <c r="O61" s="98">
        <f>N61</f>
        <v>1</v>
      </c>
      <c r="P61" s="95">
        <f>ROUND(O61*F61,2)</f>
        <v>30616.959999999999</v>
      </c>
      <c r="Q61" s="82"/>
      <c r="R61" s="41">
        <f t="shared" si="0"/>
        <v>0</v>
      </c>
      <c r="S61" s="41">
        <f t="shared" si="1"/>
        <v>0</v>
      </c>
    </row>
    <row r="62" spans="2:19" s="83" customFormat="1" ht="30" customHeight="1">
      <c r="B62" s="75"/>
      <c r="C62" s="76">
        <v>4.3</v>
      </c>
      <c r="D62" s="77" t="s">
        <v>28</v>
      </c>
      <c r="E62" s="76" t="s">
        <v>167</v>
      </c>
      <c r="F62" s="78">
        <f>ROUND(64570.94*1.02,2)</f>
        <v>65862.36</v>
      </c>
      <c r="G62" s="86" t="s">
        <v>286</v>
      </c>
      <c r="H62" s="79"/>
      <c r="I62" s="79">
        <v>2.4500000000000002</v>
      </c>
      <c r="J62" s="79">
        <v>1.85</v>
      </c>
      <c r="K62" s="79">
        <f>I62*J62</f>
        <v>4.5325000000000006</v>
      </c>
      <c r="L62" s="79"/>
      <c r="M62" s="79"/>
      <c r="N62" s="79">
        <v>1</v>
      </c>
      <c r="O62" s="79">
        <f>ROUND(N62*K62,2)</f>
        <v>4.53</v>
      </c>
      <c r="P62" s="96"/>
      <c r="Q62" s="82"/>
      <c r="R62" s="41">
        <f t="shared" si="0"/>
        <v>0</v>
      </c>
      <c r="S62" s="41">
        <f t="shared" si="1"/>
        <v>0</v>
      </c>
    </row>
    <row r="63" spans="2:19" s="83" customFormat="1" ht="30" customHeight="1">
      <c r="B63" s="75"/>
      <c r="C63" s="86"/>
      <c r="D63" s="87"/>
      <c r="E63" s="86"/>
      <c r="F63" s="88"/>
      <c r="G63" s="86" t="s">
        <v>286</v>
      </c>
      <c r="H63" s="85"/>
      <c r="I63" s="85">
        <v>3.95</v>
      </c>
      <c r="J63" s="85">
        <v>2.1</v>
      </c>
      <c r="K63" s="85">
        <f>I63*J63</f>
        <v>8.2949999999999999</v>
      </c>
      <c r="L63" s="85"/>
      <c r="M63" s="85"/>
      <c r="N63" s="85">
        <v>1</v>
      </c>
      <c r="O63" s="85">
        <f>ROUND(N63*K63,2)</f>
        <v>8.3000000000000007</v>
      </c>
      <c r="P63" s="94"/>
      <c r="Q63" s="82"/>
      <c r="R63" s="41">
        <f t="shared" si="0"/>
        <v>0</v>
      </c>
      <c r="S63" s="41">
        <f t="shared" si="1"/>
        <v>0</v>
      </c>
    </row>
    <row r="64" spans="2:19" s="83" customFormat="1" ht="30" customHeight="1">
      <c r="B64" s="75"/>
      <c r="C64" s="86"/>
      <c r="D64" s="87"/>
      <c r="E64" s="86"/>
      <c r="F64" s="88"/>
      <c r="G64" s="86" t="s">
        <v>284</v>
      </c>
      <c r="H64" s="85"/>
      <c r="I64" s="85">
        <v>0.8</v>
      </c>
      <c r="J64" s="85">
        <v>2</v>
      </c>
      <c r="K64" s="85">
        <f>I64*J64</f>
        <v>1.6</v>
      </c>
      <c r="L64" s="85"/>
      <c r="M64" s="85"/>
      <c r="N64" s="85">
        <v>-1</v>
      </c>
      <c r="O64" s="85">
        <f>ROUND(N64*K64,2)</f>
        <v>-1.6</v>
      </c>
      <c r="P64" s="246"/>
      <c r="Q64" s="82"/>
      <c r="R64" s="41">
        <f t="shared" si="0"/>
        <v>0</v>
      </c>
      <c r="S64" s="41">
        <f t="shared" si="1"/>
        <v>0</v>
      </c>
    </row>
    <row r="65" spans="2:19" s="83" customFormat="1" ht="30" customHeight="1">
      <c r="B65" s="75"/>
      <c r="C65" s="86"/>
      <c r="D65" s="87"/>
      <c r="E65" s="86"/>
      <c r="F65" s="88"/>
      <c r="G65" s="84"/>
      <c r="H65" s="85"/>
      <c r="I65" s="85">
        <v>1.5</v>
      </c>
      <c r="J65" s="85">
        <v>1</v>
      </c>
      <c r="K65" s="85">
        <f>I65*J65</f>
        <v>1.5</v>
      </c>
      <c r="L65" s="85"/>
      <c r="M65" s="85"/>
      <c r="N65" s="85">
        <v>-1</v>
      </c>
      <c r="O65" s="85">
        <f>ROUND(N65*K65,2)</f>
        <v>-1.5</v>
      </c>
      <c r="P65" s="94"/>
      <c r="Q65" s="82"/>
      <c r="R65" s="41">
        <f t="shared" si="0"/>
        <v>0</v>
      </c>
      <c r="S65" s="41">
        <f t="shared" si="1"/>
        <v>0</v>
      </c>
    </row>
    <row r="66" spans="2:19" s="83" customFormat="1" ht="30" customHeight="1" thickBot="1">
      <c r="B66" s="75"/>
      <c r="C66" s="90"/>
      <c r="D66" s="91"/>
      <c r="E66" s="90"/>
      <c r="F66" s="92"/>
      <c r="G66" s="67"/>
      <c r="H66" s="93"/>
      <c r="I66" s="93"/>
      <c r="J66" s="93"/>
      <c r="K66" s="93"/>
      <c r="L66" s="93"/>
      <c r="M66" s="93"/>
      <c r="N66" s="93"/>
      <c r="O66" s="73">
        <f>SUM(O62:O65)</f>
        <v>9.7300000000000022</v>
      </c>
      <c r="P66" s="74">
        <f>ROUND(O66*F62,2)</f>
        <v>640840.76</v>
      </c>
      <c r="Q66" s="82"/>
      <c r="R66" s="41">
        <f t="shared" si="0"/>
        <v>0</v>
      </c>
      <c r="S66" s="41">
        <f t="shared" si="1"/>
        <v>0</v>
      </c>
    </row>
    <row r="67" spans="2:19" s="83" customFormat="1" ht="42.6" customHeight="1" thickBot="1">
      <c r="B67" s="75"/>
      <c r="C67" s="68">
        <v>11.1</v>
      </c>
      <c r="D67" s="69" t="s">
        <v>79</v>
      </c>
      <c r="E67" s="68" t="s">
        <v>173</v>
      </c>
      <c r="F67" s="70">
        <f>ROUND(223386.97*1.02,2)</f>
        <v>227854.71</v>
      </c>
      <c r="G67" s="71"/>
      <c r="H67" s="72"/>
      <c r="I67" s="72"/>
      <c r="J67" s="72"/>
      <c r="K67" s="72"/>
      <c r="L67" s="72"/>
      <c r="M67" s="72"/>
      <c r="N67" s="72">
        <v>1</v>
      </c>
      <c r="O67" s="98">
        <f>N67</f>
        <v>1</v>
      </c>
      <c r="P67" s="95">
        <f>ROUND(O67*F67,2)</f>
        <v>227854.71</v>
      </c>
      <c r="Q67" s="82"/>
      <c r="R67" s="41">
        <f t="shared" si="0"/>
        <v>0</v>
      </c>
      <c r="S67" s="41">
        <f t="shared" si="1"/>
        <v>0</v>
      </c>
    </row>
    <row r="68" spans="2:19" s="83" customFormat="1" ht="30" customHeight="1" thickBot="1">
      <c r="B68" s="75"/>
      <c r="C68" s="68">
        <v>11.2</v>
      </c>
      <c r="D68" s="69" t="s">
        <v>81</v>
      </c>
      <c r="E68" s="68" t="s">
        <v>167</v>
      </c>
      <c r="F68" s="70">
        <f>ROUND(265733.32*1.02,2)</f>
        <v>271047.99</v>
      </c>
      <c r="G68" s="68" t="s">
        <v>248</v>
      </c>
      <c r="H68" s="72"/>
      <c r="I68" s="72">
        <v>0.8</v>
      </c>
      <c r="J68" s="72">
        <v>2</v>
      </c>
      <c r="K68" s="72">
        <f>I68*J68</f>
        <v>1.6</v>
      </c>
      <c r="L68" s="72"/>
      <c r="M68" s="72"/>
      <c r="N68" s="72">
        <v>1</v>
      </c>
      <c r="O68" s="98">
        <f>ROUND(N68*K68,2)</f>
        <v>1.6</v>
      </c>
      <c r="P68" s="95">
        <f>ROUND(O68*F68,2)</f>
        <v>433676.78</v>
      </c>
      <c r="Q68" s="82"/>
      <c r="R68" s="41">
        <f t="shared" si="0"/>
        <v>0</v>
      </c>
      <c r="S68" s="41">
        <f t="shared" si="1"/>
        <v>0</v>
      </c>
    </row>
    <row r="69" spans="2:19" s="83" customFormat="1" ht="30" customHeight="1" thickBot="1">
      <c r="B69" s="75"/>
      <c r="C69" s="68">
        <v>11.3</v>
      </c>
      <c r="D69" s="69" t="s">
        <v>83</v>
      </c>
      <c r="E69" s="68" t="s">
        <v>167</v>
      </c>
      <c r="F69" s="70">
        <f>ROUND(277984.97*1.02,2)</f>
        <v>283544.67</v>
      </c>
      <c r="G69" s="68" t="s">
        <v>285</v>
      </c>
      <c r="H69" s="72"/>
      <c r="I69" s="72">
        <v>1.5</v>
      </c>
      <c r="J69" s="72">
        <v>1</v>
      </c>
      <c r="K69" s="72">
        <f>I69*J69</f>
        <v>1.5</v>
      </c>
      <c r="L69" s="72"/>
      <c r="M69" s="72"/>
      <c r="N69" s="72">
        <v>1</v>
      </c>
      <c r="O69" s="98">
        <f>ROUND(N69*K69,2)</f>
        <v>1.5</v>
      </c>
      <c r="P69" s="95">
        <f>ROUND(O69*F69,2)</f>
        <v>425317.01</v>
      </c>
      <c r="Q69" s="82"/>
      <c r="R69" s="41">
        <f t="shared" si="0"/>
        <v>0</v>
      </c>
      <c r="S69" s="41">
        <f t="shared" si="1"/>
        <v>0</v>
      </c>
    </row>
    <row r="70" spans="2:19" s="83" customFormat="1" ht="30" customHeight="1" thickBot="1">
      <c r="B70" s="75"/>
      <c r="C70" s="68">
        <v>11.4</v>
      </c>
      <c r="D70" s="69" t="s">
        <v>85</v>
      </c>
      <c r="E70" s="68" t="s">
        <v>173</v>
      </c>
      <c r="F70" s="70">
        <f>ROUND(138036.63*1.02,2)</f>
        <v>140797.35999999999</v>
      </c>
      <c r="G70" s="68" t="s">
        <v>248</v>
      </c>
      <c r="H70" s="72"/>
      <c r="I70" s="72"/>
      <c r="J70" s="72"/>
      <c r="K70" s="72"/>
      <c r="L70" s="72"/>
      <c r="M70" s="72"/>
      <c r="N70" s="72">
        <v>1</v>
      </c>
      <c r="O70" s="98">
        <f>N70</f>
        <v>1</v>
      </c>
      <c r="P70" s="95">
        <f>ROUND(O70*F70,2)</f>
        <v>140797.35999999999</v>
      </c>
      <c r="Q70" s="82"/>
      <c r="R70" s="41">
        <f t="shared" si="0"/>
        <v>0</v>
      </c>
      <c r="S70" s="41">
        <f t="shared" si="1"/>
        <v>0</v>
      </c>
    </row>
    <row r="71" spans="2:19" s="83" customFormat="1" ht="30" customHeight="1">
      <c r="B71" s="75"/>
      <c r="C71" s="86">
        <v>4.7</v>
      </c>
      <c r="D71" s="87" t="s">
        <v>33</v>
      </c>
      <c r="E71" s="231" t="s">
        <v>167</v>
      </c>
      <c r="F71" s="232">
        <f>ROUND(35818.47*1.02,2)</f>
        <v>36534.839999999997</v>
      </c>
      <c r="G71" s="86" t="s">
        <v>286</v>
      </c>
      <c r="H71" s="85"/>
      <c r="I71" s="79">
        <v>2.4500000000000002</v>
      </c>
      <c r="J71" s="79">
        <v>1.85</v>
      </c>
      <c r="K71" s="79">
        <f>I71*J71</f>
        <v>4.5325000000000006</v>
      </c>
      <c r="L71" s="79"/>
      <c r="M71" s="79"/>
      <c r="N71" s="79">
        <v>1</v>
      </c>
      <c r="O71" s="79">
        <f>ROUND(N71*K71,2)</f>
        <v>4.53</v>
      </c>
      <c r="P71" s="96"/>
      <c r="Q71" s="82"/>
      <c r="R71" s="41">
        <f t="shared" si="0"/>
        <v>0</v>
      </c>
      <c r="S71" s="41">
        <f t="shared" si="1"/>
        <v>0</v>
      </c>
    </row>
    <row r="72" spans="2:19" s="83" customFormat="1" ht="30" customHeight="1">
      <c r="B72" s="75"/>
      <c r="C72" s="86"/>
      <c r="D72" s="87"/>
      <c r="E72" s="86"/>
      <c r="F72" s="88"/>
      <c r="G72" s="86" t="s">
        <v>286</v>
      </c>
      <c r="H72" s="85"/>
      <c r="I72" s="85">
        <v>3.95</v>
      </c>
      <c r="J72" s="85">
        <v>2.1</v>
      </c>
      <c r="K72" s="85">
        <f>I72*J72</f>
        <v>8.2949999999999999</v>
      </c>
      <c r="L72" s="85"/>
      <c r="M72" s="85"/>
      <c r="N72" s="85">
        <v>1</v>
      </c>
      <c r="O72" s="85">
        <f>ROUND(N72*K72,2)</f>
        <v>8.3000000000000007</v>
      </c>
      <c r="P72" s="94"/>
      <c r="Q72" s="82"/>
      <c r="R72" s="41">
        <f t="shared" si="0"/>
        <v>0</v>
      </c>
      <c r="S72" s="41">
        <f t="shared" si="1"/>
        <v>0</v>
      </c>
    </row>
    <row r="73" spans="2:19" s="83" customFormat="1" ht="30" customHeight="1">
      <c r="B73" s="75"/>
      <c r="C73" s="86"/>
      <c r="D73" s="87"/>
      <c r="E73" s="86"/>
      <c r="F73" s="88"/>
      <c r="G73" s="86" t="s">
        <v>284</v>
      </c>
      <c r="H73" s="85"/>
      <c r="I73" s="85">
        <v>0.8</v>
      </c>
      <c r="J73" s="85">
        <v>2</v>
      </c>
      <c r="K73" s="85">
        <f>I73*J73</f>
        <v>1.6</v>
      </c>
      <c r="L73" s="85"/>
      <c r="M73" s="85"/>
      <c r="N73" s="85">
        <v>-1</v>
      </c>
      <c r="O73" s="85">
        <f>ROUND(N73*K73,2)</f>
        <v>-1.6</v>
      </c>
      <c r="P73" s="246"/>
      <c r="Q73" s="82"/>
      <c r="R73" s="41">
        <f t="shared" si="0"/>
        <v>0</v>
      </c>
      <c r="S73" s="41">
        <f t="shared" si="1"/>
        <v>0</v>
      </c>
    </row>
    <row r="74" spans="2:19" s="83" customFormat="1" ht="30" customHeight="1">
      <c r="B74" s="75"/>
      <c r="C74" s="86"/>
      <c r="D74" s="87"/>
      <c r="E74" s="86"/>
      <c r="F74" s="88"/>
      <c r="G74" s="84"/>
      <c r="H74" s="85"/>
      <c r="I74" s="85">
        <v>1.5</v>
      </c>
      <c r="J74" s="85">
        <v>1</v>
      </c>
      <c r="K74" s="85">
        <f>I74*J74</f>
        <v>1.5</v>
      </c>
      <c r="L74" s="85"/>
      <c r="M74" s="85"/>
      <c r="N74" s="85">
        <v>-1</v>
      </c>
      <c r="O74" s="85">
        <f>ROUND(N74*K74,2)</f>
        <v>-1.5</v>
      </c>
      <c r="P74" s="94"/>
      <c r="Q74" s="82"/>
      <c r="R74" s="41">
        <f t="shared" si="0"/>
        <v>0</v>
      </c>
      <c r="S74" s="41">
        <f t="shared" si="1"/>
        <v>0</v>
      </c>
    </row>
    <row r="75" spans="2:19" s="83" customFormat="1" ht="30" customHeight="1">
      <c r="B75" s="75"/>
      <c r="C75" s="242"/>
      <c r="D75" s="258"/>
      <c r="E75" s="242"/>
      <c r="F75" s="248"/>
      <c r="G75" s="242" t="s">
        <v>291</v>
      </c>
      <c r="H75" s="243"/>
      <c r="I75" s="85">
        <v>1.6</v>
      </c>
      <c r="J75" s="85">
        <v>1.4</v>
      </c>
      <c r="K75" s="85">
        <f>I75*J75</f>
        <v>2.2399999999999998</v>
      </c>
      <c r="L75" s="85"/>
      <c r="M75" s="85"/>
      <c r="N75" s="85">
        <v>1</v>
      </c>
      <c r="O75" s="85">
        <f>ROUND(N75*K75,2)</f>
        <v>2.2400000000000002</v>
      </c>
      <c r="P75" s="266"/>
      <c r="Q75" s="82"/>
      <c r="R75" s="41">
        <f t="shared" si="0"/>
        <v>0</v>
      </c>
      <c r="S75" s="41">
        <f t="shared" si="1"/>
        <v>0</v>
      </c>
    </row>
    <row r="76" spans="2:19" s="83" customFormat="1" ht="30" customHeight="1" thickBot="1">
      <c r="B76" s="75"/>
      <c r="C76" s="90"/>
      <c r="D76" s="91"/>
      <c r="E76" s="90"/>
      <c r="F76" s="92"/>
      <c r="G76" s="67"/>
      <c r="H76" s="93"/>
      <c r="I76" s="93"/>
      <c r="J76" s="93"/>
      <c r="K76" s="93"/>
      <c r="L76" s="93"/>
      <c r="M76" s="93"/>
      <c r="N76" s="93"/>
      <c r="O76" s="73">
        <f>SUM(O71:O75)</f>
        <v>11.970000000000002</v>
      </c>
      <c r="P76" s="74">
        <f>ROUND(O76*F71,2)</f>
        <v>437322.03</v>
      </c>
      <c r="Q76" s="82"/>
      <c r="R76" s="41">
        <f t="shared" si="0"/>
        <v>0</v>
      </c>
      <c r="S76" s="41">
        <f t="shared" si="1"/>
        <v>0</v>
      </c>
    </row>
    <row r="77" spans="2:19" s="83" customFormat="1" ht="30" customHeight="1" thickBot="1">
      <c r="B77" s="75"/>
      <c r="C77" s="68">
        <v>5.2</v>
      </c>
      <c r="D77" s="69" t="s">
        <v>40</v>
      </c>
      <c r="E77" s="68" t="s">
        <v>173</v>
      </c>
      <c r="F77" s="70">
        <f>ROUND(112409.98*1.02,2)</f>
        <v>114658.18</v>
      </c>
      <c r="G77" s="71" t="s">
        <v>287</v>
      </c>
      <c r="H77" s="72"/>
      <c r="I77" s="72"/>
      <c r="J77" s="72"/>
      <c r="K77" s="72"/>
      <c r="L77" s="72"/>
      <c r="M77" s="72"/>
      <c r="N77" s="72">
        <v>1</v>
      </c>
      <c r="O77" s="98">
        <f>N77</f>
        <v>1</v>
      </c>
      <c r="P77" s="95">
        <f>ROUND(O77*F77,2)</f>
        <v>114658.18</v>
      </c>
      <c r="Q77" s="82"/>
      <c r="R77" s="41">
        <f t="shared" si="0"/>
        <v>0</v>
      </c>
      <c r="S77" s="41">
        <f t="shared" si="1"/>
        <v>0</v>
      </c>
    </row>
    <row r="78" spans="2:19" s="83" customFormat="1" ht="30" customHeight="1" thickBot="1">
      <c r="B78" s="75"/>
      <c r="C78" s="68">
        <v>9.3000000000000007</v>
      </c>
      <c r="D78" s="69" t="s">
        <v>67</v>
      </c>
      <c r="E78" s="68" t="s">
        <v>173</v>
      </c>
      <c r="F78" s="70">
        <f>ROUND(99367.51*1.02,2)</f>
        <v>101354.86</v>
      </c>
      <c r="G78" s="71" t="s">
        <v>166</v>
      </c>
      <c r="H78" s="72"/>
      <c r="I78" s="72"/>
      <c r="J78" s="72"/>
      <c r="K78" s="72"/>
      <c r="L78" s="72"/>
      <c r="M78" s="72"/>
      <c r="N78" s="72">
        <v>1</v>
      </c>
      <c r="O78" s="98">
        <f>N78</f>
        <v>1</v>
      </c>
      <c r="P78" s="95">
        <f>ROUND(O78*F78,2)</f>
        <v>101354.86</v>
      </c>
      <c r="Q78" s="82"/>
      <c r="R78" s="41">
        <f t="shared" si="0"/>
        <v>0</v>
      </c>
      <c r="S78" s="41">
        <f t="shared" si="1"/>
        <v>0</v>
      </c>
    </row>
    <row r="79" spans="2:19" s="83" customFormat="1" ht="30" customHeight="1" thickBot="1">
      <c r="B79" s="75"/>
      <c r="C79" s="68">
        <v>9.1999999999999993</v>
      </c>
      <c r="D79" s="69" t="s">
        <v>65</v>
      </c>
      <c r="E79" s="68" t="s">
        <v>173</v>
      </c>
      <c r="F79" s="70">
        <f>ROUND(170016.03*1.02,2)</f>
        <v>173416.35</v>
      </c>
      <c r="G79" s="71" t="s">
        <v>166</v>
      </c>
      <c r="H79" s="72"/>
      <c r="I79" s="72"/>
      <c r="J79" s="72"/>
      <c r="K79" s="72"/>
      <c r="L79" s="72"/>
      <c r="M79" s="72"/>
      <c r="N79" s="72">
        <v>2</v>
      </c>
      <c r="O79" s="233">
        <f>N79</f>
        <v>2</v>
      </c>
      <c r="P79" s="234">
        <f>ROUND(O79*F79,2)</f>
        <v>346832.7</v>
      </c>
      <c r="Q79" s="82"/>
      <c r="R79" s="41">
        <f t="shared" ref="R79:R88" si="9">+O79*100  -  INT(O79*100)</f>
        <v>0</v>
      </c>
      <c r="S79" s="41">
        <f t="shared" ref="S79:S88" si="10">+P81*100  -  INT(P81*100)</f>
        <v>0</v>
      </c>
    </row>
    <row r="80" spans="2:19" s="83" customFormat="1" ht="30" customHeight="1">
      <c r="B80" s="75"/>
      <c r="C80" s="76">
        <v>7.2</v>
      </c>
      <c r="D80" s="77" t="s">
        <v>289</v>
      </c>
      <c r="E80" s="76" t="s">
        <v>167</v>
      </c>
      <c r="F80" s="78">
        <f>ROUND(74483.79*1.02,2)</f>
        <v>75973.47</v>
      </c>
      <c r="G80" s="76"/>
      <c r="H80" s="79"/>
      <c r="I80" s="79"/>
      <c r="J80" s="79"/>
      <c r="K80" s="79"/>
      <c r="L80" s="79"/>
      <c r="M80" s="79"/>
      <c r="N80" s="79"/>
      <c r="O80" s="113"/>
      <c r="P80" s="94"/>
      <c r="Q80" s="82"/>
      <c r="R80" s="41">
        <f t="shared" si="9"/>
        <v>0</v>
      </c>
      <c r="S80" s="41">
        <f t="shared" si="10"/>
        <v>0</v>
      </c>
    </row>
    <row r="81" spans="2:19" s="83" customFormat="1" ht="30" customHeight="1">
      <c r="B81" s="75"/>
      <c r="C81" s="76"/>
      <c r="D81" s="77"/>
      <c r="E81" s="76"/>
      <c r="F81" s="78"/>
      <c r="G81" s="84" t="s">
        <v>291</v>
      </c>
      <c r="H81" s="85">
        <v>1.5</v>
      </c>
      <c r="I81" s="85">
        <v>1.5</v>
      </c>
      <c r="J81" s="85"/>
      <c r="K81" s="85">
        <f>H81*I81</f>
        <v>2.25</v>
      </c>
      <c r="L81" s="85"/>
      <c r="M81" s="85"/>
      <c r="N81" s="85">
        <v>2</v>
      </c>
      <c r="O81" s="85">
        <f>ROUND(K81*N81,2)</f>
        <v>4.5</v>
      </c>
      <c r="P81" s="94"/>
      <c r="Q81" s="82"/>
      <c r="R81" s="41">
        <f t="shared" si="9"/>
        <v>0</v>
      </c>
      <c r="S81" s="41">
        <f t="shared" si="10"/>
        <v>0</v>
      </c>
    </row>
    <row r="82" spans="2:19" s="83" customFormat="1" ht="30" customHeight="1" thickBot="1">
      <c r="B82" s="75"/>
      <c r="C82" s="90"/>
      <c r="D82" s="91"/>
      <c r="E82" s="90"/>
      <c r="F82" s="92"/>
      <c r="G82" s="90"/>
      <c r="H82" s="93"/>
      <c r="I82" s="93"/>
      <c r="J82" s="93"/>
      <c r="K82" s="93"/>
      <c r="L82" s="93"/>
      <c r="M82" s="93"/>
      <c r="N82" s="93"/>
      <c r="O82" s="73">
        <f>ROUND(SUM(O80:O81),2)</f>
        <v>4.5</v>
      </c>
      <c r="P82" s="230">
        <f>ROUND(O82*F80,2)</f>
        <v>341880.62</v>
      </c>
      <c r="Q82" s="82"/>
      <c r="R82" s="41">
        <f t="shared" si="9"/>
        <v>0</v>
      </c>
      <c r="S82" s="41">
        <f t="shared" si="10"/>
        <v>0</v>
      </c>
    </row>
    <row r="83" spans="2:19" s="83" customFormat="1" ht="30" customHeight="1">
      <c r="B83" s="75"/>
      <c r="C83" s="76">
        <v>7.4</v>
      </c>
      <c r="D83" s="77" t="s">
        <v>59</v>
      </c>
      <c r="E83" s="76" t="s">
        <v>272</v>
      </c>
      <c r="F83" s="78">
        <f>ROUND(7423.82*1.02,2)</f>
        <v>7572.3</v>
      </c>
      <c r="G83" s="76"/>
      <c r="H83" s="79"/>
      <c r="I83" s="79"/>
      <c r="J83" s="79"/>
      <c r="K83" s="79"/>
      <c r="L83" s="247"/>
      <c r="M83" s="79"/>
      <c r="N83" s="79"/>
      <c r="O83" s="80"/>
      <c r="P83" s="94"/>
      <c r="Q83" s="82"/>
      <c r="R83" s="41">
        <f t="shared" si="9"/>
        <v>0</v>
      </c>
      <c r="S83" s="41">
        <f t="shared" si="10"/>
        <v>0</v>
      </c>
    </row>
    <row r="84" spans="2:19" s="83" customFormat="1" ht="30" customHeight="1">
      <c r="B84" s="75"/>
      <c r="C84" s="86"/>
      <c r="D84" s="87"/>
      <c r="E84" s="86"/>
      <c r="F84" s="88"/>
      <c r="G84" s="84" t="s">
        <v>291</v>
      </c>
      <c r="H84" s="85"/>
      <c r="I84" s="85"/>
      <c r="J84" s="85"/>
      <c r="K84" s="85"/>
      <c r="L84" s="85"/>
      <c r="M84" s="85"/>
      <c r="N84" s="85"/>
      <c r="O84" s="113"/>
      <c r="P84" s="94"/>
      <c r="Q84" s="82"/>
      <c r="R84" s="41">
        <f t="shared" si="9"/>
        <v>0</v>
      </c>
      <c r="S84" s="41">
        <f t="shared" si="10"/>
        <v>0</v>
      </c>
    </row>
    <row r="85" spans="2:19" s="83" customFormat="1" ht="30" customHeight="1">
      <c r="B85" s="75"/>
      <c r="C85" s="86"/>
      <c r="D85" s="87"/>
      <c r="E85" s="86"/>
      <c r="F85" s="88"/>
      <c r="G85" s="252" t="s">
        <v>258</v>
      </c>
      <c r="H85" s="85">
        <v>1.5</v>
      </c>
      <c r="I85" s="85">
        <v>1.5</v>
      </c>
      <c r="J85" s="85"/>
      <c r="K85" s="85">
        <f>H85*I85</f>
        <v>2.25</v>
      </c>
      <c r="L85" s="85" t="s">
        <v>290</v>
      </c>
      <c r="M85" s="85">
        <v>2.06</v>
      </c>
      <c r="N85" s="85">
        <v>1</v>
      </c>
      <c r="O85" s="113">
        <f>ROUND(K85*M85*N85,2)</f>
        <v>4.6399999999999997</v>
      </c>
      <c r="P85" s="246"/>
      <c r="Q85" s="82"/>
      <c r="R85" s="41">
        <f t="shared" si="9"/>
        <v>0</v>
      </c>
      <c r="S85" s="41">
        <f t="shared" si="10"/>
        <v>0</v>
      </c>
    </row>
    <row r="86" spans="2:19" s="83" customFormat="1" ht="30" customHeight="1" thickBot="1">
      <c r="B86" s="75"/>
      <c r="C86" s="242"/>
      <c r="D86" s="258"/>
      <c r="E86" s="242"/>
      <c r="F86" s="92"/>
      <c r="G86" s="67"/>
      <c r="H86" s="93"/>
      <c r="I86" s="93"/>
      <c r="J86" s="93"/>
      <c r="K86" s="93"/>
      <c r="L86" s="93"/>
      <c r="M86" s="93"/>
      <c r="N86" s="93"/>
      <c r="O86" s="73">
        <f>ROUND(SUM(O83:O85),2)</f>
        <v>4.6399999999999997</v>
      </c>
      <c r="P86" s="74">
        <f>ROUND(O86*F83,2)</f>
        <v>35135.47</v>
      </c>
      <c r="Q86" s="82"/>
      <c r="R86" s="41">
        <f t="shared" si="9"/>
        <v>0</v>
      </c>
      <c r="S86" s="41">
        <f t="shared" si="10"/>
        <v>0</v>
      </c>
    </row>
    <row r="87" spans="2:19" s="83" customFormat="1" ht="30" customHeight="1" thickBot="1">
      <c r="B87" s="75"/>
      <c r="C87" s="90">
        <v>4.4000000000000004</v>
      </c>
      <c r="D87" s="91" t="s">
        <v>30</v>
      </c>
      <c r="E87" s="90" t="s">
        <v>167</v>
      </c>
      <c r="F87" s="237">
        <f>ROUND(81109.52*1.02,2)</f>
        <v>82731.710000000006</v>
      </c>
      <c r="G87" s="235" t="s">
        <v>292</v>
      </c>
      <c r="H87" s="239">
        <v>1.6</v>
      </c>
      <c r="I87" s="239">
        <v>0.6</v>
      </c>
      <c r="J87" s="239"/>
      <c r="K87" s="239">
        <f>H87*I87</f>
        <v>0.96</v>
      </c>
      <c r="L87" s="239"/>
      <c r="M87" s="239"/>
      <c r="N87" s="239">
        <v>1</v>
      </c>
      <c r="O87" s="241">
        <f>ROUND(K87*N87,2)</f>
        <v>0.96</v>
      </c>
      <c r="P87" s="240">
        <f>ROUND(O87*F87,2)</f>
        <v>79422.44</v>
      </c>
      <c r="Q87" s="82"/>
      <c r="R87" s="41">
        <f t="shared" si="9"/>
        <v>0</v>
      </c>
      <c r="S87" s="41">
        <f t="shared" si="10"/>
        <v>0</v>
      </c>
    </row>
    <row r="88" spans="2:19" s="83" customFormat="1" ht="30" customHeight="1" thickBot="1">
      <c r="B88" s="75"/>
      <c r="C88" s="68">
        <v>11.6</v>
      </c>
      <c r="D88" s="69" t="s">
        <v>294</v>
      </c>
      <c r="E88" s="68" t="s">
        <v>167</v>
      </c>
      <c r="F88" s="70">
        <f>ROUND(163002.5*1.02,2)</f>
        <v>166262.54999999999</v>
      </c>
      <c r="G88" s="68" t="s">
        <v>292</v>
      </c>
      <c r="H88" s="72">
        <v>1.6</v>
      </c>
      <c r="I88" s="72">
        <v>0.6</v>
      </c>
      <c r="J88" s="72"/>
      <c r="K88" s="72">
        <f>H88*I88</f>
        <v>0.96</v>
      </c>
      <c r="L88" s="72"/>
      <c r="M88" s="72"/>
      <c r="N88" s="72">
        <v>1</v>
      </c>
      <c r="O88" s="98">
        <f>ROUND(K88*N88,2)</f>
        <v>0.96</v>
      </c>
      <c r="P88" s="95">
        <f>ROUND(O88*F88,2)</f>
        <v>159612.04999999999</v>
      </c>
      <c r="Q88" s="82"/>
      <c r="R88" s="41">
        <f t="shared" si="9"/>
        <v>0</v>
      </c>
      <c r="S88" s="41">
        <f t="shared" si="10"/>
        <v>0</v>
      </c>
    </row>
    <row r="89" spans="2:19" s="83" customFormat="1" ht="30" customHeight="1" thickBot="1">
      <c r="B89" s="75"/>
      <c r="C89" s="235">
        <v>2.6</v>
      </c>
      <c r="D89" s="236" t="s">
        <v>296</v>
      </c>
      <c r="E89" s="235" t="s">
        <v>173</v>
      </c>
      <c r="F89" s="237">
        <f>ROUND(662168.46*1.02,2)</f>
        <v>675411.83</v>
      </c>
      <c r="G89" s="238"/>
      <c r="H89" s="239"/>
      <c r="I89" s="239"/>
      <c r="J89" s="239"/>
      <c r="K89" s="239"/>
      <c r="L89" s="239"/>
      <c r="M89" s="239"/>
      <c r="N89" s="239">
        <v>1</v>
      </c>
      <c r="O89" s="241">
        <f>N89</f>
        <v>1</v>
      </c>
      <c r="P89" s="240">
        <f>ROUND(O89*F89,2)</f>
        <v>675411.83</v>
      </c>
      <c r="Q89" s="82"/>
      <c r="R89" s="41">
        <f t="shared" ref="R89:R90" si="11">+O89*100  -  INT(O89*100)</f>
        <v>0</v>
      </c>
      <c r="S89" s="41">
        <f t="shared" ref="S89:S90" si="12">+P91*100  -  INT(P91*100)</f>
        <v>0</v>
      </c>
    </row>
    <row r="90" spans="2:19" s="104" customFormat="1" ht="30" customHeight="1">
      <c r="B90" s="100"/>
      <c r="C90" s="577" t="s">
        <v>174</v>
      </c>
      <c r="D90" s="577"/>
      <c r="E90" s="577"/>
      <c r="F90" s="577"/>
      <c r="G90" s="577"/>
      <c r="H90" s="577"/>
      <c r="I90" s="577"/>
      <c r="J90" s="577"/>
      <c r="K90" s="577"/>
      <c r="L90" s="577"/>
      <c r="M90" s="577"/>
      <c r="N90" s="577"/>
      <c r="O90" s="577"/>
      <c r="P90" s="99">
        <f>ROUND(SUM(P16:P89)*1.3,0)</f>
        <v>13996553</v>
      </c>
      <c r="Q90" s="103"/>
      <c r="R90" s="41">
        <f t="shared" si="11"/>
        <v>0</v>
      </c>
      <c r="S90" s="41">
        <f t="shared" si="12"/>
        <v>0</v>
      </c>
    </row>
    <row r="91" spans="2:19" s="104" customFormat="1" ht="8.4" customHeight="1">
      <c r="B91" s="100"/>
      <c r="C91" s="101"/>
      <c r="D91" s="101"/>
      <c r="E91" s="101"/>
      <c r="F91" s="101"/>
      <c r="G91" s="101"/>
      <c r="H91" s="101"/>
      <c r="I91" s="101"/>
      <c r="J91" s="101"/>
      <c r="K91" s="101"/>
      <c r="L91" s="101"/>
      <c r="M91" s="101"/>
      <c r="N91" s="101"/>
      <c r="O91" s="101"/>
      <c r="P91" s="102"/>
      <c r="Q91" s="103"/>
      <c r="R91" s="41"/>
      <c r="S91" s="41"/>
    </row>
    <row r="92" spans="2:19" ht="5.4" customHeight="1" thickBot="1">
      <c r="B92" s="60"/>
      <c r="Q92" s="61"/>
    </row>
    <row r="93" spans="2:19" ht="16.2" thickTop="1">
      <c r="B93" s="60"/>
      <c r="C93" s="578" t="s">
        <v>148</v>
      </c>
      <c r="D93" s="579"/>
      <c r="E93" s="579"/>
      <c r="F93" s="579"/>
      <c r="G93" s="580"/>
      <c r="I93" s="578" t="s">
        <v>146</v>
      </c>
      <c r="J93" s="579"/>
      <c r="K93" s="579"/>
      <c r="L93" s="579"/>
      <c r="M93" s="579"/>
      <c r="N93" s="579"/>
      <c r="O93" s="579"/>
      <c r="P93" s="580"/>
      <c r="Q93" s="61"/>
    </row>
    <row r="94" spans="2:19">
      <c r="B94" s="60"/>
      <c r="C94" s="105" t="s">
        <v>92</v>
      </c>
      <c r="D94" s="581" t="s">
        <v>149</v>
      </c>
      <c r="E94" s="581"/>
      <c r="F94" s="581"/>
      <c r="G94" s="582"/>
      <c r="I94" s="583" t="s">
        <v>92</v>
      </c>
      <c r="J94" s="584"/>
      <c r="K94" s="581"/>
      <c r="L94" s="581"/>
      <c r="M94" s="581"/>
      <c r="N94" s="581"/>
      <c r="O94" s="581"/>
      <c r="P94" s="582"/>
      <c r="Q94" s="61"/>
    </row>
    <row r="95" spans="2:19" ht="45" customHeight="1">
      <c r="B95" s="60"/>
      <c r="C95" s="106" t="s">
        <v>175</v>
      </c>
      <c r="D95" s="568"/>
      <c r="E95" s="568"/>
      <c r="F95" s="568"/>
      <c r="G95" s="569"/>
      <c r="I95" s="570" t="s">
        <v>175</v>
      </c>
      <c r="J95" s="571"/>
      <c r="K95" s="572"/>
      <c r="L95" s="572"/>
      <c r="M95" s="572"/>
      <c r="N95" s="572"/>
      <c r="O95" s="572"/>
      <c r="P95" s="573"/>
      <c r="Q95" s="61"/>
    </row>
    <row r="96" spans="2:19" ht="16.2" thickBot="1">
      <c r="B96" s="60"/>
      <c r="C96" s="107"/>
      <c r="D96" s="108"/>
      <c r="E96" s="108"/>
      <c r="F96" s="108"/>
      <c r="G96" s="109"/>
      <c r="I96" s="107"/>
      <c r="J96" s="108"/>
      <c r="K96" s="108"/>
      <c r="L96" s="108"/>
      <c r="M96" s="108"/>
      <c r="N96" s="110"/>
      <c r="O96" s="110"/>
      <c r="P96" s="111"/>
      <c r="Q96" s="61"/>
    </row>
    <row r="97" spans="2:17" ht="6.9" customHeight="1" thickTop="1" thickBot="1">
      <c r="B97" s="112"/>
      <c r="C97" s="108"/>
      <c r="D97" s="108"/>
      <c r="E97" s="108"/>
      <c r="F97" s="108"/>
      <c r="G97" s="108"/>
      <c r="H97" s="108"/>
      <c r="I97" s="108"/>
      <c r="J97" s="108"/>
      <c r="K97" s="108"/>
      <c r="L97" s="108"/>
      <c r="M97" s="108"/>
      <c r="N97" s="110"/>
      <c r="O97" s="110"/>
      <c r="P97" s="110"/>
      <c r="Q97" s="111"/>
    </row>
    <row r="98" spans="2:17" ht="16.2" thickTop="1"/>
    <row r="1048407" spans="15:15">
      <c r="O1048407" s="80"/>
    </row>
  </sheetData>
  <mergeCells count="33">
    <mergeCell ref="D95:G95"/>
    <mergeCell ref="I95:J95"/>
    <mergeCell ref="K95:P95"/>
    <mergeCell ref="C93:G93"/>
    <mergeCell ref="I93:P93"/>
    <mergeCell ref="D94:G94"/>
    <mergeCell ref="I94:J94"/>
    <mergeCell ref="K94:P94"/>
    <mergeCell ref="C11:G11"/>
    <mergeCell ref="H11:P11"/>
    <mergeCell ref="C90:O90"/>
    <mergeCell ref="C9:D9"/>
    <mergeCell ref="E9:K9"/>
    <mergeCell ref="L9:M9"/>
    <mergeCell ref="N9:P9"/>
    <mergeCell ref="C10:G10"/>
    <mergeCell ref="H10:P10"/>
    <mergeCell ref="C6:D6"/>
    <mergeCell ref="E6:K6"/>
    <mergeCell ref="L6:M6"/>
    <mergeCell ref="N6:P6"/>
    <mergeCell ref="C7:D8"/>
    <mergeCell ref="E7:K8"/>
    <mergeCell ref="L7:M8"/>
    <mergeCell ref="N7:P8"/>
    <mergeCell ref="C3:N3"/>
    <mergeCell ref="O3:O4"/>
    <mergeCell ref="P3:P4"/>
    <mergeCell ref="C4:N4"/>
    <mergeCell ref="C5:D5"/>
    <mergeCell ref="E5:K5"/>
    <mergeCell ref="L5:M5"/>
    <mergeCell ref="N5:P5"/>
  </mergeCells>
  <conditionalFormatting sqref="R91:S91">
    <cfRule type="expression" dxfId="8" priority="1">
      <formula>R91&gt;0</formula>
    </cfRule>
  </conditionalFormatting>
  <pageMargins left="0.7" right="0.7" top="0.75" bottom="0.75" header="0.3" footer="0.3"/>
  <pageSetup scale="47"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3" id="{C8173D74-0381-4DCC-A945-1DB9F79520EC}">
            <xm:f>'C:\Users\HP PAVILION\Desktop\MEJORAMIENTOS DE VIVIENEDA_ COMBITA_SAMC-004_2026\[SÁBANA_GENERAL_25.08.26.xlsx]02_USU_ARS_M1 '!#REF!&gt;0</xm:f>
            <x14:dxf>
              <fill>
                <patternFill>
                  <bgColor rgb="FFFF0000"/>
                </patternFill>
              </fill>
            </x14:dxf>
          </x14:cfRule>
          <xm:sqref>R14:S90</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50"/>
  </sheetPr>
  <dimension ref="B1:S1048363"/>
  <sheetViews>
    <sheetView zoomScale="60" zoomScaleNormal="60" workbookViewId="0">
      <selection activeCell="C4" sqref="C4:N4"/>
    </sheetView>
  </sheetViews>
  <sheetFormatPr baseColWidth="10" defaultColWidth="11.44140625" defaultRowHeight="15.6"/>
  <cols>
    <col min="1" max="1" width="11.44140625" style="54"/>
    <col min="2" max="2" width="1.109375" style="54" customWidth="1"/>
    <col min="3" max="3" width="12.6640625" style="55" customWidth="1"/>
    <col min="4" max="4" width="50.6640625" style="55" customWidth="1"/>
    <col min="5" max="5" width="6.33203125" style="55" customWidth="1"/>
    <col min="6" max="6" width="17.33203125" style="55" customWidth="1"/>
    <col min="7" max="7" width="25.6640625" style="55" customWidth="1"/>
    <col min="8" max="10" width="8.6640625" style="55" customWidth="1"/>
    <col min="11" max="11" width="11.44140625" style="55" customWidth="1"/>
    <col min="12" max="13" width="7.6640625" style="55" customWidth="1"/>
    <col min="14" max="14" width="7.6640625" style="54" customWidth="1"/>
    <col min="15" max="15" width="30.6640625" style="54" customWidth="1"/>
    <col min="16" max="16" width="25.44140625" style="54" customWidth="1"/>
    <col min="17" max="17" width="1.109375" style="54" customWidth="1"/>
    <col min="18" max="18" width="10.6640625" style="54" customWidth="1"/>
    <col min="19" max="19" width="11.44140625" style="54"/>
    <col min="20" max="20" width="11.44140625" style="54" customWidth="1"/>
    <col min="21" max="21" width="15.109375" style="54" bestFit="1" customWidth="1"/>
    <col min="22" max="16384" width="11.44140625" style="54"/>
  </cols>
  <sheetData>
    <row r="1" spans="2:19" ht="16.2" thickBot="1"/>
    <row r="2" spans="2:19" ht="6.9" customHeight="1" thickTop="1" thickBot="1">
      <c r="B2" s="56"/>
      <c r="C2" s="57"/>
      <c r="D2" s="57"/>
      <c r="E2" s="57"/>
      <c r="F2" s="57"/>
      <c r="G2" s="57"/>
      <c r="H2" s="57"/>
      <c r="I2" s="57"/>
      <c r="J2" s="57"/>
      <c r="K2" s="57"/>
      <c r="L2" s="57"/>
      <c r="M2" s="57"/>
      <c r="N2" s="58"/>
      <c r="O2" s="58"/>
      <c r="P2" s="58"/>
      <c r="Q2" s="59"/>
    </row>
    <row r="3" spans="2:19" ht="30" customHeight="1" thickBot="1">
      <c r="B3" s="60"/>
      <c r="C3" s="603" t="s">
        <v>145</v>
      </c>
      <c r="D3" s="604"/>
      <c r="E3" s="604"/>
      <c r="F3" s="604"/>
      <c r="G3" s="604"/>
      <c r="H3" s="604"/>
      <c r="I3" s="604"/>
      <c r="J3" s="604"/>
      <c r="K3" s="604"/>
      <c r="L3" s="604"/>
      <c r="M3" s="604"/>
      <c r="N3" s="605"/>
      <c r="O3" s="606"/>
      <c r="P3" s="608"/>
      <c r="Q3" s="61"/>
    </row>
    <row r="4" spans="2:19" ht="20.100000000000001" customHeight="1" thickBot="1">
      <c r="B4" s="60"/>
      <c r="C4" s="603"/>
      <c r="D4" s="604"/>
      <c r="E4" s="604"/>
      <c r="F4" s="604"/>
      <c r="G4" s="604"/>
      <c r="H4" s="604"/>
      <c r="I4" s="604"/>
      <c r="J4" s="604"/>
      <c r="K4" s="604"/>
      <c r="L4" s="604"/>
      <c r="M4" s="604"/>
      <c r="N4" s="605"/>
      <c r="O4" s="607"/>
      <c r="P4" s="609"/>
      <c r="Q4" s="61"/>
    </row>
    <row r="5" spans="2:19">
      <c r="B5" s="60"/>
      <c r="C5" s="593" t="s">
        <v>146</v>
      </c>
      <c r="D5" s="594"/>
      <c r="E5" s="595"/>
      <c r="F5" s="595"/>
      <c r="G5" s="595"/>
      <c r="H5" s="595"/>
      <c r="I5" s="595"/>
      <c r="J5" s="595"/>
      <c r="K5" s="595"/>
      <c r="L5" s="594" t="s">
        <v>147</v>
      </c>
      <c r="M5" s="594"/>
      <c r="N5" s="595"/>
      <c r="O5" s="595"/>
      <c r="P5" s="610"/>
      <c r="Q5" s="61"/>
    </row>
    <row r="6" spans="2:19">
      <c r="B6" s="60"/>
      <c r="C6" s="593" t="s">
        <v>148</v>
      </c>
      <c r="D6" s="594"/>
      <c r="E6" s="595" t="s">
        <v>149</v>
      </c>
      <c r="F6" s="595"/>
      <c r="G6" s="595"/>
      <c r="H6" s="595"/>
      <c r="I6" s="595"/>
      <c r="J6" s="595"/>
      <c r="K6" s="595"/>
      <c r="L6" s="594" t="s">
        <v>150</v>
      </c>
      <c r="M6" s="594"/>
      <c r="N6" s="596"/>
      <c r="O6" s="596"/>
      <c r="P6" s="597"/>
      <c r="Q6" s="61"/>
    </row>
    <row r="7" spans="2:19" ht="15" customHeight="1">
      <c r="B7" s="60"/>
      <c r="C7" s="598" t="s">
        <v>88</v>
      </c>
      <c r="D7" s="599"/>
      <c r="E7" s="600"/>
      <c r="F7" s="600"/>
      <c r="G7" s="600"/>
      <c r="H7" s="600"/>
      <c r="I7" s="600"/>
      <c r="J7" s="600"/>
      <c r="K7" s="600"/>
      <c r="L7" s="601" t="s">
        <v>86</v>
      </c>
      <c r="M7" s="601"/>
      <c r="N7" s="600"/>
      <c r="O7" s="600"/>
      <c r="P7" s="602"/>
      <c r="Q7" s="61"/>
    </row>
    <row r="8" spans="2:19">
      <c r="B8" s="60"/>
      <c r="C8" s="598"/>
      <c r="D8" s="599"/>
      <c r="E8" s="600"/>
      <c r="F8" s="600"/>
      <c r="G8" s="600"/>
      <c r="H8" s="600"/>
      <c r="I8" s="600"/>
      <c r="J8" s="600"/>
      <c r="K8" s="600"/>
      <c r="L8" s="601"/>
      <c r="M8" s="601"/>
      <c r="N8" s="600"/>
      <c r="O8" s="600"/>
      <c r="P8" s="602"/>
      <c r="Q8" s="62"/>
      <c r="R8" s="63"/>
    </row>
    <row r="9" spans="2:19" s="66" customFormat="1" ht="34.5" customHeight="1" thickBot="1">
      <c r="B9" s="64"/>
      <c r="C9" s="585" t="s">
        <v>176</v>
      </c>
      <c r="D9" s="586"/>
      <c r="E9" s="587" t="s">
        <v>297</v>
      </c>
      <c r="F9" s="587"/>
      <c r="G9" s="587"/>
      <c r="H9" s="587"/>
      <c r="I9" s="587"/>
      <c r="J9" s="587"/>
      <c r="K9" s="587"/>
      <c r="L9" s="588" t="s">
        <v>151</v>
      </c>
      <c r="M9" s="588"/>
      <c r="N9" s="587"/>
      <c r="O9" s="587"/>
      <c r="P9" s="589"/>
      <c r="Q9" s="65"/>
    </row>
    <row r="10" spans="2:19" s="66" customFormat="1" ht="20.100000000000001" customHeight="1" thickBot="1">
      <c r="B10" s="64"/>
      <c r="C10" s="590"/>
      <c r="D10" s="591"/>
      <c r="E10" s="591"/>
      <c r="F10" s="591"/>
      <c r="G10" s="591"/>
      <c r="H10" s="591" t="s">
        <v>152</v>
      </c>
      <c r="I10" s="591"/>
      <c r="J10" s="591"/>
      <c r="K10" s="591"/>
      <c r="L10" s="591"/>
      <c r="M10" s="591"/>
      <c r="N10" s="591"/>
      <c r="O10" s="591"/>
      <c r="P10" s="592"/>
      <c r="Q10" s="65"/>
    </row>
    <row r="11" spans="2:19" ht="394.5" customHeight="1" thickTop="1" thickBot="1">
      <c r="B11" s="60"/>
      <c r="C11" s="574"/>
      <c r="D11" s="575"/>
      <c r="E11" s="575"/>
      <c r="F11" s="575"/>
      <c r="G11" s="576"/>
      <c r="H11" s="574" t="s">
        <v>153</v>
      </c>
      <c r="I11" s="575"/>
      <c r="J11" s="575"/>
      <c r="K11" s="575"/>
      <c r="L11" s="575"/>
      <c r="M11" s="575"/>
      <c r="N11" s="575"/>
      <c r="O11" s="575"/>
      <c r="P11" s="576"/>
      <c r="Q11" s="61"/>
    </row>
    <row r="12" spans="2:19" ht="20.100000000000001" customHeight="1" thickTop="1">
      <c r="B12" s="60"/>
      <c r="C12" s="54"/>
      <c r="Q12" s="61"/>
    </row>
    <row r="13" spans="2:19" ht="46.8">
      <c r="B13" s="60"/>
      <c r="C13" s="89" t="s">
        <v>154</v>
      </c>
      <c r="D13" s="89" t="s">
        <v>155</v>
      </c>
      <c r="E13" s="84" t="s">
        <v>41</v>
      </c>
      <c r="F13" s="84" t="s">
        <v>156</v>
      </c>
      <c r="G13" s="89" t="s">
        <v>157</v>
      </c>
      <c r="H13" s="89" t="s">
        <v>158</v>
      </c>
      <c r="I13" s="89" t="s">
        <v>159</v>
      </c>
      <c r="J13" s="89" t="s">
        <v>160</v>
      </c>
      <c r="K13" s="89" t="s">
        <v>161</v>
      </c>
      <c r="L13" s="89" t="s">
        <v>162</v>
      </c>
      <c r="M13" s="89" t="s">
        <v>163</v>
      </c>
      <c r="N13" s="89" t="s">
        <v>164</v>
      </c>
      <c r="O13" s="89" t="s">
        <v>90</v>
      </c>
      <c r="P13" s="89" t="s">
        <v>93</v>
      </c>
      <c r="Q13" s="61"/>
    </row>
    <row r="14" spans="2:19" ht="30" customHeight="1">
      <c r="B14" s="60"/>
      <c r="C14" s="86">
        <v>10.6</v>
      </c>
      <c r="D14" s="87" t="s">
        <v>76</v>
      </c>
      <c r="E14" s="76" t="s">
        <v>167</v>
      </c>
      <c r="F14" s="78">
        <f>ROUND(78024.98*1.02,2)</f>
        <v>79585.48</v>
      </c>
      <c r="G14" s="84" t="s">
        <v>166</v>
      </c>
      <c r="H14" s="86">
        <v>5.5</v>
      </c>
      <c r="I14" s="86">
        <v>3.65</v>
      </c>
      <c r="J14" s="86"/>
      <c r="K14" s="85">
        <f>H14*I14</f>
        <v>20.074999999999999</v>
      </c>
      <c r="L14" s="86"/>
      <c r="M14" s="86"/>
      <c r="N14" s="85">
        <v>1</v>
      </c>
      <c r="O14" s="113">
        <f>ROUND(K14*N14,2)</f>
        <v>20.079999999999998</v>
      </c>
      <c r="P14" s="114"/>
      <c r="Q14" s="61"/>
      <c r="R14" s="41">
        <f>+O14*100  -  INT(O14*100)</f>
        <v>0</v>
      </c>
      <c r="S14" s="41">
        <f>+P18*100  -  INT(P18*100)</f>
        <v>0</v>
      </c>
    </row>
    <row r="15" spans="2:19" ht="30" customHeight="1">
      <c r="B15" s="60"/>
      <c r="C15" s="242"/>
      <c r="D15" s="258"/>
      <c r="E15" s="227"/>
      <c r="F15" s="228"/>
      <c r="G15" s="84" t="s">
        <v>166</v>
      </c>
      <c r="H15" s="86">
        <v>2</v>
      </c>
      <c r="I15" s="86">
        <v>8.1</v>
      </c>
      <c r="J15" s="86"/>
      <c r="K15" s="85">
        <f>H15*I15</f>
        <v>16.2</v>
      </c>
      <c r="L15" s="86"/>
      <c r="M15" s="86"/>
      <c r="N15" s="85">
        <v>1</v>
      </c>
      <c r="O15" s="113">
        <f>ROUND(K15*N15,2)</f>
        <v>16.2</v>
      </c>
      <c r="P15" s="268"/>
      <c r="Q15" s="61"/>
      <c r="R15" s="41">
        <f t="shared" ref="R15:R44" si="0">+O15*100  -  INT(O15*100)</f>
        <v>0</v>
      </c>
      <c r="S15" s="41">
        <f t="shared" ref="S15:S40" si="1">+P19*100  -  INT(P19*100)</f>
        <v>0</v>
      </c>
    </row>
    <row r="16" spans="2:19" ht="30" customHeight="1">
      <c r="B16" s="60"/>
      <c r="C16" s="242"/>
      <c r="D16" s="258"/>
      <c r="E16" s="227"/>
      <c r="F16" s="228"/>
      <c r="G16" s="89" t="s">
        <v>298</v>
      </c>
      <c r="H16" s="86">
        <v>2.5299999999999998</v>
      </c>
      <c r="I16" s="86">
        <v>6</v>
      </c>
      <c r="J16" s="86"/>
      <c r="K16" s="85">
        <f>H16*I16</f>
        <v>15.18</v>
      </c>
      <c r="L16" s="86"/>
      <c r="M16" s="86"/>
      <c r="N16" s="85">
        <v>1</v>
      </c>
      <c r="O16" s="113">
        <f>ROUND(K16*N16,2)</f>
        <v>15.18</v>
      </c>
      <c r="P16" s="268"/>
      <c r="Q16" s="61"/>
      <c r="R16" s="41">
        <f t="shared" si="0"/>
        <v>0</v>
      </c>
      <c r="S16" s="41">
        <f t="shared" si="1"/>
        <v>0</v>
      </c>
    </row>
    <row r="17" spans="2:19" ht="30" customHeight="1">
      <c r="B17" s="60"/>
      <c r="C17" s="242"/>
      <c r="D17" s="258"/>
      <c r="E17" s="227"/>
      <c r="F17" s="228"/>
      <c r="G17" s="89" t="s">
        <v>299</v>
      </c>
      <c r="H17" s="86">
        <v>2.1</v>
      </c>
      <c r="I17" s="86">
        <v>2.8</v>
      </c>
      <c r="J17" s="86"/>
      <c r="K17" s="85">
        <f>H17*I17</f>
        <v>5.88</v>
      </c>
      <c r="L17" s="86"/>
      <c r="M17" s="86"/>
      <c r="N17" s="85">
        <v>1</v>
      </c>
      <c r="O17" s="113">
        <f>ROUND(K17*N17,2)</f>
        <v>5.88</v>
      </c>
      <c r="P17" s="268"/>
      <c r="Q17" s="61"/>
      <c r="R17" s="41">
        <f t="shared" si="0"/>
        <v>0</v>
      </c>
      <c r="S17" s="41">
        <f t="shared" si="1"/>
        <v>0</v>
      </c>
    </row>
    <row r="18" spans="2:19" ht="30" customHeight="1" thickBot="1">
      <c r="B18" s="60"/>
      <c r="C18" s="90"/>
      <c r="D18" s="91"/>
      <c r="E18" s="90"/>
      <c r="F18" s="92"/>
      <c r="G18" s="67"/>
      <c r="H18" s="90"/>
      <c r="I18" s="90"/>
      <c r="J18" s="90"/>
      <c r="K18" s="93"/>
      <c r="L18" s="90"/>
      <c r="M18" s="90"/>
      <c r="N18" s="93"/>
      <c r="O18" s="73">
        <f>ROUND(SUM(O14:O17),2)</f>
        <v>57.34</v>
      </c>
      <c r="P18" s="74">
        <f>ROUND(O18*F14,2)</f>
        <v>4563431.42</v>
      </c>
      <c r="Q18" s="61"/>
      <c r="R18" s="41">
        <f t="shared" si="0"/>
        <v>0</v>
      </c>
      <c r="S18" s="41">
        <f t="shared" si="1"/>
        <v>0</v>
      </c>
    </row>
    <row r="19" spans="2:19" s="83" customFormat="1" ht="30" customHeight="1">
      <c r="B19" s="75"/>
      <c r="C19" s="76">
        <v>4.1100000000000003</v>
      </c>
      <c r="D19" s="77" t="s">
        <v>35</v>
      </c>
      <c r="E19" s="76" t="s">
        <v>167</v>
      </c>
      <c r="F19" s="78">
        <f>ROUND(9941.61*1.02,2)</f>
        <v>10140.44</v>
      </c>
      <c r="G19" s="84" t="s">
        <v>166</v>
      </c>
      <c r="H19" s="79"/>
      <c r="I19" s="79"/>
      <c r="J19" s="79"/>
      <c r="K19" s="79"/>
      <c r="L19" s="79"/>
      <c r="M19" s="79"/>
      <c r="N19" s="79"/>
      <c r="O19" s="79"/>
      <c r="P19" s="81"/>
      <c r="Q19" s="82"/>
      <c r="R19" s="41">
        <f t="shared" si="0"/>
        <v>0</v>
      </c>
      <c r="S19" s="41">
        <f t="shared" si="1"/>
        <v>0</v>
      </c>
    </row>
    <row r="20" spans="2:19" s="83" customFormat="1" ht="30" customHeight="1">
      <c r="B20" s="75"/>
      <c r="C20" s="76"/>
      <c r="D20" s="77"/>
      <c r="E20" s="76"/>
      <c r="F20" s="78"/>
      <c r="G20" s="250" t="s">
        <v>258</v>
      </c>
      <c r="H20" s="85">
        <v>3.55</v>
      </c>
      <c r="I20" s="85">
        <v>5.56</v>
      </c>
      <c r="J20" s="85">
        <v>2.5</v>
      </c>
      <c r="K20" s="85">
        <f>H20*2*J20+2*I20*J20</f>
        <v>45.55</v>
      </c>
      <c r="L20" s="85"/>
      <c r="M20" s="85"/>
      <c r="N20" s="85">
        <v>1</v>
      </c>
      <c r="O20" s="79">
        <f t="shared" ref="O20:O23" si="2">ROUND(K20*N20,2)</f>
        <v>45.55</v>
      </c>
      <c r="P20" s="81"/>
      <c r="Q20" s="82"/>
      <c r="R20" s="41">
        <f t="shared" si="0"/>
        <v>0</v>
      </c>
      <c r="S20" s="41">
        <f t="shared" si="1"/>
        <v>0</v>
      </c>
    </row>
    <row r="21" spans="2:19" s="83" customFormat="1" ht="30" customHeight="1">
      <c r="B21" s="75"/>
      <c r="C21" s="76"/>
      <c r="D21" s="77"/>
      <c r="E21" s="76"/>
      <c r="F21" s="78"/>
      <c r="G21" s="251" t="s">
        <v>259</v>
      </c>
      <c r="H21" s="85"/>
      <c r="I21" s="85">
        <v>0.85</v>
      </c>
      <c r="J21" s="85">
        <v>2.5</v>
      </c>
      <c r="K21" s="85">
        <f>I21*J21</f>
        <v>2.125</v>
      </c>
      <c r="L21" s="85"/>
      <c r="M21" s="85"/>
      <c r="N21" s="85">
        <v>-1</v>
      </c>
      <c r="O21" s="79">
        <f t="shared" si="2"/>
        <v>-2.13</v>
      </c>
      <c r="P21" s="81"/>
      <c r="Q21" s="82"/>
      <c r="R21" s="41">
        <f t="shared" si="0"/>
        <v>0</v>
      </c>
      <c r="S21" s="41">
        <f t="shared" si="1"/>
        <v>0</v>
      </c>
    </row>
    <row r="22" spans="2:19" s="83" customFormat="1" ht="30" customHeight="1">
      <c r="B22" s="75"/>
      <c r="C22" s="76"/>
      <c r="D22" s="77"/>
      <c r="E22" s="76"/>
      <c r="F22" s="88"/>
      <c r="G22" s="86" t="s">
        <v>260</v>
      </c>
      <c r="H22" s="86">
        <v>1.95</v>
      </c>
      <c r="I22" s="86">
        <v>2.5</v>
      </c>
      <c r="J22" s="86"/>
      <c r="K22" s="85">
        <f>H22*I22</f>
        <v>4.875</v>
      </c>
      <c r="L22" s="246"/>
      <c r="M22" s="246"/>
      <c r="N22" s="85">
        <v>-1</v>
      </c>
      <c r="O22" s="85">
        <f t="shared" si="2"/>
        <v>-4.88</v>
      </c>
      <c r="P22" s="270"/>
      <c r="Q22" s="82"/>
      <c r="R22" s="41">
        <f t="shared" si="0"/>
        <v>0</v>
      </c>
      <c r="S22" s="41">
        <f t="shared" si="1"/>
        <v>0</v>
      </c>
    </row>
    <row r="23" spans="2:19" s="83" customFormat="1" ht="30" customHeight="1">
      <c r="B23" s="75"/>
      <c r="C23" s="76"/>
      <c r="D23" s="77"/>
      <c r="E23" s="76"/>
      <c r="F23" s="88"/>
      <c r="G23" s="86" t="s">
        <v>260</v>
      </c>
      <c r="H23" s="86">
        <v>1.1000000000000001</v>
      </c>
      <c r="I23" s="86">
        <v>2.5</v>
      </c>
      <c r="J23" s="86"/>
      <c r="K23" s="85">
        <f>H23*I23</f>
        <v>2.75</v>
      </c>
      <c r="L23" s="246"/>
      <c r="M23" s="246"/>
      <c r="N23" s="85">
        <v>-1</v>
      </c>
      <c r="O23" s="85">
        <f t="shared" si="2"/>
        <v>-2.75</v>
      </c>
      <c r="P23" s="270"/>
      <c r="Q23" s="82"/>
      <c r="R23" s="41">
        <f t="shared" si="0"/>
        <v>0</v>
      </c>
      <c r="S23" s="41">
        <f t="shared" si="1"/>
        <v>0</v>
      </c>
    </row>
    <row r="24" spans="2:19" s="83" customFormat="1" ht="30" customHeight="1">
      <c r="B24" s="75"/>
      <c r="C24" s="227"/>
      <c r="D24" s="255"/>
      <c r="E24" s="227"/>
      <c r="F24" s="248"/>
      <c r="G24" s="84" t="s">
        <v>302</v>
      </c>
      <c r="H24" s="79"/>
      <c r="I24" s="79"/>
      <c r="J24" s="79"/>
      <c r="K24" s="79"/>
      <c r="L24" s="79"/>
      <c r="M24" s="79"/>
      <c r="N24" s="79"/>
      <c r="O24" s="85"/>
      <c r="P24" s="270"/>
      <c r="Q24" s="82"/>
      <c r="R24" s="41">
        <f t="shared" si="0"/>
        <v>0</v>
      </c>
      <c r="S24" s="41">
        <f t="shared" si="1"/>
        <v>0</v>
      </c>
    </row>
    <row r="25" spans="2:19" s="83" customFormat="1" ht="30" customHeight="1">
      <c r="B25" s="75"/>
      <c r="C25" s="227"/>
      <c r="D25" s="255"/>
      <c r="E25" s="227"/>
      <c r="F25" s="248"/>
      <c r="G25" s="250" t="s">
        <v>258</v>
      </c>
      <c r="H25" s="85">
        <v>14.1</v>
      </c>
      <c r="I25" s="85">
        <v>7.55</v>
      </c>
      <c r="J25" s="85">
        <v>2.5</v>
      </c>
      <c r="K25" s="85">
        <f>H25*2*J25+2*I25*J25</f>
        <v>108.25</v>
      </c>
      <c r="L25" s="85"/>
      <c r="M25" s="85"/>
      <c r="N25" s="85">
        <v>1</v>
      </c>
      <c r="O25" s="85">
        <f t="shared" ref="O25:O28" si="3">ROUND(K25*N25,2)</f>
        <v>108.25</v>
      </c>
      <c r="P25" s="270"/>
      <c r="Q25" s="82"/>
      <c r="R25" s="41">
        <f t="shared" si="0"/>
        <v>0</v>
      </c>
      <c r="S25" s="41">
        <f t="shared" si="1"/>
        <v>0</v>
      </c>
    </row>
    <row r="26" spans="2:19" s="83" customFormat="1" ht="30" customHeight="1">
      <c r="B26" s="75"/>
      <c r="C26" s="227"/>
      <c r="D26" s="255"/>
      <c r="E26" s="227"/>
      <c r="F26" s="248"/>
      <c r="G26" s="251" t="s">
        <v>259</v>
      </c>
      <c r="H26" s="85"/>
      <c r="I26" s="85">
        <v>1.7</v>
      </c>
      <c r="J26" s="85">
        <v>2.44</v>
      </c>
      <c r="K26" s="85">
        <f>I26*J26</f>
        <v>4.1479999999999997</v>
      </c>
      <c r="L26" s="85"/>
      <c r="M26" s="85"/>
      <c r="N26" s="85">
        <v>-1</v>
      </c>
      <c r="O26" s="85">
        <f t="shared" si="3"/>
        <v>-4.1500000000000004</v>
      </c>
      <c r="P26" s="270"/>
      <c r="Q26" s="82"/>
      <c r="R26" s="41">
        <f t="shared" si="0"/>
        <v>0</v>
      </c>
      <c r="S26" s="41">
        <f t="shared" si="1"/>
        <v>0</v>
      </c>
    </row>
    <row r="27" spans="2:19" s="83" customFormat="1" ht="30" customHeight="1">
      <c r="B27" s="75"/>
      <c r="C27" s="227"/>
      <c r="D27" s="255"/>
      <c r="E27" s="227"/>
      <c r="F27" s="248"/>
      <c r="G27" s="86" t="s">
        <v>260</v>
      </c>
      <c r="H27" s="86">
        <v>3.05</v>
      </c>
      <c r="I27" s="86">
        <v>1.32</v>
      </c>
      <c r="J27" s="86"/>
      <c r="K27" s="85">
        <f>H27*I27</f>
        <v>4.0259999999999998</v>
      </c>
      <c r="L27" s="246"/>
      <c r="M27" s="246"/>
      <c r="N27" s="85">
        <v>-5</v>
      </c>
      <c r="O27" s="85">
        <f t="shared" si="3"/>
        <v>-20.13</v>
      </c>
      <c r="P27" s="270"/>
      <c r="Q27" s="82"/>
      <c r="R27" s="41">
        <f t="shared" si="0"/>
        <v>0</v>
      </c>
      <c r="S27" s="41">
        <f t="shared" si="1"/>
        <v>0</v>
      </c>
    </row>
    <row r="28" spans="2:19" s="83" customFormat="1" ht="30" customHeight="1">
      <c r="B28" s="75"/>
      <c r="C28" s="227"/>
      <c r="D28" s="255"/>
      <c r="E28" s="227"/>
      <c r="F28" s="248"/>
      <c r="G28" s="86" t="s">
        <v>260</v>
      </c>
      <c r="H28" s="86">
        <v>2.04</v>
      </c>
      <c r="I28" s="86">
        <v>1.32</v>
      </c>
      <c r="J28" s="86"/>
      <c r="K28" s="85">
        <f>H28*I28</f>
        <v>2.6928000000000001</v>
      </c>
      <c r="L28" s="246"/>
      <c r="M28" s="246"/>
      <c r="N28" s="85">
        <v>-1</v>
      </c>
      <c r="O28" s="85">
        <f t="shared" si="3"/>
        <v>-2.69</v>
      </c>
      <c r="P28" s="270"/>
      <c r="Q28" s="82"/>
      <c r="R28" s="41">
        <f t="shared" si="0"/>
        <v>0</v>
      </c>
      <c r="S28" s="41">
        <f t="shared" si="1"/>
        <v>0</v>
      </c>
    </row>
    <row r="29" spans="2:19" s="83" customFormat="1" ht="30" customHeight="1" thickBot="1">
      <c r="B29" s="75"/>
      <c r="C29" s="90"/>
      <c r="D29" s="91"/>
      <c r="E29" s="90"/>
      <c r="F29" s="92"/>
      <c r="G29" s="90"/>
      <c r="H29" s="93"/>
      <c r="I29" s="93"/>
      <c r="J29" s="93"/>
      <c r="K29" s="93"/>
      <c r="L29" s="93"/>
      <c r="M29" s="93"/>
      <c r="N29" s="93"/>
      <c r="O29" s="73">
        <f>SUM(O19:O28)</f>
        <v>117.07</v>
      </c>
      <c r="P29" s="74">
        <f>ROUND(O29*F19,2)</f>
        <v>1187141.31</v>
      </c>
      <c r="Q29" s="82"/>
      <c r="R29" s="41">
        <f t="shared" si="0"/>
        <v>0</v>
      </c>
      <c r="S29" s="41">
        <f t="shared" si="1"/>
        <v>0</v>
      </c>
    </row>
    <row r="30" spans="2:19" s="83" customFormat="1" ht="30" customHeight="1" thickBot="1">
      <c r="B30" s="75"/>
      <c r="C30" s="235">
        <v>9.8000000000000007</v>
      </c>
      <c r="D30" s="236" t="s">
        <v>301</v>
      </c>
      <c r="E30" s="235" t="s">
        <v>173</v>
      </c>
      <c r="F30" s="237">
        <f>ROUND(42380.79*1.02,2)</f>
        <v>43228.41</v>
      </c>
      <c r="G30" s="238" t="s">
        <v>166</v>
      </c>
      <c r="H30" s="239"/>
      <c r="I30" s="239"/>
      <c r="J30" s="239"/>
      <c r="K30" s="239">
        <v>10</v>
      </c>
      <c r="L30" s="239"/>
      <c r="M30" s="239"/>
      <c r="N30" s="239">
        <v>1</v>
      </c>
      <c r="O30" s="241">
        <f t="shared" ref="O30:O33" si="4">ROUND(K30*N30,2)</f>
        <v>10</v>
      </c>
      <c r="P30" s="240">
        <f>ROUND(O30*F30,2)</f>
        <v>432284.1</v>
      </c>
      <c r="Q30" s="82"/>
      <c r="R30" s="41">
        <f t="shared" si="0"/>
        <v>0</v>
      </c>
      <c r="S30" s="41">
        <f t="shared" si="1"/>
        <v>0</v>
      </c>
    </row>
    <row r="31" spans="2:19" s="83" customFormat="1" ht="30" customHeight="1" thickBot="1">
      <c r="B31" s="75"/>
      <c r="C31" s="68">
        <v>1.6</v>
      </c>
      <c r="D31" s="69" t="s">
        <v>266</v>
      </c>
      <c r="E31" s="68" t="s">
        <v>267</v>
      </c>
      <c r="F31" s="70">
        <f>ROUND(70577.63,2)</f>
        <v>70577.63</v>
      </c>
      <c r="G31" s="261" t="s">
        <v>268</v>
      </c>
      <c r="H31" s="72">
        <v>0.6</v>
      </c>
      <c r="I31" s="72">
        <v>0.6</v>
      </c>
      <c r="J31" s="72">
        <v>0.6</v>
      </c>
      <c r="K31" s="72">
        <f>H31*I31*J31</f>
        <v>0.216</v>
      </c>
      <c r="L31" s="72"/>
      <c r="M31" s="72"/>
      <c r="N31" s="72">
        <v>1</v>
      </c>
      <c r="O31" s="241">
        <f t="shared" si="4"/>
        <v>0.22</v>
      </c>
      <c r="P31" s="240">
        <f>ROUND(O31*F31,2)</f>
        <v>15527.08</v>
      </c>
      <c r="Q31" s="82"/>
      <c r="R31" s="41">
        <f t="shared" si="0"/>
        <v>0</v>
      </c>
      <c r="S31" s="41">
        <f t="shared" si="1"/>
        <v>0</v>
      </c>
    </row>
    <row r="32" spans="2:19" s="83" customFormat="1" ht="30" customHeight="1" thickBot="1">
      <c r="B32" s="75"/>
      <c r="C32" s="68" t="s">
        <v>135</v>
      </c>
      <c r="D32" s="69" t="s">
        <v>137</v>
      </c>
      <c r="E32" s="68" t="s">
        <v>267</v>
      </c>
      <c r="F32" s="70">
        <f>ROUND(918441.77*1.02,2)</f>
        <v>936810.61</v>
      </c>
      <c r="G32" s="261" t="s">
        <v>269</v>
      </c>
      <c r="H32" s="72">
        <v>0.6</v>
      </c>
      <c r="I32" s="72">
        <v>0.6</v>
      </c>
      <c r="J32" s="72">
        <v>0.6</v>
      </c>
      <c r="K32" s="72">
        <f>H32*I32*J32</f>
        <v>0.216</v>
      </c>
      <c r="L32" s="72"/>
      <c r="M32" s="72"/>
      <c r="N32" s="72">
        <v>1</v>
      </c>
      <c r="O32" s="241">
        <f t="shared" si="4"/>
        <v>0.22</v>
      </c>
      <c r="P32" s="240">
        <f>ROUND(O32*F32,2)</f>
        <v>206098.33</v>
      </c>
      <c r="Q32" s="82"/>
      <c r="R32" s="41">
        <f t="shared" si="0"/>
        <v>0</v>
      </c>
      <c r="S32" s="41">
        <f t="shared" si="1"/>
        <v>0</v>
      </c>
    </row>
    <row r="33" spans="2:19" s="83" customFormat="1" ht="30" customHeight="1" thickBot="1">
      <c r="B33" s="75"/>
      <c r="C33" s="68">
        <v>3.2</v>
      </c>
      <c r="D33" s="69" t="s">
        <v>23</v>
      </c>
      <c r="E33" s="68" t="s">
        <v>15</v>
      </c>
      <c r="F33" s="70">
        <f>ROUND(1137084.62*1.02,2)</f>
        <v>1159826.31</v>
      </c>
      <c r="G33" s="68" t="s">
        <v>270</v>
      </c>
      <c r="H33" s="72">
        <v>0.2</v>
      </c>
      <c r="I33" s="72">
        <v>0.2</v>
      </c>
      <c r="J33" s="72">
        <v>2.5</v>
      </c>
      <c r="K33" s="72">
        <f>H33*I33*J33</f>
        <v>0.10000000000000002</v>
      </c>
      <c r="L33" s="72"/>
      <c r="M33" s="72"/>
      <c r="N33" s="72">
        <v>1</v>
      </c>
      <c r="O33" s="98">
        <f t="shared" si="4"/>
        <v>0.1</v>
      </c>
      <c r="P33" s="95">
        <f>ROUND(O33*F33,2)</f>
        <v>115982.63</v>
      </c>
      <c r="Q33" s="82"/>
      <c r="R33" s="41">
        <f t="shared" si="0"/>
        <v>0</v>
      </c>
      <c r="S33" s="41">
        <f t="shared" si="1"/>
        <v>0</v>
      </c>
    </row>
    <row r="34" spans="2:19" s="83" customFormat="1" ht="30" customHeight="1" thickBot="1">
      <c r="B34" s="75"/>
      <c r="C34" s="68" t="s">
        <v>127</v>
      </c>
      <c r="D34" s="69" t="s">
        <v>128</v>
      </c>
      <c r="E34" s="68" t="s">
        <v>167</v>
      </c>
      <c r="F34" s="70">
        <f>ROUND(162748.88*1.02,2)</f>
        <v>166003.85999999999</v>
      </c>
      <c r="G34" s="68" t="s">
        <v>265</v>
      </c>
      <c r="H34" s="72">
        <v>1</v>
      </c>
      <c r="I34" s="72">
        <v>1</v>
      </c>
      <c r="J34" s="72"/>
      <c r="K34" s="72">
        <f>H34*I34</f>
        <v>1</v>
      </c>
      <c r="L34" s="72"/>
      <c r="M34" s="72"/>
      <c r="N34" s="269">
        <v>1</v>
      </c>
      <c r="O34" s="98">
        <f>ROUND(K34*N34,2)</f>
        <v>1</v>
      </c>
      <c r="P34" s="95">
        <f>ROUND(O34*F34,2)</f>
        <v>166003.85999999999</v>
      </c>
      <c r="Q34" s="82"/>
      <c r="R34" s="41">
        <f t="shared" si="0"/>
        <v>0</v>
      </c>
      <c r="S34" s="41">
        <f t="shared" si="1"/>
        <v>0</v>
      </c>
    </row>
    <row r="35" spans="2:19" s="83" customFormat="1" ht="30" customHeight="1">
      <c r="B35" s="75"/>
      <c r="C35" s="76">
        <v>2.4</v>
      </c>
      <c r="D35" s="77" t="s">
        <v>271</v>
      </c>
      <c r="E35" s="76" t="s">
        <v>272</v>
      </c>
      <c r="F35" s="78">
        <f>ROUND(7675.05*1.02,2)</f>
        <v>7828.55</v>
      </c>
      <c r="G35" s="76" t="s">
        <v>269</v>
      </c>
      <c r="H35" s="79">
        <v>0.55000000000000004</v>
      </c>
      <c r="I35" s="79"/>
      <c r="J35" s="79"/>
      <c r="K35" s="79"/>
      <c r="L35" s="79" t="s">
        <v>273</v>
      </c>
      <c r="M35" s="79">
        <v>0.998</v>
      </c>
      <c r="N35" s="79">
        <v>10</v>
      </c>
      <c r="O35" s="79">
        <f>ROUND(H35*M35*N35,2)</f>
        <v>5.49</v>
      </c>
      <c r="P35" s="96"/>
      <c r="Q35" s="82"/>
      <c r="R35" s="41">
        <f t="shared" si="0"/>
        <v>0</v>
      </c>
      <c r="S35" s="41">
        <f t="shared" si="1"/>
        <v>0</v>
      </c>
    </row>
    <row r="36" spans="2:19" s="83" customFormat="1" ht="30" customHeight="1">
      <c r="B36" s="75"/>
      <c r="C36" s="86"/>
      <c r="D36" s="87"/>
      <c r="E36" s="86"/>
      <c r="F36" s="88"/>
      <c r="G36" s="86" t="s">
        <v>274</v>
      </c>
      <c r="H36" s="85">
        <v>3.9</v>
      </c>
      <c r="I36" s="85"/>
      <c r="J36" s="85"/>
      <c r="K36" s="85"/>
      <c r="L36" s="85" t="s">
        <v>273</v>
      </c>
      <c r="M36" s="85">
        <v>0.998</v>
      </c>
      <c r="N36" s="85">
        <v>4</v>
      </c>
      <c r="O36" s="79">
        <f>ROUND(H36*M36*N36,2)</f>
        <v>15.57</v>
      </c>
      <c r="P36" s="94"/>
      <c r="Q36" s="82"/>
      <c r="R36" s="41">
        <f t="shared" si="0"/>
        <v>0</v>
      </c>
      <c r="S36" s="41">
        <f t="shared" si="1"/>
        <v>0</v>
      </c>
    </row>
    <row r="37" spans="2:19" s="83" customFormat="1" ht="30" customHeight="1">
      <c r="B37" s="75"/>
      <c r="C37" s="86"/>
      <c r="D37" s="87"/>
      <c r="E37" s="86"/>
      <c r="F37" s="88"/>
      <c r="G37" s="86" t="s">
        <v>275</v>
      </c>
      <c r="H37" s="85">
        <v>0.75</v>
      </c>
      <c r="I37" s="85"/>
      <c r="J37" s="85"/>
      <c r="K37" s="85"/>
      <c r="L37" s="85" t="s">
        <v>276</v>
      </c>
      <c r="M37" s="4">
        <v>0.56000000000000005</v>
      </c>
      <c r="N37" s="85">
        <f>3.6/0.15</f>
        <v>24</v>
      </c>
      <c r="O37" s="79">
        <f>ROUND(H37*M37*N37,2)</f>
        <v>10.08</v>
      </c>
      <c r="P37" s="94"/>
      <c r="Q37" s="82"/>
      <c r="R37" s="41">
        <f t="shared" si="0"/>
        <v>0</v>
      </c>
      <c r="S37" s="41">
        <f t="shared" si="1"/>
        <v>0</v>
      </c>
    </row>
    <row r="38" spans="2:19" s="83" customFormat="1" ht="30" customHeight="1">
      <c r="B38" s="75"/>
      <c r="C38" s="86"/>
      <c r="D38" s="87"/>
      <c r="E38" s="86"/>
      <c r="F38" s="88"/>
      <c r="G38" s="86" t="s">
        <v>277</v>
      </c>
      <c r="H38" s="85">
        <v>0.95</v>
      </c>
      <c r="I38" s="85"/>
      <c r="J38" s="85"/>
      <c r="K38" s="85"/>
      <c r="L38" s="85" t="s">
        <v>273</v>
      </c>
      <c r="M38" s="4">
        <v>0.998</v>
      </c>
      <c r="N38" s="85">
        <v>20</v>
      </c>
      <c r="O38" s="79">
        <f>ROUND(H38*M38*N38,2)</f>
        <v>18.96</v>
      </c>
      <c r="P38" s="94"/>
      <c r="Q38" s="82"/>
      <c r="R38" s="41">
        <f t="shared" si="0"/>
        <v>0</v>
      </c>
      <c r="S38" s="41">
        <f t="shared" si="1"/>
        <v>0</v>
      </c>
    </row>
    <row r="39" spans="2:19" s="83" customFormat="1" ht="30" customHeight="1" thickBot="1">
      <c r="B39" s="75"/>
      <c r="C39" s="90"/>
      <c r="D39" s="91"/>
      <c r="E39" s="90"/>
      <c r="F39" s="92"/>
      <c r="G39" s="90"/>
      <c r="H39" s="93"/>
      <c r="I39" s="93"/>
      <c r="J39" s="93"/>
      <c r="K39" s="93"/>
      <c r="L39" s="93"/>
      <c r="M39" s="262"/>
      <c r="N39" s="93"/>
      <c r="O39" s="73">
        <f>SUM(O35:O38)</f>
        <v>50.1</v>
      </c>
      <c r="P39" s="74">
        <f>ROUND(O39*F35,2)</f>
        <v>392210.36</v>
      </c>
      <c r="Q39" s="82"/>
      <c r="R39" s="41">
        <f t="shared" si="0"/>
        <v>0</v>
      </c>
      <c r="S39" s="41">
        <f t="shared" si="1"/>
        <v>0</v>
      </c>
    </row>
    <row r="40" spans="2:19" s="83" customFormat="1" ht="30" customHeight="1" thickBot="1">
      <c r="B40" s="75"/>
      <c r="C40" s="68">
        <v>5.7</v>
      </c>
      <c r="D40" s="69" t="s">
        <v>304</v>
      </c>
      <c r="E40" s="68" t="s">
        <v>173</v>
      </c>
      <c r="F40" s="70">
        <f>ROUND(1000269.67*1.02,2)</f>
        <v>1020275.06</v>
      </c>
      <c r="G40" s="68" t="s">
        <v>279</v>
      </c>
      <c r="H40" s="72"/>
      <c r="I40" s="72"/>
      <c r="J40" s="72"/>
      <c r="K40" s="72"/>
      <c r="L40" s="72"/>
      <c r="M40" s="72"/>
      <c r="N40" s="72">
        <v>1</v>
      </c>
      <c r="O40" s="98">
        <f>N40</f>
        <v>1</v>
      </c>
      <c r="P40" s="95">
        <f t="shared" ref="P40:P45" si="5">ROUND(O40*F40,2)</f>
        <v>1020275.06</v>
      </c>
      <c r="Q40" s="82"/>
      <c r="R40" s="41">
        <f t="shared" si="0"/>
        <v>0</v>
      </c>
      <c r="S40" s="41">
        <f t="shared" si="1"/>
        <v>0</v>
      </c>
    </row>
    <row r="41" spans="2:19" s="83" customFormat="1" ht="30" customHeight="1" thickBot="1">
      <c r="B41" s="75"/>
      <c r="C41" s="235">
        <v>5.6</v>
      </c>
      <c r="D41" s="236" t="s">
        <v>47</v>
      </c>
      <c r="E41" s="235" t="s">
        <v>173</v>
      </c>
      <c r="F41" s="237">
        <f>ROUND(89118.87*1.02,2)</f>
        <v>90901.25</v>
      </c>
      <c r="G41" s="235" t="s">
        <v>280</v>
      </c>
      <c r="H41" s="239"/>
      <c r="I41" s="239"/>
      <c r="J41" s="239"/>
      <c r="K41" s="239"/>
      <c r="L41" s="239"/>
      <c r="M41" s="239"/>
      <c r="N41" s="239">
        <v>1</v>
      </c>
      <c r="O41" s="241">
        <f>N41</f>
        <v>1</v>
      </c>
      <c r="P41" s="240">
        <f t="shared" si="5"/>
        <v>90901.25</v>
      </c>
      <c r="Q41" s="82"/>
      <c r="R41" s="41">
        <f t="shared" si="0"/>
        <v>0</v>
      </c>
      <c r="S41" s="41">
        <f>+P46*100  -  INT(P46*100)</f>
        <v>0</v>
      </c>
    </row>
    <row r="42" spans="2:19" s="83" customFormat="1" ht="30" customHeight="1" thickBot="1">
      <c r="B42" s="75"/>
      <c r="C42" s="235">
        <v>5.0999999999999996</v>
      </c>
      <c r="D42" s="236" t="s">
        <v>38</v>
      </c>
      <c r="E42" s="235" t="s">
        <v>31</v>
      </c>
      <c r="F42" s="237">
        <f>ROUND(7548.65*1.02,2)</f>
        <v>7699.62</v>
      </c>
      <c r="G42" s="235" t="s">
        <v>281</v>
      </c>
      <c r="H42" s="239">
        <v>3</v>
      </c>
      <c r="I42" s="239"/>
      <c r="J42" s="239"/>
      <c r="K42" s="239"/>
      <c r="L42" s="239"/>
      <c r="M42" s="264"/>
      <c r="N42" s="239">
        <v>1</v>
      </c>
      <c r="O42" s="241">
        <f>ROUND(H42*N42,2)</f>
        <v>3</v>
      </c>
      <c r="P42" s="240">
        <f t="shared" si="5"/>
        <v>23098.86</v>
      </c>
      <c r="Q42" s="82"/>
      <c r="R42" s="41">
        <f t="shared" si="0"/>
        <v>0</v>
      </c>
      <c r="S42" s="41">
        <f>+P47*100  -  INT(P47*100)</f>
        <v>0</v>
      </c>
    </row>
    <row r="43" spans="2:19" s="83" customFormat="1" ht="30" customHeight="1" thickBot="1">
      <c r="B43" s="75"/>
      <c r="C43" s="68" t="s">
        <v>138</v>
      </c>
      <c r="D43" s="69" t="s">
        <v>282</v>
      </c>
      <c r="E43" s="68" t="s">
        <v>31</v>
      </c>
      <c r="F43" s="70">
        <f>ROUND(13462.83*1.02,2)</f>
        <v>13732.09</v>
      </c>
      <c r="G43" s="68" t="s">
        <v>283</v>
      </c>
      <c r="H43" s="239">
        <v>1</v>
      </c>
      <c r="I43" s="239"/>
      <c r="J43" s="239"/>
      <c r="K43" s="239"/>
      <c r="L43" s="239"/>
      <c r="M43" s="264"/>
      <c r="N43" s="239">
        <v>1</v>
      </c>
      <c r="O43" s="241">
        <f>ROUND(H43*N43,2)</f>
        <v>1</v>
      </c>
      <c r="P43" s="240">
        <f t="shared" si="5"/>
        <v>13732.09</v>
      </c>
      <c r="Q43" s="82"/>
      <c r="R43" s="41">
        <f t="shared" si="0"/>
        <v>0</v>
      </c>
      <c r="S43" s="41">
        <f>+P48*100  -  INT(P48*100)</f>
        <v>0</v>
      </c>
    </row>
    <row r="44" spans="2:19" s="83" customFormat="1" ht="30" customHeight="1" thickBot="1">
      <c r="B44" s="75"/>
      <c r="C44" s="68">
        <v>5.3</v>
      </c>
      <c r="D44" s="69" t="s">
        <v>43</v>
      </c>
      <c r="E44" s="68" t="s">
        <v>173</v>
      </c>
      <c r="F44" s="70">
        <f>ROUND(30016.63*1.02,2)</f>
        <v>30616.959999999999</v>
      </c>
      <c r="G44" s="71"/>
      <c r="H44" s="72"/>
      <c r="I44" s="72"/>
      <c r="J44" s="72"/>
      <c r="K44" s="72"/>
      <c r="L44" s="72"/>
      <c r="M44" s="72"/>
      <c r="N44" s="72">
        <v>1</v>
      </c>
      <c r="O44" s="98">
        <f>N44</f>
        <v>1</v>
      </c>
      <c r="P44" s="95">
        <f t="shared" si="5"/>
        <v>30616.959999999999</v>
      </c>
      <c r="Q44" s="82"/>
      <c r="R44" s="41">
        <f t="shared" si="0"/>
        <v>0</v>
      </c>
      <c r="S44" s="41">
        <f>+P49*100  -  INT(P49*100)</f>
        <v>0</v>
      </c>
    </row>
    <row r="45" spans="2:19" s="83" customFormat="1" ht="30" customHeight="1" thickBot="1">
      <c r="B45" s="75"/>
      <c r="C45" s="68">
        <v>8.4</v>
      </c>
      <c r="D45" s="69" t="s">
        <v>62</v>
      </c>
      <c r="E45" s="68" t="s">
        <v>167</v>
      </c>
      <c r="F45" s="70">
        <f>ROUND(66602.21*1.02,2)</f>
        <v>67934.25</v>
      </c>
      <c r="G45" s="271" t="s">
        <v>258</v>
      </c>
      <c r="H45" s="68">
        <v>5.5</v>
      </c>
      <c r="I45" s="68">
        <v>3.65</v>
      </c>
      <c r="J45" s="68"/>
      <c r="K45" s="72">
        <f>H45*I45</f>
        <v>20.074999999999999</v>
      </c>
      <c r="L45" s="68"/>
      <c r="M45" s="68"/>
      <c r="N45" s="72">
        <v>1</v>
      </c>
      <c r="O45" s="272">
        <f>ROUND(K45*N45,2)</f>
        <v>20.079999999999998</v>
      </c>
      <c r="P45" s="95">
        <f t="shared" si="5"/>
        <v>1364119.74</v>
      </c>
      <c r="Q45" s="82"/>
      <c r="R45" s="41">
        <f t="shared" ref="R45:R46" si="6">+O45*100  -  INT(O45*100)</f>
        <v>0</v>
      </c>
      <c r="S45" s="41">
        <f t="shared" ref="S45:S46" si="7">+P50*100  -  INT(P50*100)</f>
        <v>0</v>
      </c>
    </row>
    <row r="46" spans="2:19" s="104" customFormat="1" ht="30" customHeight="1">
      <c r="B46" s="100"/>
      <c r="C46" s="577" t="s">
        <v>174</v>
      </c>
      <c r="D46" s="577"/>
      <c r="E46" s="577"/>
      <c r="F46" s="577"/>
      <c r="G46" s="577"/>
      <c r="H46" s="577"/>
      <c r="I46" s="577"/>
      <c r="J46" s="577"/>
      <c r="K46" s="577"/>
      <c r="L46" s="577"/>
      <c r="M46" s="577"/>
      <c r="N46" s="577"/>
      <c r="O46" s="577"/>
      <c r="P46" s="99">
        <f>ROUND(SUM(P18:P45)*1.3,0)</f>
        <v>12507850</v>
      </c>
      <c r="Q46" s="103"/>
      <c r="R46" s="41">
        <f t="shared" si="6"/>
        <v>0</v>
      </c>
      <c r="S46" s="41">
        <f t="shared" si="7"/>
        <v>0</v>
      </c>
    </row>
    <row r="47" spans="2:19" s="104" customFormat="1" ht="8.4" customHeight="1">
      <c r="B47" s="100"/>
      <c r="C47" s="101"/>
      <c r="D47" s="101"/>
      <c r="E47" s="101"/>
      <c r="F47" s="101"/>
      <c r="G47" s="101"/>
      <c r="H47" s="101"/>
      <c r="I47" s="101"/>
      <c r="J47" s="101"/>
      <c r="K47" s="101"/>
      <c r="L47" s="101"/>
      <c r="M47" s="101"/>
      <c r="N47" s="101"/>
      <c r="O47" s="101"/>
      <c r="P47" s="102"/>
      <c r="Q47" s="103"/>
      <c r="R47" s="41"/>
      <c r="S47" s="41"/>
    </row>
    <row r="48" spans="2:19" ht="5.4" customHeight="1" thickBot="1">
      <c r="B48" s="60"/>
      <c r="Q48" s="61"/>
    </row>
    <row r="49" spans="2:17" ht="16.2" thickTop="1">
      <c r="B49" s="60"/>
      <c r="C49" s="578" t="s">
        <v>148</v>
      </c>
      <c r="D49" s="579"/>
      <c r="E49" s="579"/>
      <c r="F49" s="579"/>
      <c r="G49" s="580"/>
      <c r="I49" s="578" t="s">
        <v>146</v>
      </c>
      <c r="J49" s="579"/>
      <c r="K49" s="579"/>
      <c r="L49" s="579"/>
      <c r="M49" s="579"/>
      <c r="N49" s="579"/>
      <c r="O49" s="579"/>
      <c r="P49" s="580"/>
      <c r="Q49" s="61"/>
    </row>
    <row r="50" spans="2:17">
      <c r="B50" s="60"/>
      <c r="C50" s="105" t="s">
        <v>92</v>
      </c>
      <c r="D50" s="581" t="s">
        <v>149</v>
      </c>
      <c r="E50" s="581"/>
      <c r="F50" s="581"/>
      <c r="G50" s="582"/>
      <c r="I50" s="583" t="s">
        <v>92</v>
      </c>
      <c r="J50" s="584"/>
      <c r="K50" s="581"/>
      <c r="L50" s="581"/>
      <c r="M50" s="581"/>
      <c r="N50" s="581"/>
      <c r="O50" s="581"/>
      <c r="P50" s="582"/>
      <c r="Q50" s="61"/>
    </row>
    <row r="51" spans="2:17" ht="45" customHeight="1">
      <c r="B51" s="60"/>
      <c r="C51" s="106" t="s">
        <v>175</v>
      </c>
      <c r="D51" s="568"/>
      <c r="E51" s="568"/>
      <c r="F51" s="568"/>
      <c r="G51" s="569"/>
      <c r="I51" s="570" t="s">
        <v>175</v>
      </c>
      <c r="J51" s="571"/>
      <c r="K51" s="572"/>
      <c r="L51" s="572"/>
      <c r="M51" s="572"/>
      <c r="N51" s="572"/>
      <c r="O51" s="572"/>
      <c r="P51" s="573"/>
      <c r="Q51" s="61"/>
    </row>
    <row r="52" spans="2:17" ht="16.2" thickBot="1">
      <c r="B52" s="60"/>
      <c r="C52" s="107"/>
      <c r="D52" s="108"/>
      <c r="E52" s="108"/>
      <c r="F52" s="108"/>
      <c r="G52" s="109"/>
      <c r="I52" s="107"/>
      <c r="J52" s="108"/>
      <c r="K52" s="108"/>
      <c r="L52" s="108"/>
      <c r="M52" s="108"/>
      <c r="N52" s="110"/>
      <c r="O52" s="110"/>
      <c r="P52" s="111"/>
      <c r="Q52" s="61"/>
    </row>
    <row r="53" spans="2:17" ht="6.9" customHeight="1" thickTop="1" thickBot="1">
      <c r="B53" s="112"/>
      <c r="C53" s="108"/>
      <c r="D53" s="108"/>
      <c r="E53" s="108"/>
      <c r="F53" s="108"/>
      <c r="G53" s="108"/>
      <c r="H53" s="108"/>
      <c r="I53" s="108"/>
      <c r="J53" s="108"/>
      <c r="K53" s="108"/>
      <c r="L53" s="108"/>
      <c r="M53" s="108"/>
      <c r="N53" s="110"/>
      <c r="O53" s="110"/>
      <c r="P53" s="110"/>
      <c r="Q53" s="111"/>
    </row>
    <row r="54" spans="2:17" ht="16.2" thickTop="1"/>
    <row r="1048363" spans="15:15">
      <c r="O1048363" s="80"/>
    </row>
  </sheetData>
  <mergeCells count="33">
    <mergeCell ref="D51:G51"/>
    <mergeCell ref="I51:J51"/>
    <mergeCell ref="K51:P51"/>
    <mergeCell ref="C11:G11"/>
    <mergeCell ref="H11:P11"/>
    <mergeCell ref="C46:O46"/>
    <mergeCell ref="C49:G49"/>
    <mergeCell ref="I49:P49"/>
    <mergeCell ref="D50:G50"/>
    <mergeCell ref="I50:J50"/>
    <mergeCell ref="K50:P50"/>
    <mergeCell ref="C9:D9"/>
    <mergeCell ref="E9:K9"/>
    <mergeCell ref="L9:M9"/>
    <mergeCell ref="N9:P9"/>
    <mergeCell ref="C10:G10"/>
    <mergeCell ref="H10:P10"/>
    <mergeCell ref="C6:D6"/>
    <mergeCell ref="E6:K6"/>
    <mergeCell ref="L6:M6"/>
    <mergeCell ref="N6:P6"/>
    <mergeCell ref="C7:D8"/>
    <mergeCell ref="E7:K8"/>
    <mergeCell ref="L7:M8"/>
    <mergeCell ref="N7:P8"/>
    <mergeCell ref="C3:N3"/>
    <mergeCell ref="O3:O4"/>
    <mergeCell ref="P3:P4"/>
    <mergeCell ref="C4:N4"/>
    <mergeCell ref="C5:D5"/>
    <mergeCell ref="E5:K5"/>
    <mergeCell ref="L5:M5"/>
    <mergeCell ref="N5:P5"/>
  </mergeCell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expression" priority="2" id="{0F99CE8F-DC87-4793-B359-6A091AEA1651}">
            <xm:f>'C:\Users\HP PAVILION\Desktop\MEJORAMIENTOS DE VIVIENEDA_ COMBITA_SAMC-004_2026\[SÁBANA_GENERAL_25.08.26.xlsx]02_USU_ARS_M1 '!#REF!&gt;0</xm:f>
            <x14:dxf>
              <fill>
                <patternFill>
                  <bgColor rgb="FFFF0000"/>
                </patternFill>
              </fill>
            </x14:dxf>
          </x14:cfRule>
          <xm:sqref>R14:S46</xm:sqref>
        </x14:conditionalFormatting>
        <x14:conditionalFormatting xmlns:xm="http://schemas.microsoft.com/office/excel/2006/main">
          <x14:cfRule type="expression" priority="1" id="{B7885395-6CF4-422B-A7E1-06F6A3F27CDE}">
            <xm:f>'ESCUELA DE SAN FRANCISCO'!R91&gt;0</xm:f>
            <x14:dxf>
              <fill>
                <patternFill>
                  <bgColor rgb="FFFF0000"/>
                </patternFill>
              </fill>
            </x14:dxf>
          </x14:cfRule>
          <xm:sqref>R47:S47</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sheetPr>
  <dimension ref="B1:S1048354"/>
  <sheetViews>
    <sheetView zoomScale="70" zoomScaleNormal="70" workbookViewId="0">
      <selection activeCell="C4" sqref="C4:N4"/>
    </sheetView>
  </sheetViews>
  <sheetFormatPr baseColWidth="10" defaultColWidth="11.44140625" defaultRowHeight="15.6"/>
  <cols>
    <col min="1" max="1" width="11.44140625" style="54"/>
    <col min="2" max="2" width="1.109375" style="54" customWidth="1"/>
    <col min="3" max="3" width="12.6640625" style="55" customWidth="1"/>
    <col min="4" max="4" width="50.6640625" style="55" customWidth="1"/>
    <col min="5" max="5" width="6.33203125" style="55" customWidth="1"/>
    <col min="6" max="6" width="17.33203125" style="55" customWidth="1"/>
    <col min="7" max="7" width="25.6640625" style="55" customWidth="1"/>
    <col min="8" max="10" width="8.6640625" style="55" customWidth="1"/>
    <col min="11" max="11" width="11.44140625" style="55" customWidth="1"/>
    <col min="12" max="13" width="7.6640625" style="55" customWidth="1"/>
    <col min="14" max="14" width="7.6640625" style="54" customWidth="1"/>
    <col min="15" max="15" width="30.6640625" style="54" customWidth="1"/>
    <col min="16" max="16" width="25.44140625" style="54" customWidth="1"/>
    <col min="17" max="17" width="1.109375" style="54" customWidth="1"/>
    <col min="18" max="18" width="10.6640625" style="54" customWidth="1"/>
    <col min="19" max="19" width="11.44140625" style="54"/>
    <col min="20" max="20" width="11.44140625" style="54" customWidth="1"/>
    <col min="21" max="21" width="15.109375" style="54" bestFit="1" customWidth="1"/>
    <col min="22" max="16384" width="11.44140625" style="54"/>
  </cols>
  <sheetData>
    <row r="1" spans="2:19" ht="16.2" thickBot="1"/>
    <row r="2" spans="2:19" ht="6.9" customHeight="1" thickTop="1" thickBot="1">
      <c r="B2" s="56"/>
      <c r="C2" s="57"/>
      <c r="D2" s="57"/>
      <c r="E2" s="57"/>
      <c r="F2" s="57"/>
      <c r="G2" s="57"/>
      <c r="H2" s="57"/>
      <c r="I2" s="57"/>
      <c r="J2" s="57"/>
      <c r="K2" s="57"/>
      <c r="L2" s="57"/>
      <c r="M2" s="57"/>
      <c r="N2" s="58"/>
      <c r="O2" s="58"/>
      <c r="P2" s="58"/>
      <c r="Q2" s="59"/>
    </row>
    <row r="3" spans="2:19" ht="30" customHeight="1" thickBot="1">
      <c r="B3" s="60"/>
      <c r="C3" s="603" t="s">
        <v>145</v>
      </c>
      <c r="D3" s="604"/>
      <c r="E3" s="604"/>
      <c r="F3" s="604"/>
      <c r="G3" s="604"/>
      <c r="H3" s="604"/>
      <c r="I3" s="604"/>
      <c r="J3" s="604"/>
      <c r="K3" s="604"/>
      <c r="L3" s="604"/>
      <c r="M3" s="604"/>
      <c r="N3" s="605"/>
      <c r="O3" s="606"/>
      <c r="P3" s="608"/>
      <c r="Q3" s="61"/>
    </row>
    <row r="4" spans="2:19" ht="20.100000000000001" customHeight="1" thickBot="1">
      <c r="B4" s="60"/>
      <c r="C4" s="603"/>
      <c r="D4" s="604"/>
      <c r="E4" s="604"/>
      <c r="F4" s="604"/>
      <c r="G4" s="604"/>
      <c r="H4" s="604"/>
      <c r="I4" s="604"/>
      <c r="J4" s="604"/>
      <c r="K4" s="604"/>
      <c r="L4" s="604"/>
      <c r="M4" s="604"/>
      <c r="N4" s="605"/>
      <c r="O4" s="607"/>
      <c r="P4" s="609"/>
      <c r="Q4" s="61"/>
    </row>
    <row r="5" spans="2:19">
      <c r="B5" s="60"/>
      <c r="C5" s="593" t="s">
        <v>146</v>
      </c>
      <c r="D5" s="594"/>
      <c r="E5" s="595"/>
      <c r="F5" s="595"/>
      <c r="G5" s="595"/>
      <c r="H5" s="595"/>
      <c r="I5" s="595"/>
      <c r="J5" s="595"/>
      <c r="K5" s="595"/>
      <c r="L5" s="594" t="s">
        <v>147</v>
      </c>
      <c r="M5" s="594"/>
      <c r="N5" s="595"/>
      <c r="O5" s="595"/>
      <c r="P5" s="610"/>
      <c r="Q5" s="61"/>
    </row>
    <row r="6" spans="2:19">
      <c r="B6" s="60"/>
      <c r="C6" s="593" t="s">
        <v>148</v>
      </c>
      <c r="D6" s="594"/>
      <c r="E6" s="595" t="s">
        <v>149</v>
      </c>
      <c r="F6" s="595"/>
      <c r="G6" s="595"/>
      <c r="H6" s="595"/>
      <c r="I6" s="595"/>
      <c r="J6" s="595"/>
      <c r="K6" s="595"/>
      <c r="L6" s="594" t="s">
        <v>150</v>
      </c>
      <c r="M6" s="594"/>
      <c r="N6" s="596"/>
      <c r="O6" s="596"/>
      <c r="P6" s="597"/>
      <c r="Q6" s="61"/>
    </row>
    <row r="7" spans="2:19" ht="15" customHeight="1">
      <c r="B7" s="60"/>
      <c r="C7" s="598" t="s">
        <v>88</v>
      </c>
      <c r="D7" s="599"/>
      <c r="E7" s="600"/>
      <c r="F7" s="600"/>
      <c r="G7" s="600"/>
      <c r="H7" s="600"/>
      <c r="I7" s="600"/>
      <c r="J7" s="600"/>
      <c r="K7" s="600"/>
      <c r="L7" s="601" t="s">
        <v>86</v>
      </c>
      <c r="M7" s="601"/>
      <c r="N7" s="600"/>
      <c r="O7" s="600"/>
      <c r="P7" s="602"/>
      <c r="Q7" s="61"/>
    </row>
    <row r="8" spans="2:19">
      <c r="B8" s="60"/>
      <c r="C8" s="598"/>
      <c r="D8" s="599"/>
      <c r="E8" s="600"/>
      <c r="F8" s="600"/>
      <c r="G8" s="600"/>
      <c r="H8" s="600"/>
      <c r="I8" s="600"/>
      <c r="J8" s="600"/>
      <c r="K8" s="600"/>
      <c r="L8" s="601"/>
      <c r="M8" s="601"/>
      <c r="N8" s="600"/>
      <c r="O8" s="600"/>
      <c r="P8" s="602"/>
      <c r="Q8" s="62"/>
      <c r="R8" s="63"/>
    </row>
    <row r="9" spans="2:19" s="66" customFormat="1" ht="34.5" customHeight="1" thickBot="1">
      <c r="B9" s="64"/>
      <c r="C9" s="585" t="s">
        <v>176</v>
      </c>
      <c r="D9" s="586"/>
      <c r="E9" s="587" t="s">
        <v>305</v>
      </c>
      <c r="F9" s="587"/>
      <c r="G9" s="587"/>
      <c r="H9" s="587"/>
      <c r="I9" s="587"/>
      <c r="J9" s="587"/>
      <c r="K9" s="587"/>
      <c r="L9" s="588" t="s">
        <v>151</v>
      </c>
      <c r="M9" s="588"/>
      <c r="N9" s="587"/>
      <c r="O9" s="587"/>
      <c r="P9" s="589"/>
      <c r="Q9" s="65"/>
    </row>
    <row r="10" spans="2:19" s="66" customFormat="1" ht="20.100000000000001" customHeight="1" thickBot="1">
      <c r="B10" s="64"/>
      <c r="C10" s="590"/>
      <c r="D10" s="591"/>
      <c r="E10" s="591"/>
      <c r="F10" s="591"/>
      <c r="G10" s="591"/>
      <c r="H10" s="591" t="s">
        <v>152</v>
      </c>
      <c r="I10" s="591"/>
      <c r="J10" s="591"/>
      <c r="K10" s="591"/>
      <c r="L10" s="591"/>
      <c r="M10" s="591"/>
      <c r="N10" s="591"/>
      <c r="O10" s="591"/>
      <c r="P10" s="592"/>
      <c r="Q10" s="65"/>
    </row>
    <row r="11" spans="2:19" ht="394.5" customHeight="1" thickTop="1" thickBot="1">
      <c r="B11" s="60"/>
      <c r="C11" s="574"/>
      <c r="D11" s="575"/>
      <c r="E11" s="575"/>
      <c r="F11" s="575"/>
      <c r="G11" s="576"/>
      <c r="H11" s="574" t="s">
        <v>153</v>
      </c>
      <c r="I11" s="575"/>
      <c r="J11" s="575"/>
      <c r="K11" s="575"/>
      <c r="L11" s="575"/>
      <c r="M11" s="575"/>
      <c r="N11" s="575"/>
      <c r="O11" s="575"/>
      <c r="P11" s="576"/>
      <c r="Q11" s="61"/>
    </row>
    <row r="12" spans="2:19" ht="20.100000000000001" customHeight="1" thickTop="1">
      <c r="B12" s="60"/>
      <c r="C12" s="54"/>
      <c r="Q12" s="61"/>
    </row>
    <row r="13" spans="2:19" ht="46.8">
      <c r="B13" s="60"/>
      <c r="C13" s="89" t="s">
        <v>154</v>
      </c>
      <c r="D13" s="89" t="s">
        <v>155</v>
      </c>
      <c r="E13" s="84" t="s">
        <v>41</v>
      </c>
      <c r="F13" s="84" t="s">
        <v>156</v>
      </c>
      <c r="G13" s="89" t="s">
        <v>157</v>
      </c>
      <c r="H13" s="89" t="s">
        <v>158</v>
      </c>
      <c r="I13" s="89" t="s">
        <v>159</v>
      </c>
      <c r="J13" s="89" t="s">
        <v>160</v>
      </c>
      <c r="K13" s="89" t="s">
        <v>161</v>
      </c>
      <c r="L13" s="89" t="s">
        <v>162</v>
      </c>
      <c r="M13" s="89" t="s">
        <v>163</v>
      </c>
      <c r="N13" s="89" t="s">
        <v>164</v>
      </c>
      <c r="O13" s="89" t="s">
        <v>90</v>
      </c>
      <c r="P13" s="89" t="s">
        <v>93</v>
      </c>
      <c r="Q13" s="61"/>
    </row>
    <row r="14" spans="2:19" ht="30" customHeight="1">
      <c r="B14" s="60"/>
      <c r="C14" s="86">
        <v>10.6</v>
      </c>
      <c r="D14" s="87" t="s">
        <v>76</v>
      </c>
      <c r="E14" s="76" t="s">
        <v>167</v>
      </c>
      <c r="F14" s="78">
        <f>ROUND(78024.98*1.02,2)</f>
        <v>79585.48</v>
      </c>
      <c r="G14" s="84" t="s">
        <v>306</v>
      </c>
      <c r="H14" s="86">
        <v>5.9</v>
      </c>
      <c r="I14" s="86">
        <v>5.57</v>
      </c>
      <c r="J14" s="86"/>
      <c r="K14" s="85">
        <f>H14*I14</f>
        <v>32.863000000000007</v>
      </c>
      <c r="L14" s="86"/>
      <c r="M14" s="86"/>
      <c r="N14" s="85">
        <v>1</v>
      </c>
      <c r="O14" s="113">
        <f>ROUND(K14*N14,2)</f>
        <v>32.86</v>
      </c>
      <c r="P14" s="114"/>
      <c r="Q14" s="61"/>
      <c r="R14" s="41">
        <f>+O14*100  -  INT(O14*100)</f>
        <v>0</v>
      </c>
      <c r="S14" s="41">
        <f>+P16*100  -  INT(P16*100)</f>
        <v>0</v>
      </c>
    </row>
    <row r="15" spans="2:19" ht="30" customHeight="1">
      <c r="B15" s="60"/>
      <c r="C15" s="242"/>
      <c r="D15" s="87"/>
      <c r="E15" s="86"/>
      <c r="F15" s="88"/>
      <c r="G15" s="84" t="s">
        <v>307</v>
      </c>
      <c r="H15" s="86">
        <v>4.28</v>
      </c>
      <c r="I15" s="86">
        <v>5.57</v>
      </c>
      <c r="J15" s="86"/>
      <c r="K15" s="85">
        <f>H15*I15</f>
        <v>23.839600000000004</v>
      </c>
      <c r="L15" s="86"/>
      <c r="M15" s="86"/>
      <c r="N15" s="85">
        <v>1</v>
      </c>
      <c r="O15" s="113">
        <f>ROUND(K15*N15,2)</f>
        <v>23.84</v>
      </c>
      <c r="P15" s="268"/>
      <c r="Q15" s="61"/>
      <c r="R15" s="41">
        <f t="shared" ref="R15:R31" si="0">+O15*100  -  INT(O15*100)</f>
        <v>0</v>
      </c>
      <c r="S15" s="41">
        <f t="shared" ref="S15:S29" si="1">+P17*100  -  INT(P17*100)</f>
        <v>0</v>
      </c>
    </row>
    <row r="16" spans="2:19" ht="30" customHeight="1" thickBot="1">
      <c r="B16" s="60"/>
      <c r="C16" s="90"/>
      <c r="D16" s="91"/>
      <c r="E16" s="90"/>
      <c r="F16" s="92"/>
      <c r="G16" s="67"/>
      <c r="H16" s="90"/>
      <c r="I16" s="90"/>
      <c r="J16" s="90"/>
      <c r="K16" s="93"/>
      <c r="L16" s="90"/>
      <c r="M16" s="90"/>
      <c r="N16" s="93"/>
      <c r="O16" s="73">
        <f>ROUND(SUM(O14:O15),2)</f>
        <v>56.7</v>
      </c>
      <c r="P16" s="74">
        <f>ROUND(O16*F14,2)</f>
        <v>4512496.72</v>
      </c>
      <c r="Q16" s="61"/>
      <c r="R16" s="41">
        <f t="shared" si="0"/>
        <v>0</v>
      </c>
      <c r="S16" s="41">
        <f t="shared" si="1"/>
        <v>0</v>
      </c>
    </row>
    <row r="17" spans="2:19" s="83" customFormat="1" ht="30" customHeight="1">
      <c r="B17" s="75"/>
      <c r="C17" s="76">
        <v>4.1100000000000003</v>
      </c>
      <c r="D17" s="77" t="s">
        <v>35</v>
      </c>
      <c r="E17" s="76" t="s">
        <v>167</v>
      </c>
      <c r="F17" s="78">
        <f>ROUND(9941.61*1.02,2)</f>
        <v>10140.44</v>
      </c>
      <c r="G17" s="84" t="s">
        <v>306</v>
      </c>
      <c r="H17" s="79"/>
      <c r="I17" s="79"/>
      <c r="J17" s="79"/>
      <c r="K17" s="79"/>
      <c r="L17" s="79"/>
      <c r="M17" s="79"/>
      <c r="N17" s="79"/>
      <c r="O17" s="79"/>
      <c r="P17" s="81"/>
      <c r="Q17" s="82"/>
      <c r="R17" s="41">
        <f t="shared" si="0"/>
        <v>0</v>
      </c>
      <c r="S17" s="41">
        <f t="shared" si="1"/>
        <v>0</v>
      </c>
    </row>
    <row r="18" spans="2:19" s="83" customFormat="1" ht="30" customHeight="1">
      <c r="B18" s="75"/>
      <c r="C18" s="76"/>
      <c r="D18" s="77"/>
      <c r="E18" s="76"/>
      <c r="F18" s="78"/>
      <c r="G18" s="250" t="s">
        <v>258</v>
      </c>
      <c r="H18" s="85">
        <v>5.9</v>
      </c>
      <c r="I18" s="85">
        <v>5.57</v>
      </c>
      <c r="J18" s="85">
        <v>2.0499999999999998</v>
      </c>
      <c r="K18" s="85">
        <f>H18*2*J18+2*I18*J18</f>
        <v>47.027000000000001</v>
      </c>
      <c r="L18" s="85"/>
      <c r="M18" s="85"/>
      <c r="N18" s="85">
        <v>1</v>
      </c>
      <c r="O18" s="79">
        <f t="shared" ref="O18" si="2">ROUND(K18*N18,2)</f>
        <v>47.03</v>
      </c>
      <c r="P18" s="81"/>
      <c r="Q18" s="82"/>
      <c r="R18" s="41">
        <f t="shared" si="0"/>
        <v>0</v>
      </c>
      <c r="S18" s="41">
        <f t="shared" si="1"/>
        <v>0</v>
      </c>
    </row>
    <row r="19" spans="2:19" s="83" customFormat="1" ht="30" customHeight="1">
      <c r="B19" s="75"/>
      <c r="C19" s="86"/>
      <c r="D19" s="87"/>
      <c r="E19" s="86"/>
      <c r="F19" s="88"/>
      <c r="G19" s="84" t="s">
        <v>307</v>
      </c>
      <c r="H19" s="79"/>
      <c r="I19" s="79"/>
      <c r="J19" s="79"/>
      <c r="K19" s="79"/>
      <c r="L19" s="79"/>
      <c r="M19" s="79"/>
      <c r="N19" s="79"/>
      <c r="O19" s="85"/>
      <c r="P19" s="270"/>
      <c r="Q19" s="82"/>
      <c r="R19" s="41">
        <f t="shared" si="0"/>
        <v>0</v>
      </c>
      <c r="S19" s="41">
        <f t="shared" si="1"/>
        <v>0</v>
      </c>
    </row>
    <row r="20" spans="2:19" s="83" customFormat="1" ht="30" customHeight="1">
      <c r="B20" s="75"/>
      <c r="C20" s="86"/>
      <c r="D20" s="87"/>
      <c r="E20" s="86"/>
      <c r="F20" s="88"/>
      <c r="G20" s="250" t="s">
        <v>258</v>
      </c>
      <c r="H20" s="85">
        <v>4.28</v>
      </c>
      <c r="I20" s="85">
        <v>5.57</v>
      </c>
      <c r="J20" s="85">
        <v>2.0499999999999998</v>
      </c>
      <c r="K20" s="85">
        <f>H20*2*J20+2*I20*J20</f>
        <v>40.384999999999998</v>
      </c>
      <c r="L20" s="85"/>
      <c r="M20" s="85"/>
      <c r="N20" s="85">
        <v>1</v>
      </c>
      <c r="O20" s="85">
        <f t="shared" ref="O20" si="3">ROUND(K20*N20,2)</f>
        <v>40.39</v>
      </c>
      <c r="P20" s="270"/>
      <c r="Q20" s="82"/>
      <c r="R20" s="41">
        <f t="shared" si="0"/>
        <v>0</v>
      </c>
      <c r="S20" s="41">
        <f t="shared" si="1"/>
        <v>0</v>
      </c>
    </row>
    <row r="21" spans="2:19" s="83" customFormat="1" ht="30" customHeight="1" thickBot="1">
      <c r="B21" s="75"/>
      <c r="C21" s="90"/>
      <c r="D21" s="91"/>
      <c r="E21" s="90"/>
      <c r="F21" s="92"/>
      <c r="G21" s="90"/>
      <c r="H21" s="93"/>
      <c r="I21" s="93"/>
      <c r="J21" s="93"/>
      <c r="K21" s="93"/>
      <c r="L21" s="93"/>
      <c r="M21" s="93"/>
      <c r="N21" s="93"/>
      <c r="O21" s="73">
        <f>SUM(O17:O20)</f>
        <v>87.42</v>
      </c>
      <c r="P21" s="74">
        <f>ROUND(O21*F17,2)</f>
        <v>886477.26</v>
      </c>
      <c r="Q21" s="82"/>
      <c r="R21" s="41">
        <f t="shared" si="0"/>
        <v>0</v>
      </c>
      <c r="S21" s="41">
        <f t="shared" si="1"/>
        <v>0</v>
      </c>
    </row>
    <row r="22" spans="2:19" s="83" customFormat="1" ht="30" customHeight="1">
      <c r="B22" s="75"/>
      <c r="C22" s="76">
        <v>10.1</v>
      </c>
      <c r="D22" s="260" t="s">
        <v>70</v>
      </c>
      <c r="E22" s="76" t="s">
        <v>167</v>
      </c>
      <c r="F22" s="78">
        <f>ROUND(91325.6*1.02,2)</f>
        <v>93152.11</v>
      </c>
      <c r="G22" s="84" t="s">
        <v>306</v>
      </c>
      <c r="H22" s="79"/>
      <c r="I22" s="79"/>
      <c r="J22" s="79"/>
      <c r="K22" s="79"/>
      <c r="L22" s="79"/>
      <c r="M22" s="79"/>
      <c r="N22" s="79"/>
      <c r="O22" s="79"/>
      <c r="P22" s="96"/>
      <c r="Q22" s="82"/>
      <c r="R22" s="41">
        <f t="shared" si="0"/>
        <v>0</v>
      </c>
      <c r="S22" s="41">
        <f t="shared" si="1"/>
        <v>0</v>
      </c>
    </row>
    <row r="23" spans="2:19" s="83" customFormat="1" ht="30" customHeight="1">
      <c r="B23" s="75"/>
      <c r="C23" s="86"/>
      <c r="D23" s="259"/>
      <c r="E23" s="86"/>
      <c r="F23" s="88"/>
      <c r="G23" s="250" t="s">
        <v>258</v>
      </c>
      <c r="H23" s="86">
        <v>5.9</v>
      </c>
      <c r="I23" s="86">
        <v>5.57</v>
      </c>
      <c r="J23" s="86"/>
      <c r="K23" s="85">
        <f>H23*I23</f>
        <v>32.863000000000007</v>
      </c>
      <c r="L23" s="86"/>
      <c r="M23" s="86"/>
      <c r="N23" s="85">
        <v>1</v>
      </c>
      <c r="O23" s="85">
        <f>ROUND(K23*N23,2)</f>
        <v>32.86</v>
      </c>
      <c r="P23" s="94"/>
      <c r="Q23" s="82"/>
      <c r="R23" s="41">
        <f t="shared" si="0"/>
        <v>0</v>
      </c>
      <c r="S23" s="41">
        <f t="shared" si="1"/>
        <v>0</v>
      </c>
    </row>
    <row r="24" spans="2:19" s="83" customFormat="1" ht="30" customHeight="1">
      <c r="B24" s="75"/>
      <c r="C24" s="86"/>
      <c r="D24" s="259"/>
      <c r="E24" s="86"/>
      <c r="F24" s="88"/>
      <c r="G24" s="84" t="s">
        <v>307</v>
      </c>
      <c r="H24" s="246"/>
      <c r="I24" s="246"/>
      <c r="J24" s="246"/>
      <c r="K24" s="246"/>
      <c r="L24" s="246"/>
      <c r="M24" s="246"/>
      <c r="N24" s="246"/>
      <c r="O24" s="85"/>
      <c r="P24" s="94"/>
      <c r="Q24" s="82"/>
      <c r="R24" s="41">
        <f t="shared" si="0"/>
        <v>0</v>
      </c>
      <c r="S24" s="41">
        <f t="shared" si="1"/>
        <v>0</v>
      </c>
    </row>
    <row r="25" spans="2:19" s="83" customFormat="1" ht="30" customHeight="1">
      <c r="B25" s="75"/>
      <c r="C25" s="86"/>
      <c r="D25" s="259"/>
      <c r="E25" s="86"/>
      <c r="F25" s="88"/>
      <c r="G25" s="250" t="s">
        <v>258</v>
      </c>
      <c r="H25" s="86">
        <v>4.28</v>
      </c>
      <c r="I25" s="86">
        <v>5.57</v>
      </c>
      <c r="J25" s="86"/>
      <c r="K25" s="85">
        <f>H25*I25</f>
        <v>23.839600000000004</v>
      </c>
      <c r="L25" s="86"/>
      <c r="M25" s="86"/>
      <c r="N25" s="85">
        <v>1</v>
      </c>
      <c r="O25" s="85">
        <f>ROUND(K25*N25,2)</f>
        <v>23.84</v>
      </c>
      <c r="P25" s="94"/>
      <c r="Q25" s="82"/>
      <c r="R25" s="41">
        <f t="shared" si="0"/>
        <v>0</v>
      </c>
      <c r="S25" s="41">
        <f t="shared" si="1"/>
        <v>0</v>
      </c>
    </row>
    <row r="26" spans="2:19" s="83" customFormat="1" ht="30" customHeight="1" thickBot="1">
      <c r="B26" s="75"/>
      <c r="C26" s="90"/>
      <c r="D26" s="265"/>
      <c r="E26" s="90"/>
      <c r="F26" s="92"/>
      <c r="G26" s="90"/>
      <c r="H26" s="93"/>
      <c r="I26" s="93"/>
      <c r="J26" s="93"/>
      <c r="K26" s="93"/>
      <c r="L26" s="93"/>
      <c r="M26" s="262"/>
      <c r="N26" s="93"/>
      <c r="O26" s="73">
        <f>SUM(O22:O25)</f>
        <v>56.7</v>
      </c>
      <c r="P26" s="74">
        <f>ROUND(O26*F22,2)</f>
        <v>5281724.6399999997</v>
      </c>
      <c r="Q26" s="82"/>
      <c r="R26" s="41">
        <f t="shared" si="0"/>
        <v>0</v>
      </c>
      <c r="S26" s="41">
        <f t="shared" si="1"/>
        <v>0</v>
      </c>
    </row>
    <row r="27" spans="2:19" s="83" customFormat="1" ht="30" customHeight="1">
      <c r="B27" s="75"/>
      <c r="C27" s="76">
        <v>7.1</v>
      </c>
      <c r="D27" s="260" t="s">
        <v>55</v>
      </c>
      <c r="E27" s="76" t="s">
        <v>167</v>
      </c>
      <c r="F27" s="78">
        <f>ROUND(33165.57*1.02,2)</f>
        <v>33828.879999999997</v>
      </c>
      <c r="G27" s="84" t="s">
        <v>306</v>
      </c>
      <c r="H27" s="79"/>
      <c r="I27" s="79"/>
      <c r="J27" s="79"/>
      <c r="K27" s="79"/>
      <c r="L27" s="79"/>
      <c r="M27" s="79"/>
      <c r="N27" s="79"/>
      <c r="O27" s="79"/>
      <c r="P27" s="96"/>
      <c r="Q27" s="82"/>
      <c r="R27" s="41">
        <f t="shared" si="0"/>
        <v>0</v>
      </c>
      <c r="S27" s="41">
        <f t="shared" si="1"/>
        <v>0</v>
      </c>
    </row>
    <row r="28" spans="2:19" s="83" customFormat="1" ht="30" customHeight="1">
      <c r="B28" s="75"/>
      <c r="C28" s="86"/>
      <c r="D28" s="87"/>
      <c r="E28" s="86"/>
      <c r="F28" s="88"/>
      <c r="G28" s="250" t="s">
        <v>258</v>
      </c>
      <c r="H28" s="86">
        <v>5.9</v>
      </c>
      <c r="I28" s="86">
        <v>5.57</v>
      </c>
      <c r="J28" s="86"/>
      <c r="K28" s="85">
        <f>H28*I28</f>
        <v>32.863000000000007</v>
      </c>
      <c r="L28" s="86"/>
      <c r="M28" s="86"/>
      <c r="N28" s="85">
        <v>1</v>
      </c>
      <c r="O28" s="85">
        <f>ROUND(K28*N28,2)</f>
        <v>32.86</v>
      </c>
      <c r="P28" s="94"/>
      <c r="Q28" s="82"/>
      <c r="R28" s="41">
        <f t="shared" si="0"/>
        <v>0</v>
      </c>
      <c r="S28" s="41">
        <f t="shared" si="1"/>
        <v>0</v>
      </c>
    </row>
    <row r="29" spans="2:19" s="83" customFormat="1" ht="30" customHeight="1">
      <c r="B29" s="75"/>
      <c r="C29" s="86"/>
      <c r="D29" s="87"/>
      <c r="E29" s="86"/>
      <c r="F29" s="88"/>
      <c r="G29" s="84" t="s">
        <v>307</v>
      </c>
      <c r="H29" s="246"/>
      <c r="I29" s="246"/>
      <c r="J29" s="246"/>
      <c r="K29" s="246"/>
      <c r="L29" s="246"/>
      <c r="M29" s="246"/>
      <c r="N29" s="246"/>
      <c r="O29" s="85"/>
      <c r="P29" s="94"/>
      <c r="Q29" s="82"/>
      <c r="R29" s="41">
        <f t="shared" si="0"/>
        <v>0</v>
      </c>
      <c r="S29" s="41">
        <f t="shared" si="1"/>
        <v>0</v>
      </c>
    </row>
    <row r="30" spans="2:19" s="83" customFormat="1" ht="30" customHeight="1">
      <c r="B30" s="75"/>
      <c r="C30" s="86"/>
      <c r="D30" s="87"/>
      <c r="E30" s="86"/>
      <c r="F30" s="88"/>
      <c r="G30" s="250" t="s">
        <v>258</v>
      </c>
      <c r="H30" s="86">
        <v>4.28</v>
      </c>
      <c r="I30" s="86">
        <v>5.57</v>
      </c>
      <c r="J30" s="86"/>
      <c r="K30" s="85">
        <f>H30*I30</f>
        <v>23.839600000000004</v>
      </c>
      <c r="L30" s="86"/>
      <c r="M30" s="86"/>
      <c r="N30" s="85">
        <v>1</v>
      </c>
      <c r="O30" s="85">
        <f>ROUND(K30*N30,2)</f>
        <v>23.84</v>
      </c>
      <c r="P30" s="94"/>
      <c r="Q30" s="82"/>
      <c r="R30" s="41">
        <f t="shared" si="0"/>
        <v>0</v>
      </c>
      <c r="S30" s="41">
        <f>+P37*100  -  INT(P37*100)</f>
        <v>0</v>
      </c>
    </row>
    <row r="31" spans="2:19" s="83" customFormat="1" ht="30" customHeight="1" thickBot="1">
      <c r="B31" s="75"/>
      <c r="C31" s="242"/>
      <c r="D31" s="258"/>
      <c r="E31" s="242"/>
      <c r="F31" s="248"/>
      <c r="G31" s="242"/>
      <c r="H31" s="93"/>
      <c r="I31" s="93"/>
      <c r="J31" s="93"/>
      <c r="K31" s="93"/>
      <c r="L31" s="93"/>
      <c r="M31" s="263"/>
      <c r="N31" s="243"/>
      <c r="O31" s="253">
        <f>SUM(O27:O30)</f>
        <v>56.7</v>
      </c>
      <c r="P31" s="254">
        <f>ROUND(O31*F27,2)</f>
        <v>1918097.5</v>
      </c>
      <c r="Q31" s="82"/>
      <c r="R31" s="41">
        <f t="shared" si="0"/>
        <v>0</v>
      </c>
      <c r="S31" s="41">
        <f>+P38*100  -  INT(P38*100)</f>
        <v>0</v>
      </c>
    </row>
    <row r="32" spans="2:19" s="83" customFormat="1" ht="30" customHeight="1">
      <c r="B32" s="75"/>
      <c r="C32" s="86" t="s">
        <v>119</v>
      </c>
      <c r="D32" s="87" t="s">
        <v>120</v>
      </c>
      <c r="E32" s="86" t="s">
        <v>57</v>
      </c>
      <c r="F32" s="88">
        <f>ROUND(24013*1.02,2)</f>
        <v>24493.26</v>
      </c>
      <c r="G32" s="84" t="s">
        <v>306</v>
      </c>
      <c r="H32" s="79"/>
      <c r="I32" s="79"/>
      <c r="J32" s="79"/>
      <c r="K32" s="79"/>
      <c r="L32" s="79"/>
      <c r="M32" s="85"/>
      <c r="N32" s="85"/>
      <c r="O32" s="85"/>
      <c r="P32" s="94"/>
      <c r="Q32" s="82"/>
      <c r="R32" s="41">
        <f t="shared" ref="R32:R37" si="4">+O32*100  -  INT(O32*100)</f>
        <v>0</v>
      </c>
      <c r="S32" s="41">
        <f t="shared" ref="S32:S37" si="5">+P39*100  -  INT(P39*100)</f>
        <v>0</v>
      </c>
    </row>
    <row r="33" spans="2:19" s="83" customFormat="1" ht="30" customHeight="1">
      <c r="B33" s="75"/>
      <c r="C33" s="86"/>
      <c r="D33" s="87"/>
      <c r="E33" s="86"/>
      <c r="F33" s="88"/>
      <c r="G33" s="86" t="s">
        <v>258</v>
      </c>
      <c r="H33" s="86"/>
      <c r="I33" s="86"/>
      <c r="J33" s="86"/>
      <c r="K33" s="85">
        <f>5.9*2+5.57</f>
        <v>17.37</v>
      </c>
      <c r="L33" s="86"/>
      <c r="M33" s="86"/>
      <c r="N33" s="85">
        <v>1</v>
      </c>
      <c r="O33" s="85">
        <f>ROUND(K33*N33,2)</f>
        <v>17.37</v>
      </c>
      <c r="P33" s="94"/>
      <c r="Q33" s="82"/>
      <c r="R33" s="41">
        <f t="shared" si="4"/>
        <v>0</v>
      </c>
      <c r="S33" s="41">
        <f t="shared" si="5"/>
        <v>0</v>
      </c>
    </row>
    <row r="34" spans="2:19" s="83" customFormat="1" ht="30" customHeight="1">
      <c r="B34" s="75"/>
      <c r="C34" s="86"/>
      <c r="D34" s="87"/>
      <c r="E34" s="86"/>
      <c r="F34" s="88"/>
      <c r="G34" s="84" t="s">
        <v>307</v>
      </c>
      <c r="H34" s="246"/>
      <c r="I34" s="246"/>
      <c r="J34" s="246"/>
      <c r="K34" s="246"/>
      <c r="L34" s="246"/>
      <c r="M34" s="246"/>
      <c r="N34" s="246"/>
      <c r="O34" s="85"/>
      <c r="P34" s="94"/>
      <c r="Q34" s="82"/>
      <c r="R34" s="41">
        <f t="shared" si="4"/>
        <v>0</v>
      </c>
      <c r="S34" s="41">
        <f t="shared" si="5"/>
        <v>0</v>
      </c>
    </row>
    <row r="35" spans="2:19" s="83" customFormat="1" ht="30" customHeight="1">
      <c r="B35" s="75"/>
      <c r="C35" s="86"/>
      <c r="D35" s="87"/>
      <c r="E35" s="86"/>
      <c r="F35" s="88"/>
      <c r="G35" s="86" t="s">
        <v>258</v>
      </c>
      <c r="H35" s="86"/>
      <c r="I35" s="86"/>
      <c r="J35" s="86"/>
      <c r="K35" s="85">
        <f>4.28*2+5.57*2</f>
        <v>19.700000000000003</v>
      </c>
      <c r="L35" s="86"/>
      <c r="M35" s="86"/>
      <c r="N35" s="85">
        <v>1</v>
      </c>
      <c r="O35" s="85">
        <f>ROUND(K35*N35,2)</f>
        <v>19.7</v>
      </c>
      <c r="P35" s="94"/>
      <c r="Q35" s="82"/>
      <c r="R35" s="41">
        <f t="shared" si="4"/>
        <v>0</v>
      </c>
      <c r="S35" s="41">
        <f t="shared" si="5"/>
        <v>0</v>
      </c>
    </row>
    <row r="36" spans="2:19" s="83" customFormat="1" ht="30" customHeight="1">
      <c r="B36" s="75"/>
      <c r="C36" s="86"/>
      <c r="D36" s="87"/>
      <c r="E36" s="86"/>
      <c r="F36" s="88"/>
      <c r="G36" s="86"/>
      <c r="H36" s="76"/>
      <c r="I36" s="76"/>
      <c r="J36" s="76"/>
      <c r="K36" s="79"/>
      <c r="L36" s="76"/>
      <c r="M36" s="86"/>
      <c r="N36" s="85"/>
      <c r="O36" s="244">
        <f>SUM(O32:O35)</f>
        <v>37.07</v>
      </c>
      <c r="P36" s="245">
        <f>ROUND(O36*F32,2)</f>
        <v>907965.15</v>
      </c>
      <c r="Q36" s="82"/>
      <c r="R36" s="41">
        <f t="shared" si="4"/>
        <v>0</v>
      </c>
      <c r="S36" s="41">
        <f t="shared" si="5"/>
        <v>0</v>
      </c>
    </row>
    <row r="37" spans="2:19" s="104" customFormat="1" ht="30" customHeight="1">
      <c r="B37" s="100"/>
      <c r="C37" s="577" t="s">
        <v>174</v>
      </c>
      <c r="D37" s="577"/>
      <c r="E37" s="577"/>
      <c r="F37" s="577"/>
      <c r="G37" s="577"/>
      <c r="H37" s="577"/>
      <c r="I37" s="577"/>
      <c r="J37" s="577"/>
      <c r="K37" s="577"/>
      <c r="L37" s="577"/>
      <c r="M37" s="577"/>
      <c r="N37" s="577"/>
      <c r="O37" s="577"/>
      <c r="P37" s="99">
        <f>ROUND(SUM(P16:P36)*1.3,0)</f>
        <v>17558790</v>
      </c>
      <c r="Q37" s="103"/>
      <c r="R37" s="41">
        <f t="shared" si="4"/>
        <v>0</v>
      </c>
      <c r="S37" s="41">
        <f t="shared" si="5"/>
        <v>0</v>
      </c>
    </row>
    <row r="38" spans="2:19" s="104" customFormat="1" ht="8.4" customHeight="1">
      <c r="B38" s="100"/>
      <c r="C38" s="101"/>
      <c r="D38" s="101"/>
      <c r="E38" s="101"/>
      <c r="F38" s="101"/>
      <c r="G38" s="101"/>
      <c r="H38" s="101"/>
      <c r="I38" s="101"/>
      <c r="J38" s="101"/>
      <c r="K38" s="101"/>
      <c r="L38" s="101"/>
      <c r="M38" s="101"/>
      <c r="N38" s="101"/>
      <c r="O38" s="101"/>
      <c r="P38" s="102"/>
      <c r="Q38" s="103"/>
      <c r="R38" s="41"/>
      <c r="S38" s="41"/>
    </row>
    <row r="39" spans="2:19" ht="5.4" customHeight="1" thickBot="1">
      <c r="B39" s="60"/>
      <c r="Q39" s="61"/>
    </row>
    <row r="40" spans="2:19" ht="16.2" thickTop="1">
      <c r="B40" s="60"/>
      <c r="C40" s="578" t="s">
        <v>148</v>
      </c>
      <c r="D40" s="579"/>
      <c r="E40" s="579"/>
      <c r="F40" s="579"/>
      <c r="G40" s="580"/>
      <c r="I40" s="578" t="s">
        <v>146</v>
      </c>
      <c r="J40" s="579"/>
      <c r="K40" s="579"/>
      <c r="L40" s="579"/>
      <c r="M40" s="579"/>
      <c r="N40" s="579"/>
      <c r="O40" s="579"/>
      <c r="P40" s="580"/>
      <c r="Q40" s="61"/>
    </row>
    <row r="41" spans="2:19">
      <c r="B41" s="60"/>
      <c r="C41" s="105" t="s">
        <v>92</v>
      </c>
      <c r="D41" s="581" t="s">
        <v>149</v>
      </c>
      <c r="E41" s="581"/>
      <c r="F41" s="581"/>
      <c r="G41" s="582"/>
      <c r="I41" s="583" t="s">
        <v>92</v>
      </c>
      <c r="J41" s="584"/>
      <c r="K41" s="581"/>
      <c r="L41" s="581"/>
      <c r="M41" s="581"/>
      <c r="N41" s="581"/>
      <c r="O41" s="581"/>
      <c r="P41" s="582"/>
      <c r="Q41" s="61"/>
    </row>
    <row r="42" spans="2:19" ht="45" customHeight="1">
      <c r="B42" s="60"/>
      <c r="C42" s="106" t="s">
        <v>175</v>
      </c>
      <c r="D42" s="568"/>
      <c r="E42" s="568"/>
      <c r="F42" s="568"/>
      <c r="G42" s="569"/>
      <c r="I42" s="570" t="s">
        <v>175</v>
      </c>
      <c r="J42" s="571"/>
      <c r="K42" s="572"/>
      <c r="L42" s="572"/>
      <c r="M42" s="572"/>
      <c r="N42" s="572"/>
      <c r="O42" s="572"/>
      <c r="P42" s="573"/>
      <c r="Q42" s="61"/>
    </row>
    <row r="43" spans="2:19" ht="16.2" thickBot="1">
      <c r="B43" s="60"/>
      <c r="C43" s="107"/>
      <c r="D43" s="108"/>
      <c r="E43" s="108"/>
      <c r="F43" s="108"/>
      <c r="G43" s="109"/>
      <c r="I43" s="107"/>
      <c r="J43" s="108"/>
      <c r="K43" s="108"/>
      <c r="L43" s="108"/>
      <c r="M43" s="108"/>
      <c r="N43" s="110"/>
      <c r="O43" s="110"/>
      <c r="P43" s="111"/>
      <c r="Q43" s="61"/>
    </row>
    <row r="44" spans="2:19" ht="6.9" customHeight="1" thickTop="1" thickBot="1">
      <c r="B44" s="112"/>
      <c r="C44" s="108"/>
      <c r="D44" s="108"/>
      <c r="E44" s="108"/>
      <c r="F44" s="108"/>
      <c r="G44" s="108"/>
      <c r="H44" s="108"/>
      <c r="I44" s="108"/>
      <c r="J44" s="108"/>
      <c r="K44" s="108"/>
      <c r="L44" s="108"/>
      <c r="M44" s="108"/>
      <c r="N44" s="110"/>
      <c r="O44" s="110"/>
      <c r="P44" s="110"/>
      <c r="Q44" s="111"/>
    </row>
    <row r="45" spans="2:19" ht="16.2" thickTop="1"/>
    <row r="1048354" spans="15:15">
      <c r="O1048354" s="80"/>
    </row>
  </sheetData>
  <mergeCells count="33">
    <mergeCell ref="D42:G42"/>
    <mergeCell ref="I42:J42"/>
    <mergeCell ref="K42:P42"/>
    <mergeCell ref="C11:G11"/>
    <mergeCell ref="H11:P11"/>
    <mergeCell ref="C37:O37"/>
    <mergeCell ref="C40:G40"/>
    <mergeCell ref="I40:P40"/>
    <mergeCell ref="D41:G41"/>
    <mergeCell ref="I41:J41"/>
    <mergeCell ref="K41:P41"/>
    <mergeCell ref="C9:D9"/>
    <mergeCell ref="E9:K9"/>
    <mergeCell ref="L9:M9"/>
    <mergeCell ref="N9:P9"/>
    <mergeCell ref="C10:G10"/>
    <mergeCell ref="H10:P10"/>
    <mergeCell ref="C6:D6"/>
    <mergeCell ref="E6:K6"/>
    <mergeCell ref="L6:M6"/>
    <mergeCell ref="N6:P6"/>
    <mergeCell ref="C7:D8"/>
    <mergeCell ref="E7:K8"/>
    <mergeCell ref="L7:M8"/>
    <mergeCell ref="N7:P8"/>
    <mergeCell ref="C3:N3"/>
    <mergeCell ref="O3:O4"/>
    <mergeCell ref="P3:P4"/>
    <mergeCell ref="C4:N4"/>
    <mergeCell ref="C5:D5"/>
    <mergeCell ref="E5:K5"/>
    <mergeCell ref="L5:M5"/>
    <mergeCell ref="N5:P5"/>
  </mergeCell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expression" priority="2" id="{BD0B8C94-1B24-4BD7-9DDE-CFAFF087B6F2}">
            <xm:f>'C:\Users\HP PAVILION\Desktop\MEJORAMIENTOS DE VIVIENEDA_ COMBITA_SAMC-004_2026\[SÁBANA_GENERAL_25.08.26.xlsx]02_USU_ARS_M1 '!#REF!&gt;0</xm:f>
            <x14:dxf>
              <fill>
                <patternFill>
                  <bgColor rgb="FFFF0000"/>
                </patternFill>
              </fill>
            </x14:dxf>
          </x14:cfRule>
          <xm:sqref>R14:S37</xm:sqref>
        </x14:conditionalFormatting>
        <x14:conditionalFormatting xmlns:xm="http://schemas.microsoft.com/office/excel/2006/main">
          <x14:cfRule type="expression" priority="1" id="{B5778D62-32D9-48F6-BC58-207340EC2FF7}">
            <xm:f>'ESCUELA DE SAN FRANCISCO'!R91&gt;0</xm:f>
            <x14:dxf>
              <fill>
                <patternFill>
                  <bgColor rgb="FFFF0000"/>
                </patternFill>
              </fill>
            </x14:dxf>
          </x14:cfRule>
          <xm:sqref>R38:S38</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B1:S1048346"/>
  <sheetViews>
    <sheetView zoomScale="70" zoomScaleNormal="70" workbookViewId="0">
      <selection activeCell="C4" sqref="C4:N4"/>
    </sheetView>
  </sheetViews>
  <sheetFormatPr baseColWidth="10" defaultColWidth="11.44140625" defaultRowHeight="15.6"/>
  <cols>
    <col min="1" max="1" width="11.44140625" style="54"/>
    <col min="2" max="2" width="1.109375" style="54" customWidth="1"/>
    <col min="3" max="3" width="12.6640625" style="55" customWidth="1"/>
    <col min="4" max="4" width="50.6640625" style="55" customWidth="1"/>
    <col min="5" max="5" width="6.33203125" style="55" customWidth="1"/>
    <col min="6" max="6" width="17.33203125" style="55" customWidth="1"/>
    <col min="7" max="7" width="25.6640625" style="55" customWidth="1"/>
    <col min="8" max="10" width="8.6640625" style="55" customWidth="1"/>
    <col min="11" max="11" width="11.44140625" style="55" customWidth="1"/>
    <col min="12" max="13" width="7.6640625" style="55" customWidth="1"/>
    <col min="14" max="14" width="7.6640625" style="54" customWidth="1"/>
    <col min="15" max="15" width="30.6640625" style="54" customWidth="1"/>
    <col min="16" max="16" width="25.44140625" style="54" customWidth="1"/>
    <col min="17" max="17" width="1.109375" style="54" customWidth="1"/>
    <col min="18" max="18" width="10.6640625" style="54" customWidth="1"/>
    <col min="19" max="19" width="11.44140625" style="54"/>
    <col min="20" max="20" width="0" style="54" hidden="1" customWidth="1"/>
    <col min="21" max="21" width="15.109375" style="54" bestFit="1" customWidth="1"/>
    <col min="22" max="16384" width="11.44140625" style="54"/>
  </cols>
  <sheetData>
    <row r="1" spans="2:19" ht="16.2" thickBot="1"/>
    <row r="2" spans="2:19" ht="6.9" customHeight="1" thickTop="1" thickBot="1">
      <c r="B2" s="56"/>
      <c r="C2" s="57"/>
      <c r="D2" s="57"/>
      <c r="E2" s="57"/>
      <c r="F2" s="57"/>
      <c r="G2" s="57"/>
      <c r="H2" s="57"/>
      <c r="I2" s="57"/>
      <c r="J2" s="57"/>
      <c r="K2" s="57"/>
      <c r="L2" s="57"/>
      <c r="M2" s="57"/>
      <c r="N2" s="58"/>
      <c r="O2" s="58"/>
      <c r="P2" s="58"/>
      <c r="Q2" s="59"/>
    </row>
    <row r="3" spans="2:19" ht="30" customHeight="1" thickBot="1">
      <c r="B3" s="60"/>
      <c r="C3" s="603" t="s">
        <v>145</v>
      </c>
      <c r="D3" s="604"/>
      <c r="E3" s="604"/>
      <c r="F3" s="604"/>
      <c r="G3" s="604"/>
      <c r="H3" s="604"/>
      <c r="I3" s="604"/>
      <c r="J3" s="604"/>
      <c r="K3" s="604"/>
      <c r="L3" s="604"/>
      <c r="M3" s="604"/>
      <c r="N3" s="605"/>
      <c r="O3" s="606"/>
      <c r="P3" s="608"/>
      <c r="Q3" s="61"/>
    </row>
    <row r="4" spans="2:19" ht="20.100000000000001" customHeight="1" thickBot="1">
      <c r="B4" s="60"/>
      <c r="C4" s="603"/>
      <c r="D4" s="604"/>
      <c r="E4" s="604"/>
      <c r="F4" s="604"/>
      <c r="G4" s="604"/>
      <c r="H4" s="604"/>
      <c r="I4" s="604"/>
      <c r="J4" s="604"/>
      <c r="K4" s="604"/>
      <c r="L4" s="604"/>
      <c r="M4" s="604"/>
      <c r="N4" s="605"/>
      <c r="O4" s="607"/>
      <c r="P4" s="609"/>
      <c r="Q4" s="61"/>
    </row>
    <row r="5" spans="2:19">
      <c r="B5" s="60"/>
      <c r="C5" s="593" t="s">
        <v>146</v>
      </c>
      <c r="D5" s="594"/>
      <c r="E5" s="595"/>
      <c r="F5" s="595"/>
      <c r="G5" s="595"/>
      <c r="H5" s="595"/>
      <c r="I5" s="595"/>
      <c r="J5" s="595"/>
      <c r="K5" s="595"/>
      <c r="L5" s="594" t="s">
        <v>147</v>
      </c>
      <c r="M5" s="594"/>
      <c r="N5" s="595"/>
      <c r="O5" s="595"/>
      <c r="P5" s="610"/>
      <c r="Q5" s="61"/>
    </row>
    <row r="6" spans="2:19">
      <c r="B6" s="60"/>
      <c r="C6" s="593" t="s">
        <v>148</v>
      </c>
      <c r="D6" s="594"/>
      <c r="E6" s="595" t="s">
        <v>149</v>
      </c>
      <c r="F6" s="595"/>
      <c r="G6" s="595"/>
      <c r="H6" s="595"/>
      <c r="I6" s="595"/>
      <c r="J6" s="595"/>
      <c r="K6" s="595"/>
      <c r="L6" s="594" t="s">
        <v>150</v>
      </c>
      <c r="M6" s="594"/>
      <c r="N6" s="596"/>
      <c r="O6" s="596"/>
      <c r="P6" s="597"/>
      <c r="Q6" s="61"/>
    </row>
    <row r="7" spans="2:19" ht="15" customHeight="1">
      <c r="B7" s="60"/>
      <c r="C7" s="598" t="s">
        <v>88</v>
      </c>
      <c r="D7" s="599"/>
      <c r="E7" s="600"/>
      <c r="F7" s="600"/>
      <c r="G7" s="600"/>
      <c r="H7" s="600"/>
      <c r="I7" s="600"/>
      <c r="J7" s="600"/>
      <c r="K7" s="600"/>
      <c r="L7" s="601" t="s">
        <v>86</v>
      </c>
      <c r="M7" s="601"/>
      <c r="N7" s="600"/>
      <c r="O7" s="600"/>
      <c r="P7" s="602"/>
      <c r="Q7" s="61"/>
    </row>
    <row r="8" spans="2:19">
      <c r="B8" s="60"/>
      <c r="C8" s="598"/>
      <c r="D8" s="599"/>
      <c r="E8" s="600"/>
      <c r="F8" s="600"/>
      <c r="G8" s="600"/>
      <c r="H8" s="600"/>
      <c r="I8" s="600"/>
      <c r="J8" s="600"/>
      <c r="K8" s="600"/>
      <c r="L8" s="601"/>
      <c r="M8" s="601"/>
      <c r="N8" s="600"/>
      <c r="O8" s="600"/>
      <c r="P8" s="602"/>
      <c r="Q8" s="62"/>
      <c r="R8" s="63"/>
    </row>
    <row r="9" spans="2:19" s="66" customFormat="1" ht="34.5" customHeight="1" thickBot="1">
      <c r="B9" s="64"/>
      <c r="C9" s="585" t="s">
        <v>176</v>
      </c>
      <c r="D9" s="586"/>
      <c r="E9" s="587" t="s">
        <v>308</v>
      </c>
      <c r="F9" s="587"/>
      <c r="G9" s="587"/>
      <c r="H9" s="587"/>
      <c r="I9" s="587"/>
      <c r="J9" s="587"/>
      <c r="K9" s="587"/>
      <c r="L9" s="588" t="s">
        <v>151</v>
      </c>
      <c r="M9" s="588"/>
      <c r="N9" s="587"/>
      <c r="O9" s="587"/>
      <c r="P9" s="589"/>
      <c r="Q9" s="65"/>
    </row>
    <row r="10" spans="2:19" s="66" customFormat="1" ht="20.100000000000001" customHeight="1" thickBot="1">
      <c r="B10" s="64"/>
      <c r="C10" s="590"/>
      <c r="D10" s="591"/>
      <c r="E10" s="591"/>
      <c r="F10" s="591"/>
      <c r="G10" s="591"/>
      <c r="H10" s="591" t="s">
        <v>152</v>
      </c>
      <c r="I10" s="591"/>
      <c r="J10" s="591"/>
      <c r="K10" s="591"/>
      <c r="L10" s="591"/>
      <c r="M10" s="591"/>
      <c r="N10" s="591"/>
      <c r="O10" s="591"/>
      <c r="P10" s="592"/>
      <c r="Q10" s="65"/>
    </row>
    <row r="11" spans="2:19" ht="394.5" customHeight="1" thickTop="1" thickBot="1">
      <c r="B11" s="60"/>
      <c r="C11" s="574"/>
      <c r="D11" s="575"/>
      <c r="E11" s="575"/>
      <c r="F11" s="575"/>
      <c r="G11" s="576"/>
      <c r="H11" s="574" t="s">
        <v>153</v>
      </c>
      <c r="I11" s="575"/>
      <c r="J11" s="575"/>
      <c r="K11" s="575"/>
      <c r="L11" s="575"/>
      <c r="M11" s="575"/>
      <c r="N11" s="575"/>
      <c r="O11" s="575"/>
      <c r="P11" s="576"/>
      <c r="Q11" s="61"/>
    </row>
    <row r="12" spans="2:19" ht="20.100000000000001" customHeight="1" thickTop="1">
      <c r="B12" s="60"/>
      <c r="C12" s="54"/>
      <c r="Q12" s="61"/>
    </row>
    <row r="13" spans="2:19" ht="46.8">
      <c r="B13" s="60"/>
      <c r="C13" s="89" t="s">
        <v>154</v>
      </c>
      <c r="D13" s="89" t="s">
        <v>155</v>
      </c>
      <c r="E13" s="84" t="s">
        <v>41</v>
      </c>
      <c r="F13" s="84" t="s">
        <v>156</v>
      </c>
      <c r="G13" s="89" t="s">
        <v>157</v>
      </c>
      <c r="H13" s="89" t="s">
        <v>158</v>
      </c>
      <c r="I13" s="89" t="s">
        <v>159</v>
      </c>
      <c r="J13" s="89" t="s">
        <v>160</v>
      </c>
      <c r="K13" s="89" t="s">
        <v>161</v>
      </c>
      <c r="L13" s="89" t="s">
        <v>162</v>
      </c>
      <c r="M13" s="89" t="s">
        <v>163</v>
      </c>
      <c r="N13" s="89" t="s">
        <v>164</v>
      </c>
      <c r="O13" s="89" t="s">
        <v>90</v>
      </c>
      <c r="P13" s="89" t="s">
        <v>93</v>
      </c>
      <c r="Q13" s="61"/>
    </row>
    <row r="14" spans="2:19" s="83" customFormat="1" ht="30" customHeight="1">
      <c r="B14" s="75"/>
      <c r="C14" s="76">
        <v>10.1</v>
      </c>
      <c r="D14" s="77" t="s">
        <v>70</v>
      </c>
      <c r="E14" s="76" t="s">
        <v>167</v>
      </c>
      <c r="F14" s="78">
        <f>ROUND(91325.6*1.02,2)</f>
        <v>93152.11</v>
      </c>
      <c r="G14" s="84" t="s">
        <v>306</v>
      </c>
      <c r="H14" s="79"/>
      <c r="I14" s="79"/>
      <c r="J14" s="79"/>
      <c r="K14" s="79"/>
      <c r="L14" s="79"/>
      <c r="M14" s="79"/>
      <c r="N14" s="79"/>
      <c r="O14" s="79"/>
      <c r="P14" s="96"/>
      <c r="Q14" s="82"/>
      <c r="R14" s="41">
        <f t="shared" ref="R14:R29" si="0">+O14*100  -  INT(O14*100)</f>
        <v>0</v>
      </c>
      <c r="S14" s="41">
        <f t="shared" ref="S14:S21" si="1">+P16*100  -  INT(P16*100)</f>
        <v>0</v>
      </c>
    </row>
    <row r="15" spans="2:19" s="83" customFormat="1" ht="30" customHeight="1">
      <c r="B15" s="75"/>
      <c r="C15" s="86"/>
      <c r="D15" s="87"/>
      <c r="E15" s="86"/>
      <c r="F15" s="88"/>
      <c r="G15" s="250" t="s">
        <v>258</v>
      </c>
      <c r="H15" s="86">
        <v>5.9</v>
      </c>
      <c r="I15" s="86">
        <v>5.57</v>
      </c>
      <c r="J15" s="86"/>
      <c r="K15" s="85">
        <f>H15*I15</f>
        <v>32.863000000000007</v>
      </c>
      <c r="L15" s="86"/>
      <c r="M15" s="86"/>
      <c r="N15" s="85">
        <v>1</v>
      </c>
      <c r="O15" s="85">
        <f>ROUND(K15*N15,2)</f>
        <v>32.86</v>
      </c>
      <c r="P15" s="94"/>
      <c r="Q15" s="82"/>
      <c r="R15" s="41">
        <f t="shared" si="0"/>
        <v>0</v>
      </c>
      <c r="S15" s="41">
        <f t="shared" si="1"/>
        <v>0</v>
      </c>
    </row>
    <row r="16" spans="2:19" s="83" customFormat="1" ht="30" customHeight="1">
      <c r="B16" s="75"/>
      <c r="C16" s="86"/>
      <c r="D16" s="87"/>
      <c r="E16" s="86"/>
      <c r="F16" s="88"/>
      <c r="G16" s="84" t="s">
        <v>307</v>
      </c>
      <c r="H16" s="246"/>
      <c r="I16" s="246"/>
      <c r="J16" s="246"/>
      <c r="K16" s="246"/>
      <c r="L16" s="246"/>
      <c r="M16" s="246"/>
      <c r="N16" s="246"/>
      <c r="O16" s="85"/>
      <c r="P16" s="94"/>
      <c r="Q16" s="82"/>
      <c r="R16" s="41">
        <f t="shared" si="0"/>
        <v>0</v>
      </c>
      <c r="S16" s="41">
        <f t="shared" si="1"/>
        <v>0</v>
      </c>
    </row>
    <row r="17" spans="2:19" s="83" customFormat="1" ht="30" customHeight="1">
      <c r="B17" s="75"/>
      <c r="C17" s="86"/>
      <c r="D17" s="87"/>
      <c r="E17" s="86"/>
      <c r="F17" s="88"/>
      <c r="G17" s="250" t="s">
        <v>258</v>
      </c>
      <c r="H17" s="86">
        <v>4.28</v>
      </c>
      <c r="I17" s="86">
        <v>5.57</v>
      </c>
      <c r="J17" s="86"/>
      <c r="K17" s="85">
        <f>H17*I17</f>
        <v>23.839600000000004</v>
      </c>
      <c r="L17" s="86"/>
      <c r="M17" s="86"/>
      <c r="N17" s="85">
        <v>1</v>
      </c>
      <c r="O17" s="85">
        <f>ROUND(K17*N17,2)</f>
        <v>23.84</v>
      </c>
      <c r="P17" s="94"/>
      <c r="Q17" s="82"/>
      <c r="R17" s="41">
        <f t="shared" si="0"/>
        <v>0</v>
      </c>
      <c r="S17" s="41">
        <f t="shared" si="1"/>
        <v>0</v>
      </c>
    </row>
    <row r="18" spans="2:19" s="83" customFormat="1" ht="30" customHeight="1" thickBot="1">
      <c r="B18" s="75"/>
      <c r="C18" s="90"/>
      <c r="D18" s="91"/>
      <c r="E18" s="90"/>
      <c r="F18" s="92"/>
      <c r="G18" s="90"/>
      <c r="H18" s="93"/>
      <c r="I18" s="93"/>
      <c r="J18" s="93"/>
      <c r="K18" s="93"/>
      <c r="L18" s="93"/>
      <c r="M18" s="262"/>
      <c r="N18" s="93"/>
      <c r="O18" s="73">
        <f>SUM(O14:O17)</f>
        <v>56.7</v>
      </c>
      <c r="P18" s="74">
        <f>ROUND(O18*F14,2)</f>
        <v>5281724.6399999997</v>
      </c>
      <c r="Q18" s="82"/>
      <c r="R18" s="41">
        <f t="shared" si="0"/>
        <v>0</v>
      </c>
      <c r="S18" s="41">
        <f t="shared" si="1"/>
        <v>0</v>
      </c>
    </row>
    <row r="19" spans="2:19" s="83" customFormat="1" ht="30" customHeight="1">
      <c r="B19" s="75"/>
      <c r="C19" s="76">
        <v>7.1</v>
      </c>
      <c r="D19" s="77" t="s">
        <v>55</v>
      </c>
      <c r="E19" s="76" t="s">
        <v>167</v>
      </c>
      <c r="F19" s="78">
        <f>ROUND(33165.57*1.02,2)</f>
        <v>33828.879999999997</v>
      </c>
      <c r="G19" s="84" t="s">
        <v>306</v>
      </c>
      <c r="H19" s="79"/>
      <c r="I19" s="79"/>
      <c r="J19" s="79"/>
      <c r="K19" s="79"/>
      <c r="L19" s="79"/>
      <c r="M19" s="79"/>
      <c r="N19" s="79"/>
      <c r="O19" s="79"/>
      <c r="P19" s="96"/>
      <c r="Q19" s="82"/>
      <c r="R19" s="41">
        <f t="shared" si="0"/>
        <v>0</v>
      </c>
      <c r="S19" s="41">
        <f t="shared" si="1"/>
        <v>0</v>
      </c>
    </row>
    <row r="20" spans="2:19" s="83" customFormat="1" ht="30" customHeight="1">
      <c r="B20" s="75"/>
      <c r="C20" s="86"/>
      <c r="D20" s="87"/>
      <c r="E20" s="86"/>
      <c r="F20" s="88"/>
      <c r="G20" s="250" t="s">
        <v>258</v>
      </c>
      <c r="H20" s="86">
        <v>5.9</v>
      </c>
      <c r="I20" s="86">
        <v>5.57</v>
      </c>
      <c r="J20" s="86"/>
      <c r="K20" s="85">
        <f>H20*I20</f>
        <v>32.863000000000007</v>
      </c>
      <c r="L20" s="86"/>
      <c r="M20" s="86"/>
      <c r="N20" s="85">
        <v>1</v>
      </c>
      <c r="O20" s="85">
        <f>ROUND(K20*N20,2)</f>
        <v>32.86</v>
      </c>
      <c r="P20" s="94"/>
      <c r="Q20" s="82"/>
      <c r="R20" s="41">
        <f t="shared" si="0"/>
        <v>0</v>
      </c>
      <c r="S20" s="41">
        <f t="shared" si="1"/>
        <v>0</v>
      </c>
    </row>
    <row r="21" spans="2:19" s="83" customFormat="1" ht="30" customHeight="1">
      <c r="B21" s="75"/>
      <c r="C21" s="86"/>
      <c r="D21" s="87"/>
      <c r="E21" s="86"/>
      <c r="F21" s="88"/>
      <c r="G21" s="84" t="s">
        <v>307</v>
      </c>
      <c r="H21" s="246"/>
      <c r="I21" s="246"/>
      <c r="J21" s="246"/>
      <c r="K21" s="246"/>
      <c r="L21" s="246"/>
      <c r="M21" s="246"/>
      <c r="N21" s="246"/>
      <c r="O21" s="85"/>
      <c r="P21" s="94"/>
      <c r="Q21" s="82"/>
      <c r="R21" s="41">
        <f t="shared" si="0"/>
        <v>0</v>
      </c>
      <c r="S21" s="41">
        <f t="shared" si="1"/>
        <v>0</v>
      </c>
    </row>
    <row r="22" spans="2:19" s="83" customFormat="1" ht="30" customHeight="1">
      <c r="B22" s="75"/>
      <c r="C22" s="86"/>
      <c r="D22" s="87"/>
      <c r="E22" s="86"/>
      <c r="F22" s="88"/>
      <c r="G22" s="250" t="s">
        <v>258</v>
      </c>
      <c r="H22" s="86">
        <v>4.28</v>
      </c>
      <c r="I22" s="86">
        <v>5.57</v>
      </c>
      <c r="J22" s="86"/>
      <c r="K22" s="85">
        <f>H22*I22</f>
        <v>23.839600000000004</v>
      </c>
      <c r="L22" s="86"/>
      <c r="M22" s="86"/>
      <c r="N22" s="85">
        <v>1</v>
      </c>
      <c r="O22" s="85">
        <f>ROUND(K22*N22,2)</f>
        <v>23.84</v>
      </c>
      <c r="P22" s="94"/>
      <c r="Q22" s="82"/>
      <c r="R22" s="41">
        <f t="shared" si="0"/>
        <v>0</v>
      </c>
      <c r="S22" s="41">
        <f>+P29*100  -  INT(P29*100)</f>
        <v>0</v>
      </c>
    </row>
    <row r="23" spans="2:19" s="83" customFormat="1" ht="30" customHeight="1" thickBot="1">
      <c r="B23" s="75"/>
      <c r="C23" s="90"/>
      <c r="D23" s="91"/>
      <c r="E23" s="90"/>
      <c r="F23" s="92"/>
      <c r="G23" s="90"/>
      <c r="H23" s="93"/>
      <c r="I23" s="93"/>
      <c r="J23" s="93"/>
      <c r="K23" s="93"/>
      <c r="L23" s="93"/>
      <c r="M23" s="262"/>
      <c r="N23" s="93"/>
      <c r="O23" s="73">
        <f>SUM(O19:O22)</f>
        <v>56.7</v>
      </c>
      <c r="P23" s="74">
        <f>ROUND(O23*F19,2)</f>
        <v>1918097.5</v>
      </c>
      <c r="Q23" s="82"/>
      <c r="R23" s="41">
        <f t="shared" si="0"/>
        <v>0</v>
      </c>
      <c r="S23" s="41">
        <f>+P30*100  -  INT(P30*100)</f>
        <v>0</v>
      </c>
    </row>
    <row r="24" spans="2:19" s="83" customFormat="1" ht="30" customHeight="1">
      <c r="B24" s="75"/>
      <c r="C24" s="76" t="s">
        <v>119</v>
      </c>
      <c r="D24" s="77" t="s">
        <v>120</v>
      </c>
      <c r="E24" s="76" t="s">
        <v>57</v>
      </c>
      <c r="F24" s="78">
        <f>ROUND(24013*1.02,2)</f>
        <v>24493.26</v>
      </c>
      <c r="G24" s="97" t="s">
        <v>306</v>
      </c>
      <c r="H24" s="79"/>
      <c r="I24" s="79"/>
      <c r="J24" s="79"/>
      <c r="K24" s="79"/>
      <c r="L24" s="79"/>
      <c r="M24" s="79"/>
      <c r="N24" s="79"/>
      <c r="O24" s="79"/>
      <c r="P24" s="96"/>
      <c r="Q24" s="82"/>
      <c r="R24" s="41">
        <f t="shared" si="0"/>
        <v>0</v>
      </c>
      <c r="S24" s="41">
        <f t="shared" ref="S24:S29" si="2">+P31*100  -  INT(P31*100)</f>
        <v>0</v>
      </c>
    </row>
    <row r="25" spans="2:19" s="83" customFormat="1" ht="30" customHeight="1">
      <c r="B25" s="75"/>
      <c r="C25" s="86"/>
      <c r="D25" s="87"/>
      <c r="E25" s="86"/>
      <c r="F25" s="88"/>
      <c r="G25" s="86" t="s">
        <v>258</v>
      </c>
      <c r="H25" s="86"/>
      <c r="I25" s="86"/>
      <c r="J25" s="86"/>
      <c r="K25" s="85">
        <f>5.9*2+5.57</f>
        <v>17.37</v>
      </c>
      <c r="L25" s="86"/>
      <c r="M25" s="86"/>
      <c r="N25" s="85">
        <v>1</v>
      </c>
      <c r="O25" s="85">
        <f>ROUND(K25*N25,2)</f>
        <v>17.37</v>
      </c>
      <c r="P25" s="94"/>
      <c r="Q25" s="82"/>
      <c r="R25" s="41">
        <f t="shared" si="0"/>
        <v>0</v>
      </c>
      <c r="S25" s="41">
        <f t="shared" si="2"/>
        <v>0</v>
      </c>
    </row>
    <row r="26" spans="2:19" s="83" customFormat="1" ht="30" customHeight="1">
      <c r="B26" s="75"/>
      <c r="C26" s="86"/>
      <c r="D26" s="87"/>
      <c r="E26" s="86"/>
      <c r="F26" s="88"/>
      <c r="G26" s="84" t="s">
        <v>307</v>
      </c>
      <c r="H26" s="246"/>
      <c r="I26" s="246"/>
      <c r="J26" s="246"/>
      <c r="K26" s="246"/>
      <c r="L26" s="246"/>
      <c r="M26" s="246"/>
      <c r="N26" s="246"/>
      <c r="O26" s="85"/>
      <c r="P26" s="94"/>
      <c r="Q26" s="82"/>
      <c r="R26" s="41">
        <f t="shared" si="0"/>
        <v>0</v>
      </c>
      <c r="S26" s="41">
        <f t="shared" si="2"/>
        <v>0</v>
      </c>
    </row>
    <row r="27" spans="2:19" s="83" customFormat="1" ht="30" customHeight="1">
      <c r="B27" s="75"/>
      <c r="C27" s="86"/>
      <c r="D27" s="87"/>
      <c r="E27" s="86"/>
      <c r="F27" s="88"/>
      <c r="G27" s="86" t="s">
        <v>258</v>
      </c>
      <c r="H27" s="86"/>
      <c r="I27" s="86"/>
      <c r="J27" s="86"/>
      <c r="K27" s="85">
        <f>4.28*2+5.57*2</f>
        <v>19.700000000000003</v>
      </c>
      <c r="L27" s="86"/>
      <c r="M27" s="86"/>
      <c r="N27" s="85">
        <v>1</v>
      </c>
      <c r="O27" s="85">
        <f>ROUND(K27*N27,2)</f>
        <v>19.7</v>
      </c>
      <c r="P27" s="94"/>
      <c r="Q27" s="82"/>
      <c r="R27" s="41">
        <f t="shared" si="0"/>
        <v>0</v>
      </c>
      <c r="S27" s="41">
        <f t="shared" si="2"/>
        <v>0</v>
      </c>
    </row>
    <row r="28" spans="2:19" s="83" customFormat="1" ht="30" customHeight="1">
      <c r="B28" s="75"/>
      <c r="C28" s="86"/>
      <c r="D28" s="87"/>
      <c r="E28" s="86"/>
      <c r="F28" s="88"/>
      <c r="G28" s="86"/>
      <c r="H28" s="76"/>
      <c r="I28" s="76"/>
      <c r="J28" s="76"/>
      <c r="K28" s="79"/>
      <c r="L28" s="76"/>
      <c r="M28" s="86"/>
      <c r="N28" s="85"/>
      <c r="O28" s="244">
        <f>SUM(O24:O27)</f>
        <v>37.07</v>
      </c>
      <c r="P28" s="245">
        <f>ROUND(O28*F24,2)</f>
        <v>907965.15</v>
      </c>
      <c r="Q28" s="82"/>
      <c r="R28" s="41">
        <f t="shared" si="0"/>
        <v>0</v>
      </c>
      <c r="S28" s="41">
        <f t="shared" si="2"/>
        <v>0</v>
      </c>
    </row>
    <row r="29" spans="2:19" s="104" customFormat="1" ht="30" customHeight="1">
      <c r="B29" s="100"/>
      <c r="C29" s="577" t="s">
        <v>174</v>
      </c>
      <c r="D29" s="577"/>
      <c r="E29" s="577"/>
      <c r="F29" s="577"/>
      <c r="G29" s="577"/>
      <c r="H29" s="577"/>
      <c r="I29" s="577"/>
      <c r="J29" s="577"/>
      <c r="K29" s="577"/>
      <c r="L29" s="577"/>
      <c r="M29" s="577"/>
      <c r="N29" s="577"/>
      <c r="O29" s="577"/>
      <c r="P29" s="99">
        <f>ROUND(SUM(P14:P28)*1.3,0)</f>
        <v>10540123</v>
      </c>
      <c r="Q29" s="103"/>
      <c r="R29" s="41">
        <f t="shared" si="0"/>
        <v>0</v>
      </c>
      <c r="S29" s="41">
        <f t="shared" si="2"/>
        <v>0</v>
      </c>
    </row>
    <row r="30" spans="2:19" s="104" customFormat="1" ht="8.4" customHeight="1">
      <c r="B30" s="100"/>
      <c r="C30" s="101"/>
      <c r="D30" s="101"/>
      <c r="E30" s="101"/>
      <c r="F30" s="101"/>
      <c r="G30" s="101"/>
      <c r="H30" s="101"/>
      <c r="I30" s="101"/>
      <c r="J30" s="101"/>
      <c r="K30" s="101"/>
      <c r="L30" s="101"/>
      <c r="M30" s="101"/>
      <c r="N30" s="101"/>
      <c r="O30" s="101"/>
      <c r="P30" s="102"/>
      <c r="Q30" s="103"/>
      <c r="R30" s="41"/>
      <c r="S30" s="41"/>
    </row>
    <row r="31" spans="2:19" ht="5.4" customHeight="1" thickBot="1">
      <c r="B31" s="60"/>
      <c r="Q31" s="61"/>
    </row>
    <row r="32" spans="2:19" ht="16.2" thickTop="1">
      <c r="B32" s="60"/>
      <c r="C32" s="578" t="s">
        <v>148</v>
      </c>
      <c r="D32" s="579"/>
      <c r="E32" s="579"/>
      <c r="F32" s="579"/>
      <c r="G32" s="580"/>
      <c r="I32" s="578" t="s">
        <v>146</v>
      </c>
      <c r="J32" s="579"/>
      <c r="K32" s="579"/>
      <c r="L32" s="579"/>
      <c r="M32" s="579"/>
      <c r="N32" s="579"/>
      <c r="O32" s="579"/>
      <c r="P32" s="580"/>
      <c r="Q32" s="61"/>
    </row>
    <row r="33" spans="2:17">
      <c r="B33" s="60"/>
      <c r="C33" s="105" t="s">
        <v>92</v>
      </c>
      <c r="D33" s="581" t="s">
        <v>149</v>
      </c>
      <c r="E33" s="581"/>
      <c r="F33" s="581"/>
      <c r="G33" s="582"/>
      <c r="I33" s="583" t="s">
        <v>92</v>
      </c>
      <c r="J33" s="584"/>
      <c r="K33" s="581"/>
      <c r="L33" s="581"/>
      <c r="M33" s="581"/>
      <c r="N33" s="581"/>
      <c r="O33" s="581"/>
      <c r="P33" s="582"/>
      <c r="Q33" s="61"/>
    </row>
    <row r="34" spans="2:17" ht="45" customHeight="1">
      <c r="B34" s="60"/>
      <c r="C34" s="106" t="s">
        <v>175</v>
      </c>
      <c r="D34" s="568"/>
      <c r="E34" s="568"/>
      <c r="F34" s="568"/>
      <c r="G34" s="569"/>
      <c r="I34" s="570" t="s">
        <v>175</v>
      </c>
      <c r="J34" s="571"/>
      <c r="K34" s="572"/>
      <c r="L34" s="572"/>
      <c r="M34" s="572"/>
      <c r="N34" s="572"/>
      <c r="O34" s="572"/>
      <c r="P34" s="573"/>
      <c r="Q34" s="61"/>
    </row>
    <row r="35" spans="2:17" ht="16.2" thickBot="1">
      <c r="B35" s="60"/>
      <c r="C35" s="107"/>
      <c r="D35" s="108"/>
      <c r="E35" s="108"/>
      <c r="F35" s="108"/>
      <c r="G35" s="109"/>
      <c r="I35" s="107"/>
      <c r="J35" s="108"/>
      <c r="K35" s="108"/>
      <c r="L35" s="108"/>
      <c r="M35" s="108"/>
      <c r="N35" s="110"/>
      <c r="O35" s="110"/>
      <c r="P35" s="111"/>
      <c r="Q35" s="61"/>
    </row>
    <row r="36" spans="2:17" ht="6.9" customHeight="1" thickTop="1" thickBot="1">
      <c r="B36" s="112"/>
      <c r="C36" s="108"/>
      <c r="D36" s="108"/>
      <c r="E36" s="108"/>
      <c r="F36" s="108"/>
      <c r="G36" s="108"/>
      <c r="H36" s="108"/>
      <c r="I36" s="108"/>
      <c r="J36" s="108"/>
      <c r="K36" s="108"/>
      <c r="L36" s="108"/>
      <c r="M36" s="108"/>
      <c r="N36" s="110"/>
      <c r="O36" s="110"/>
      <c r="P36" s="110"/>
      <c r="Q36" s="111"/>
    </row>
    <row r="37" spans="2:17" ht="16.2" thickTop="1"/>
    <row r="1048346" spans="15:15">
      <c r="O1048346" s="80"/>
    </row>
  </sheetData>
  <mergeCells count="33">
    <mergeCell ref="D34:G34"/>
    <mergeCell ref="I34:J34"/>
    <mergeCell ref="K34:P34"/>
    <mergeCell ref="C11:G11"/>
    <mergeCell ref="H11:P11"/>
    <mergeCell ref="C29:O29"/>
    <mergeCell ref="C32:G32"/>
    <mergeCell ref="I32:P32"/>
    <mergeCell ref="D33:G33"/>
    <mergeCell ref="I33:J33"/>
    <mergeCell ref="K33:P33"/>
    <mergeCell ref="C9:D9"/>
    <mergeCell ref="E9:K9"/>
    <mergeCell ref="L9:M9"/>
    <mergeCell ref="N9:P9"/>
    <mergeCell ref="C10:G10"/>
    <mergeCell ref="H10:P10"/>
    <mergeCell ref="C6:D6"/>
    <mergeCell ref="E6:K6"/>
    <mergeCell ref="L6:M6"/>
    <mergeCell ref="N6:P6"/>
    <mergeCell ref="C7:D8"/>
    <mergeCell ref="E7:K8"/>
    <mergeCell ref="L7:M8"/>
    <mergeCell ref="N7:P8"/>
    <mergeCell ref="C3:N3"/>
    <mergeCell ref="O3:O4"/>
    <mergeCell ref="P3:P4"/>
    <mergeCell ref="C4:N4"/>
    <mergeCell ref="C5:D5"/>
    <mergeCell ref="E5:K5"/>
    <mergeCell ref="L5:M5"/>
    <mergeCell ref="N5:P5"/>
  </mergeCell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expression" priority="2" id="{DD2ECA31-163F-486F-8FF1-D978B2346E44}">
            <xm:f>'C:\Users\HP PAVILION\Desktop\MEJORAMIENTOS DE VIVIENEDA_ COMBITA_SAMC-004_2026\[SÁBANA_GENERAL_25.08.26.xlsx]02_USU_ARS_M1 '!#REF!&gt;0</xm:f>
            <x14:dxf>
              <fill>
                <patternFill>
                  <bgColor rgb="FFFF0000"/>
                </patternFill>
              </fill>
            </x14:dxf>
          </x14:cfRule>
          <xm:sqref>R14:S29</xm:sqref>
        </x14:conditionalFormatting>
        <x14:conditionalFormatting xmlns:xm="http://schemas.microsoft.com/office/excel/2006/main">
          <x14:cfRule type="expression" priority="1" id="{BED2D8DC-EDFB-4265-AB52-34D78FDBD130}">
            <xm:f>'ESCUELA DE SAN FRANCISCO'!R91&gt;0</xm:f>
            <x14:dxf>
              <fill>
                <patternFill>
                  <bgColor rgb="FFFF0000"/>
                </patternFill>
              </fill>
            </x14:dxf>
          </x14:cfRule>
          <xm:sqref>R30:S30</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S1048351"/>
  <sheetViews>
    <sheetView zoomScale="60" zoomScaleNormal="60" workbookViewId="0">
      <selection activeCell="C4" sqref="C4:N4"/>
    </sheetView>
  </sheetViews>
  <sheetFormatPr baseColWidth="10" defaultColWidth="11.44140625" defaultRowHeight="15.6"/>
  <cols>
    <col min="1" max="1" width="11.44140625" style="54"/>
    <col min="2" max="2" width="1.109375" style="54" customWidth="1"/>
    <col min="3" max="3" width="12.6640625" style="55" customWidth="1"/>
    <col min="4" max="4" width="50.6640625" style="55" customWidth="1"/>
    <col min="5" max="5" width="6.33203125" style="55" customWidth="1"/>
    <col min="6" max="6" width="17.33203125" style="55" customWidth="1"/>
    <col min="7" max="7" width="25.6640625" style="55" customWidth="1"/>
    <col min="8" max="10" width="8.6640625" style="55" customWidth="1"/>
    <col min="11" max="11" width="11.44140625" style="55" customWidth="1"/>
    <col min="12" max="13" width="7.6640625" style="55" customWidth="1"/>
    <col min="14" max="14" width="7.6640625" style="54" customWidth="1"/>
    <col min="15" max="15" width="30.6640625" style="54" customWidth="1"/>
    <col min="16" max="16" width="25.44140625" style="54" customWidth="1"/>
    <col min="17" max="17" width="1.109375" style="54" customWidth="1"/>
    <col min="18" max="18" width="10.6640625" style="54" customWidth="1"/>
    <col min="19" max="19" width="11.44140625" style="54"/>
    <col min="20" max="20" width="0" style="54" hidden="1" customWidth="1"/>
    <col min="21" max="21" width="15.109375" style="54" bestFit="1" customWidth="1"/>
    <col min="22" max="16384" width="11.44140625" style="54"/>
  </cols>
  <sheetData>
    <row r="1" spans="2:19" ht="16.2" thickBot="1"/>
    <row r="2" spans="2:19" ht="6.9" customHeight="1" thickTop="1" thickBot="1">
      <c r="B2" s="56"/>
      <c r="C2" s="57"/>
      <c r="D2" s="57"/>
      <c r="E2" s="57"/>
      <c r="F2" s="57"/>
      <c r="G2" s="57"/>
      <c r="H2" s="57"/>
      <c r="I2" s="57"/>
      <c r="J2" s="57"/>
      <c r="K2" s="57"/>
      <c r="L2" s="57"/>
      <c r="M2" s="57"/>
      <c r="N2" s="58"/>
      <c r="O2" s="58"/>
      <c r="P2" s="58"/>
      <c r="Q2" s="59"/>
    </row>
    <row r="3" spans="2:19" ht="30" customHeight="1" thickBot="1">
      <c r="B3" s="60"/>
      <c r="C3" s="603" t="s">
        <v>145</v>
      </c>
      <c r="D3" s="604"/>
      <c r="E3" s="604"/>
      <c r="F3" s="604"/>
      <c r="G3" s="604"/>
      <c r="H3" s="604"/>
      <c r="I3" s="604"/>
      <c r="J3" s="604"/>
      <c r="K3" s="604"/>
      <c r="L3" s="604"/>
      <c r="M3" s="604"/>
      <c r="N3" s="605"/>
      <c r="O3" s="606"/>
      <c r="P3" s="608"/>
      <c r="Q3" s="61"/>
    </row>
    <row r="4" spans="2:19" ht="20.100000000000001" customHeight="1" thickBot="1">
      <c r="B4" s="60"/>
      <c r="C4" s="603"/>
      <c r="D4" s="604"/>
      <c r="E4" s="604"/>
      <c r="F4" s="604"/>
      <c r="G4" s="604"/>
      <c r="H4" s="604"/>
      <c r="I4" s="604"/>
      <c r="J4" s="604"/>
      <c r="K4" s="604"/>
      <c r="L4" s="604"/>
      <c r="M4" s="604"/>
      <c r="N4" s="605"/>
      <c r="O4" s="607"/>
      <c r="P4" s="609"/>
      <c r="Q4" s="61"/>
    </row>
    <row r="5" spans="2:19">
      <c r="B5" s="60"/>
      <c r="C5" s="593" t="s">
        <v>146</v>
      </c>
      <c r="D5" s="594"/>
      <c r="E5" s="595"/>
      <c r="F5" s="595"/>
      <c r="G5" s="595"/>
      <c r="H5" s="595"/>
      <c r="I5" s="595"/>
      <c r="J5" s="595"/>
      <c r="K5" s="595"/>
      <c r="L5" s="594" t="s">
        <v>147</v>
      </c>
      <c r="M5" s="594"/>
      <c r="N5" s="595"/>
      <c r="O5" s="595"/>
      <c r="P5" s="610"/>
      <c r="Q5" s="61"/>
    </row>
    <row r="6" spans="2:19">
      <c r="B6" s="60"/>
      <c r="C6" s="593" t="s">
        <v>148</v>
      </c>
      <c r="D6" s="594"/>
      <c r="E6" s="595" t="s">
        <v>149</v>
      </c>
      <c r="F6" s="595"/>
      <c r="G6" s="595"/>
      <c r="H6" s="595"/>
      <c r="I6" s="595"/>
      <c r="J6" s="595"/>
      <c r="K6" s="595"/>
      <c r="L6" s="594" t="s">
        <v>150</v>
      </c>
      <c r="M6" s="594"/>
      <c r="N6" s="596"/>
      <c r="O6" s="596"/>
      <c r="P6" s="597"/>
      <c r="Q6" s="61"/>
    </row>
    <row r="7" spans="2:19" ht="15" customHeight="1">
      <c r="B7" s="60"/>
      <c r="C7" s="598" t="s">
        <v>88</v>
      </c>
      <c r="D7" s="599"/>
      <c r="E7" s="600"/>
      <c r="F7" s="600"/>
      <c r="G7" s="600"/>
      <c r="H7" s="600"/>
      <c r="I7" s="600"/>
      <c r="J7" s="600"/>
      <c r="K7" s="600"/>
      <c r="L7" s="601" t="s">
        <v>86</v>
      </c>
      <c r="M7" s="601"/>
      <c r="N7" s="600"/>
      <c r="O7" s="600"/>
      <c r="P7" s="602"/>
      <c r="Q7" s="61"/>
    </row>
    <row r="8" spans="2:19">
      <c r="B8" s="60"/>
      <c r="C8" s="598"/>
      <c r="D8" s="599"/>
      <c r="E8" s="600"/>
      <c r="F8" s="600"/>
      <c r="G8" s="600"/>
      <c r="H8" s="600"/>
      <c r="I8" s="600"/>
      <c r="J8" s="600"/>
      <c r="K8" s="600"/>
      <c r="L8" s="601"/>
      <c r="M8" s="601"/>
      <c r="N8" s="600"/>
      <c r="O8" s="600"/>
      <c r="P8" s="602"/>
      <c r="Q8" s="62"/>
      <c r="R8" s="63"/>
    </row>
    <row r="9" spans="2:19" s="66" customFormat="1" ht="34.5" customHeight="1" thickBot="1">
      <c r="B9" s="64"/>
      <c r="C9" s="585" t="s">
        <v>176</v>
      </c>
      <c r="D9" s="586"/>
      <c r="E9" s="587" t="s">
        <v>309</v>
      </c>
      <c r="F9" s="587"/>
      <c r="G9" s="587"/>
      <c r="H9" s="587"/>
      <c r="I9" s="587"/>
      <c r="J9" s="587"/>
      <c r="K9" s="587"/>
      <c r="L9" s="588" t="s">
        <v>151</v>
      </c>
      <c r="M9" s="588"/>
      <c r="N9" s="587"/>
      <c r="O9" s="587"/>
      <c r="P9" s="589"/>
      <c r="Q9" s="65"/>
    </row>
    <row r="10" spans="2:19" s="66" customFormat="1" ht="20.100000000000001" customHeight="1" thickBot="1">
      <c r="B10" s="64"/>
      <c r="C10" s="590"/>
      <c r="D10" s="591"/>
      <c r="E10" s="591"/>
      <c r="F10" s="591"/>
      <c r="G10" s="591"/>
      <c r="H10" s="591" t="s">
        <v>152</v>
      </c>
      <c r="I10" s="591"/>
      <c r="J10" s="591"/>
      <c r="K10" s="591"/>
      <c r="L10" s="591"/>
      <c r="M10" s="591"/>
      <c r="N10" s="591"/>
      <c r="O10" s="591"/>
      <c r="P10" s="592"/>
      <c r="Q10" s="65"/>
    </row>
    <row r="11" spans="2:19" ht="394.5" customHeight="1" thickTop="1" thickBot="1">
      <c r="B11" s="60"/>
      <c r="C11" s="574"/>
      <c r="D11" s="575"/>
      <c r="E11" s="575"/>
      <c r="F11" s="575"/>
      <c r="G11" s="576"/>
      <c r="H11" s="574" t="s">
        <v>153</v>
      </c>
      <c r="I11" s="575"/>
      <c r="J11" s="575"/>
      <c r="K11" s="575"/>
      <c r="L11" s="575"/>
      <c r="M11" s="575"/>
      <c r="N11" s="575"/>
      <c r="O11" s="575"/>
      <c r="P11" s="576"/>
      <c r="Q11" s="61"/>
    </row>
    <row r="12" spans="2:19" ht="20.100000000000001" customHeight="1" thickTop="1">
      <c r="B12" s="60"/>
      <c r="C12" s="54"/>
      <c r="Q12" s="61"/>
    </row>
    <row r="13" spans="2:19" ht="47.4" thickBot="1">
      <c r="B13" s="60"/>
      <c r="C13" s="89" t="s">
        <v>154</v>
      </c>
      <c r="D13" s="89" t="s">
        <v>155</v>
      </c>
      <c r="E13" s="84" t="s">
        <v>41</v>
      </c>
      <c r="F13" s="84" t="s">
        <v>156</v>
      </c>
      <c r="G13" s="89" t="s">
        <v>157</v>
      </c>
      <c r="H13" s="89" t="s">
        <v>158</v>
      </c>
      <c r="I13" s="89" t="s">
        <v>159</v>
      </c>
      <c r="J13" s="89" t="s">
        <v>160</v>
      </c>
      <c r="K13" s="89" t="s">
        <v>161</v>
      </c>
      <c r="L13" s="89" t="s">
        <v>162</v>
      </c>
      <c r="M13" s="89" t="s">
        <v>163</v>
      </c>
      <c r="N13" s="89" t="s">
        <v>164</v>
      </c>
      <c r="O13" s="89" t="s">
        <v>90</v>
      </c>
      <c r="P13" s="89" t="s">
        <v>93</v>
      </c>
      <c r="Q13" s="61"/>
    </row>
    <row r="14" spans="2:19" s="83" customFormat="1" ht="30" customHeight="1" thickBot="1">
      <c r="B14" s="75"/>
      <c r="C14" s="68">
        <v>1.6</v>
      </c>
      <c r="D14" s="69" t="s">
        <v>266</v>
      </c>
      <c r="E14" s="68" t="s">
        <v>267</v>
      </c>
      <c r="F14" s="70">
        <f>ROUND(70577.63,2)</f>
        <v>70577.63</v>
      </c>
      <c r="G14" s="261" t="s">
        <v>268</v>
      </c>
      <c r="H14" s="72">
        <v>0.6</v>
      </c>
      <c r="I14" s="72">
        <v>0.6</v>
      </c>
      <c r="J14" s="72">
        <v>0.6</v>
      </c>
      <c r="K14" s="72">
        <f>H14*I14*J14</f>
        <v>0.216</v>
      </c>
      <c r="L14" s="72"/>
      <c r="M14" s="72"/>
      <c r="N14" s="72">
        <v>1</v>
      </c>
      <c r="O14" s="241">
        <f t="shared" ref="O14:O16" si="0">ROUND(K14*N14,2)</f>
        <v>0.22</v>
      </c>
      <c r="P14" s="240">
        <f>ROUND(O14*F14,2)</f>
        <v>15527.08</v>
      </c>
      <c r="Q14" s="82"/>
      <c r="R14" s="41">
        <f t="shared" ref="R14:R34" si="1">+O14*100  -  INT(O14*100)</f>
        <v>0</v>
      </c>
      <c r="S14" s="41">
        <f t="shared" ref="S14:S23" si="2">+P18*100  -  INT(P18*100)</f>
        <v>0</v>
      </c>
    </row>
    <row r="15" spans="2:19" s="83" customFormat="1" ht="30" customHeight="1" thickBot="1">
      <c r="B15" s="75"/>
      <c r="C15" s="68" t="s">
        <v>135</v>
      </c>
      <c r="D15" s="69" t="s">
        <v>137</v>
      </c>
      <c r="E15" s="68" t="s">
        <v>267</v>
      </c>
      <c r="F15" s="70">
        <f>ROUND(918441.77*1.02,2)</f>
        <v>936810.61</v>
      </c>
      <c r="G15" s="261" t="s">
        <v>269</v>
      </c>
      <c r="H15" s="72">
        <v>0.6</v>
      </c>
      <c r="I15" s="72">
        <v>0.6</v>
      </c>
      <c r="J15" s="72">
        <v>0.6</v>
      </c>
      <c r="K15" s="72">
        <f>H15*I15*J15</f>
        <v>0.216</v>
      </c>
      <c r="L15" s="72"/>
      <c r="M15" s="72"/>
      <c r="N15" s="72">
        <v>1</v>
      </c>
      <c r="O15" s="241">
        <f t="shared" si="0"/>
        <v>0.22</v>
      </c>
      <c r="P15" s="240">
        <f>ROUND(O15*F15,2)</f>
        <v>206098.33</v>
      </c>
      <c r="Q15" s="82"/>
      <c r="R15" s="41">
        <f t="shared" si="1"/>
        <v>0</v>
      </c>
      <c r="S15" s="41">
        <f t="shared" si="2"/>
        <v>0</v>
      </c>
    </row>
    <row r="16" spans="2:19" s="83" customFormat="1" ht="30" customHeight="1" thickBot="1">
      <c r="B16" s="75"/>
      <c r="C16" s="68">
        <v>3.2</v>
      </c>
      <c r="D16" s="69" t="s">
        <v>23</v>
      </c>
      <c r="E16" s="68" t="s">
        <v>15</v>
      </c>
      <c r="F16" s="70">
        <f>ROUND(1137084.62*1.02,2)</f>
        <v>1159826.31</v>
      </c>
      <c r="G16" s="68" t="s">
        <v>270</v>
      </c>
      <c r="H16" s="72">
        <v>0.2</v>
      </c>
      <c r="I16" s="72">
        <v>0.2</v>
      </c>
      <c r="J16" s="72">
        <v>5</v>
      </c>
      <c r="K16" s="72">
        <f>H16*I16*J16</f>
        <v>0.20000000000000004</v>
      </c>
      <c r="L16" s="72"/>
      <c r="M16" s="72"/>
      <c r="N16" s="72">
        <v>1</v>
      </c>
      <c r="O16" s="98">
        <f t="shared" si="0"/>
        <v>0.2</v>
      </c>
      <c r="P16" s="95">
        <f>ROUND(O16*F16,2)</f>
        <v>231965.26</v>
      </c>
      <c r="Q16" s="82"/>
      <c r="R16" s="41">
        <f t="shared" si="1"/>
        <v>0</v>
      </c>
      <c r="S16" s="41">
        <f t="shared" si="2"/>
        <v>0</v>
      </c>
    </row>
    <row r="17" spans="2:19" s="83" customFormat="1" ht="30" customHeight="1" thickBot="1">
      <c r="B17" s="75"/>
      <c r="C17" s="68" t="s">
        <v>127</v>
      </c>
      <c r="D17" s="69" t="s">
        <v>128</v>
      </c>
      <c r="E17" s="68" t="s">
        <v>167</v>
      </c>
      <c r="F17" s="70">
        <f>ROUND(162748.88*1.02,2)</f>
        <v>166003.85999999999</v>
      </c>
      <c r="G17" s="68" t="s">
        <v>265</v>
      </c>
      <c r="H17" s="72">
        <v>1</v>
      </c>
      <c r="I17" s="72">
        <v>1</v>
      </c>
      <c r="J17" s="72"/>
      <c r="K17" s="72">
        <f>H17*I17</f>
        <v>1</v>
      </c>
      <c r="L17" s="72"/>
      <c r="M17" s="72"/>
      <c r="N17" s="269">
        <v>1</v>
      </c>
      <c r="O17" s="98">
        <f>ROUND(K17*N17,2)</f>
        <v>1</v>
      </c>
      <c r="P17" s="95">
        <f>ROUND(O17*F17,2)</f>
        <v>166003.85999999999</v>
      </c>
      <c r="Q17" s="82"/>
      <c r="R17" s="41">
        <f t="shared" si="1"/>
        <v>0</v>
      </c>
      <c r="S17" s="41">
        <f t="shared" si="2"/>
        <v>0</v>
      </c>
    </row>
    <row r="18" spans="2:19" s="83" customFormat="1" ht="30" customHeight="1">
      <c r="B18" s="75"/>
      <c r="C18" s="76">
        <v>2.4</v>
      </c>
      <c r="D18" s="77" t="s">
        <v>271</v>
      </c>
      <c r="E18" s="76" t="s">
        <v>272</v>
      </c>
      <c r="F18" s="78">
        <f>ROUND(7675.05*1.02,2)</f>
        <v>7828.55</v>
      </c>
      <c r="G18" s="76" t="s">
        <v>269</v>
      </c>
      <c r="H18" s="79">
        <v>0.55000000000000004</v>
      </c>
      <c r="I18" s="79"/>
      <c r="J18" s="79"/>
      <c r="K18" s="79"/>
      <c r="L18" s="79" t="s">
        <v>273</v>
      </c>
      <c r="M18" s="79">
        <v>0.998</v>
      </c>
      <c r="N18" s="79">
        <v>10</v>
      </c>
      <c r="O18" s="79">
        <f>ROUND(H18*M18*N18,2)</f>
        <v>5.49</v>
      </c>
      <c r="P18" s="96"/>
      <c r="Q18" s="82"/>
      <c r="R18" s="41">
        <f t="shared" si="1"/>
        <v>0</v>
      </c>
      <c r="S18" s="41">
        <f t="shared" si="2"/>
        <v>0</v>
      </c>
    </row>
    <row r="19" spans="2:19" s="83" customFormat="1" ht="30" customHeight="1">
      <c r="B19" s="75"/>
      <c r="C19" s="86"/>
      <c r="D19" s="87"/>
      <c r="E19" s="86"/>
      <c r="F19" s="88"/>
      <c r="G19" s="86" t="s">
        <v>274</v>
      </c>
      <c r="H19" s="85">
        <v>5</v>
      </c>
      <c r="I19" s="85"/>
      <c r="J19" s="85"/>
      <c r="K19" s="85"/>
      <c r="L19" s="85" t="s">
        <v>273</v>
      </c>
      <c r="M19" s="85">
        <v>0.998</v>
      </c>
      <c r="N19" s="85">
        <v>4</v>
      </c>
      <c r="O19" s="79">
        <f>ROUND(H19*M19*N19,2)</f>
        <v>19.96</v>
      </c>
      <c r="P19" s="94"/>
      <c r="Q19" s="82"/>
      <c r="R19" s="41">
        <f t="shared" si="1"/>
        <v>0</v>
      </c>
      <c r="S19" s="41">
        <f t="shared" si="2"/>
        <v>0</v>
      </c>
    </row>
    <row r="20" spans="2:19" s="83" customFormat="1" ht="30" customHeight="1">
      <c r="B20" s="75"/>
      <c r="C20" s="86"/>
      <c r="D20" s="87"/>
      <c r="E20" s="86"/>
      <c r="F20" s="88"/>
      <c r="G20" s="86" t="s">
        <v>275</v>
      </c>
      <c r="H20" s="85">
        <v>0.75</v>
      </c>
      <c r="I20" s="85"/>
      <c r="J20" s="85"/>
      <c r="K20" s="85"/>
      <c r="L20" s="85" t="s">
        <v>276</v>
      </c>
      <c r="M20" s="4">
        <v>0.56000000000000005</v>
      </c>
      <c r="N20" s="85">
        <f>3.6/0.15</f>
        <v>24</v>
      </c>
      <c r="O20" s="79">
        <f>ROUND(H20*M20*N20,2)</f>
        <v>10.08</v>
      </c>
      <c r="P20" s="94"/>
      <c r="Q20" s="82"/>
      <c r="R20" s="41">
        <f t="shared" si="1"/>
        <v>0</v>
      </c>
      <c r="S20" s="41">
        <f t="shared" si="2"/>
        <v>0</v>
      </c>
    </row>
    <row r="21" spans="2:19" s="83" customFormat="1" ht="30" customHeight="1">
      <c r="B21" s="75"/>
      <c r="C21" s="86"/>
      <c r="D21" s="87"/>
      <c r="E21" s="86"/>
      <c r="F21" s="88"/>
      <c r="G21" s="86" t="s">
        <v>277</v>
      </c>
      <c r="H21" s="85">
        <v>0.95</v>
      </c>
      <c r="I21" s="85"/>
      <c r="J21" s="85"/>
      <c r="K21" s="85"/>
      <c r="L21" s="85" t="s">
        <v>273</v>
      </c>
      <c r="M21" s="4">
        <v>0.998</v>
      </c>
      <c r="N21" s="85">
        <v>20</v>
      </c>
      <c r="O21" s="79">
        <f>ROUND(H21*M21*N21,2)</f>
        <v>18.96</v>
      </c>
      <c r="P21" s="94"/>
      <c r="Q21" s="82"/>
      <c r="R21" s="41">
        <f t="shared" si="1"/>
        <v>0</v>
      </c>
      <c r="S21" s="41">
        <f t="shared" si="2"/>
        <v>0</v>
      </c>
    </row>
    <row r="22" spans="2:19" s="83" customFormat="1" ht="30" customHeight="1" thickBot="1">
      <c r="B22" s="75"/>
      <c r="C22" s="90"/>
      <c r="D22" s="91"/>
      <c r="E22" s="90"/>
      <c r="F22" s="92"/>
      <c r="G22" s="90"/>
      <c r="H22" s="93"/>
      <c r="I22" s="93"/>
      <c r="J22" s="93"/>
      <c r="K22" s="93"/>
      <c r="L22" s="93"/>
      <c r="M22" s="262"/>
      <c r="N22" s="93"/>
      <c r="O22" s="73">
        <f>SUM(O18:O21)</f>
        <v>54.49</v>
      </c>
      <c r="P22" s="74">
        <f>ROUND(O22*F18,2)</f>
        <v>426577.69</v>
      </c>
      <c r="Q22" s="82"/>
      <c r="R22" s="41">
        <f t="shared" si="1"/>
        <v>0</v>
      </c>
      <c r="S22" s="41">
        <f t="shared" si="2"/>
        <v>0</v>
      </c>
    </row>
    <row r="23" spans="2:19" s="83" customFormat="1" ht="30" customHeight="1" thickBot="1">
      <c r="B23" s="75"/>
      <c r="C23" s="68">
        <v>5.7</v>
      </c>
      <c r="D23" s="69" t="s">
        <v>304</v>
      </c>
      <c r="E23" s="68" t="s">
        <v>173</v>
      </c>
      <c r="F23" s="70">
        <f>ROUND(1000269.67*1.02,2)</f>
        <v>1020275.06</v>
      </c>
      <c r="G23" s="68" t="s">
        <v>279</v>
      </c>
      <c r="H23" s="72"/>
      <c r="I23" s="72"/>
      <c r="J23" s="72"/>
      <c r="K23" s="72"/>
      <c r="L23" s="72"/>
      <c r="M23" s="72"/>
      <c r="N23" s="72">
        <v>1</v>
      </c>
      <c r="O23" s="98">
        <f>N23</f>
        <v>1</v>
      </c>
      <c r="P23" s="95">
        <f t="shared" ref="P23:P30" si="3">ROUND(O23*F23,2)</f>
        <v>1020275.06</v>
      </c>
      <c r="Q23" s="82"/>
      <c r="R23" s="41">
        <f t="shared" si="1"/>
        <v>0</v>
      </c>
      <c r="S23" s="41">
        <f t="shared" si="2"/>
        <v>0</v>
      </c>
    </row>
    <row r="24" spans="2:19" s="83" customFormat="1" ht="30" customHeight="1" thickBot="1">
      <c r="B24" s="75"/>
      <c r="C24" s="235">
        <v>5.6</v>
      </c>
      <c r="D24" s="236" t="s">
        <v>47</v>
      </c>
      <c r="E24" s="235" t="s">
        <v>173</v>
      </c>
      <c r="F24" s="237">
        <f>ROUND(89118.87*1.02,2)</f>
        <v>90901.25</v>
      </c>
      <c r="G24" s="235" t="s">
        <v>280</v>
      </c>
      <c r="H24" s="239"/>
      <c r="I24" s="239"/>
      <c r="J24" s="239"/>
      <c r="K24" s="239"/>
      <c r="L24" s="239"/>
      <c r="M24" s="239"/>
      <c r="N24" s="239">
        <v>1</v>
      </c>
      <c r="O24" s="241">
        <f>N24</f>
        <v>1</v>
      </c>
      <c r="P24" s="240">
        <f t="shared" si="3"/>
        <v>90901.25</v>
      </c>
      <c r="Q24" s="82"/>
      <c r="R24" s="41">
        <f t="shared" si="1"/>
        <v>0</v>
      </c>
      <c r="S24" s="41">
        <f>+P34*100  -  INT(P34*100)</f>
        <v>0</v>
      </c>
    </row>
    <row r="25" spans="2:19" s="83" customFormat="1" ht="30" customHeight="1" thickBot="1">
      <c r="B25" s="75"/>
      <c r="C25" s="235">
        <v>5.0999999999999996</v>
      </c>
      <c r="D25" s="236" t="s">
        <v>38</v>
      </c>
      <c r="E25" s="235" t="s">
        <v>31</v>
      </c>
      <c r="F25" s="237">
        <f>ROUND(7548.65*1.02,2)</f>
        <v>7699.62</v>
      </c>
      <c r="G25" s="235" t="s">
        <v>281</v>
      </c>
      <c r="H25" s="239">
        <v>6</v>
      </c>
      <c r="I25" s="239"/>
      <c r="J25" s="239"/>
      <c r="K25" s="239"/>
      <c r="L25" s="239"/>
      <c r="M25" s="264"/>
      <c r="N25" s="239">
        <v>1</v>
      </c>
      <c r="O25" s="241">
        <f>ROUND(H25*N25,2)</f>
        <v>6</v>
      </c>
      <c r="P25" s="240">
        <f t="shared" si="3"/>
        <v>46197.72</v>
      </c>
      <c r="Q25" s="82"/>
      <c r="R25" s="41">
        <f t="shared" si="1"/>
        <v>0</v>
      </c>
      <c r="S25" s="41">
        <f>+P35*100  -  INT(P35*100)</f>
        <v>0</v>
      </c>
    </row>
    <row r="26" spans="2:19" s="83" customFormat="1" ht="30" customHeight="1" thickBot="1">
      <c r="B26" s="75"/>
      <c r="C26" s="68" t="s">
        <v>138</v>
      </c>
      <c r="D26" s="69" t="s">
        <v>282</v>
      </c>
      <c r="E26" s="68" t="s">
        <v>31</v>
      </c>
      <c r="F26" s="70">
        <f>ROUND(13462.83*1.02,2)</f>
        <v>13732.09</v>
      </c>
      <c r="G26" s="68" t="s">
        <v>283</v>
      </c>
      <c r="H26" s="239">
        <v>6</v>
      </c>
      <c r="I26" s="239"/>
      <c r="J26" s="239"/>
      <c r="K26" s="239"/>
      <c r="L26" s="239"/>
      <c r="M26" s="264"/>
      <c r="N26" s="239">
        <v>1</v>
      </c>
      <c r="O26" s="241">
        <f>ROUND(H26*N26,2)</f>
        <v>6</v>
      </c>
      <c r="P26" s="240">
        <f t="shared" si="3"/>
        <v>82392.539999999994</v>
      </c>
      <c r="Q26" s="82"/>
      <c r="R26" s="41">
        <f t="shared" si="1"/>
        <v>0</v>
      </c>
      <c r="S26" s="41">
        <f>+P36*100  -  INT(P36*100)</f>
        <v>0</v>
      </c>
    </row>
    <row r="27" spans="2:19" s="83" customFormat="1" ht="30" customHeight="1" thickBot="1">
      <c r="B27" s="75"/>
      <c r="C27" s="68">
        <v>5.3</v>
      </c>
      <c r="D27" s="69" t="s">
        <v>43</v>
      </c>
      <c r="E27" s="68" t="s">
        <v>173</v>
      </c>
      <c r="F27" s="70">
        <f>ROUND(30016.63*1.02,2)</f>
        <v>30616.959999999999</v>
      </c>
      <c r="G27" s="71"/>
      <c r="H27" s="72"/>
      <c r="I27" s="72"/>
      <c r="J27" s="72"/>
      <c r="K27" s="72"/>
      <c r="L27" s="72"/>
      <c r="M27" s="72"/>
      <c r="N27" s="72">
        <v>1</v>
      </c>
      <c r="O27" s="98">
        <f>N27</f>
        <v>1</v>
      </c>
      <c r="P27" s="95">
        <f t="shared" si="3"/>
        <v>30616.959999999999</v>
      </c>
      <c r="Q27" s="82"/>
      <c r="R27" s="41">
        <f t="shared" si="1"/>
        <v>0</v>
      </c>
      <c r="S27" s="41">
        <f>+P37*100  -  INT(P37*100)</f>
        <v>0</v>
      </c>
    </row>
    <row r="28" spans="2:19" s="83" customFormat="1" ht="30" customHeight="1" thickBot="1">
      <c r="B28" s="75"/>
      <c r="C28" s="235">
        <v>2.6</v>
      </c>
      <c r="D28" s="236" t="s">
        <v>296</v>
      </c>
      <c r="E28" s="235" t="s">
        <v>173</v>
      </c>
      <c r="F28" s="237">
        <f>ROUND(662168.46*1.02,2)</f>
        <v>675411.83</v>
      </c>
      <c r="G28" s="238"/>
      <c r="H28" s="239"/>
      <c r="I28" s="239"/>
      <c r="J28" s="239"/>
      <c r="K28" s="239"/>
      <c r="L28" s="239"/>
      <c r="M28" s="239"/>
      <c r="N28" s="239">
        <v>1</v>
      </c>
      <c r="O28" s="241">
        <f>N28</f>
        <v>1</v>
      </c>
      <c r="P28" s="240">
        <f t="shared" si="3"/>
        <v>675411.83</v>
      </c>
      <c r="Q28" s="82"/>
      <c r="R28" s="41"/>
      <c r="S28" s="41"/>
    </row>
    <row r="29" spans="2:19" s="83" customFormat="1" ht="30" customHeight="1" thickBot="1">
      <c r="B29" s="75"/>
      <c r="C29" s="68">
        <v>6.2</v>
      </c>
      <c r="D29" s="69" t="s">
        <v>50</v>
      </c>
      <c r="E29" s="68" t="s">
        <v>31</v>
      </c>
      <c r="F29" s="70">
        <f>ROUND(37310.69*1.02,2)</f>
        <v>38056.9</v>
      </c>
      <c r="G29" s="71"/>
      <c r="H29" s="72">
        <v>18</v>
      </c>
      <c r="I29" s="72"/>
      <c r="J29" s="72"/>
      <c r="K29" s="72"/>
      <c r="L29" s="72"/>
      <c r="M29" s="72"/>
      <c r="N29" s="72">
        <v>1</v>
      </c>
      <c r="O29" s="98">
        <f>N29*H29</f>
        <v>18</v>
      </c>
      <c r="P29" s="95">
        <f t="shared" si="3"/>
        <v>685024.2</v>
      </c>
      <c r="Q29" s="82"/>
      <c r="R29" s="41"/>
      <c r="S29" s="41"/>
    </row>
    <row r="30" spans="2:19" s="83" customFormat="1" ht="30" customHeight="1" thickBot="1">
      <c r="B30" s="75"/>
      <c r="C30" s="68">
        <v>6.4</v>
      </c>
      <c r="D30" s="69" t="s">
        <v>312</v>
      </c>
      <c r="E30" s="68" t="s">
        <v>31</v>
      </c>
      <c r="F30" s="70">
        <f>ROUND(52061.96*1.02,2)</f>
        <v>53103.199999999997</v>
      </c>
      <c r="G30" s="71"/>
      <c r="H30" s="72">
        <v>30</v>
      </c>
      <c r="I30" s="72"/>
      <c r="J30" s="72"/>
      <c r="K30" s="72"/>
      <c r="L30" s="72"/>
      <c r="M30" s="72"/>
      <c r="N30" s="72">
        <v>1</v>
      </c>
      <c r="O30" s="98">
        <f>N30*H30</f>
        <v>30</v>
      </c>
      <c r="P30" s="95">
        <f t="shared" si="3"/>
        <v>1593096</v>
      </c>
      <c r="Q30" s="82"/>
      <c r="R30" s="41"/>
      <c r="S30" s="41"/>
    </row>
    <row r="31" spans="2:19" s="83" customFormat="1" ht="30" customHeight="1">
      <c r="B31" s="75"/>
      <c r="C31" s="227"/>
      <c r="D31" s="255"/>
      <c r="E31" s="227"/>
      <c r="F31" s="228"/>
      <c r="G31" s="256"/>
      <c r="H31" s="257"/>
      <c r="I31" s="257"/>
      <c r="J31" s="257"/>
      <c r="K31" s="257"/>
      <c r="L31" s="257"/>
      <c r="M31" s="257"/>
      <c r="N31" s="257"/>
      <c r="O31" s="229"/>
      <c r="P31" s="230"/>
      <c r="Q31" s="82"/>
      <c r="R31" s="41"/>
      <c r="S31" s="41"/>
    </row>
    <row r="32" spans="2:19" s="83" customFormat="1" ht="30" customHeight="1">
      <c r="B32" s="75"/>
      <c r="C32" s="227"/>
      <c r="D32" s="255"/>
      <c r="E32" s="227"/>
      <c r="F32" s="228"/>
      <c r="G32" s="256"/>
      <c r="H32" s="257"/>
      <c r="I32" s="257"/>
      <c r="J32" s="257"/>
      <c r="K32" s="257"/>
      <c r="L32" s="257"/>
      <c r="M32" s="257"/>
      <c r="N32" s="257"/>
      <c r="O32" s="229"/>
      <c r="P32" s="230"/>
      <c r="Q32" s="82"/>
      <c r="R32" s="41"/>
      <c r="S32" s="41"/>
    </row>
    <row r="33" spans="2:19" s="83" customFormat="1" ht="30" customHeight="1">
      <c r="B33" s="75"/>
      <c r="C33" s="227"/>
      <c r="D33" s="255"/>
      <c r="E33" s="227"/>
      <c r="F33" s="228"/>
      <c r="G33" s="256"/>
      <c r="H33" s="257"/>
      <c r="I33" s="257"/>
      <c r="J33" s="257"/>
      <c r="K33" s="257"/>
      <c r="L33" s="257"/>
      <c r="M33" s="257"/>
      <c r="N33" s="257"/>
      <c r="O33" s="229"/>
      <c r="P33" s="230"/>
      <c r="Q33" s="82"/>
      <c r="R33" s="41"/>
      <c r="S33" s="41"/>
    </row>
    <row r="34" spans="2:19" s="104" customFormat="1" ht="30" customHeight="1">
      <c r="B34" s="100"/>
      <c r="C34" s="577" t="s">
        <v>174</v>
      </c>
      <c r="D34" s="577"/>
      <c r="E34" s="577"/>
      <c r="F34" s="577"/>
      <c r="G34" s="577"/>
      <c r="H34" s="577"/>
      <c r="I34" s="577"/>
      <c r="J34" s="577"/>
      <c r="K34" s="577"/>
      <c r="L34" s="577"/>
      <c r="M34" s="577"/>
      <c r="N34" s="577"/>
      <c r="O34" s="577"/>
      <c r="P34" s="99">
        <f>ROUND(SUM(P14:P33)*1.3,0)</f>
        <v>6851114</v>
      </c>
      <c r="Q34" s="103"/>
      <c r="R34" s="41">
        <f t="shared" si="1"/>
        <v>0</v>
      </c>
      <c r="S34" s="41">
        <f t="shared" ref="S34" si="4">+P39*100  -  INT(P39*100)</f>
        <v>0</v>
      </c>
    </row>
    <row r="35" spans="2:19" s="104" customFormat="1" ht="8.4" customHeight="1">
      <c r="B35" s="100"/>
      <c r="C35" s="101"/>
      <c r="D35" s="101"/>
      <c r="E35" s="101"/>
      <c r="F35" s="101"/>
      <c r="G35" s="101"/>
      <c r="H35" s="101"/>
      <c r="I35" s="101"/>
      <c r="J35" s="101"/>
      <c r="K35" s="101"/>
      <c r="L35" s="101"/>
      <c r="M35" s="101"/>
      <c r="N35" s="101"/>
      <c r="O35" s="101"/>
      <c r="P35" s="102"/>
      <c r="Q35" s="103"/>
      <c r="R35" s="41"/>
      <c r="S35" s="41"/>
    </row>
    <row r="36" spans="2:19" ht="5.4" customHeight="1" thickBot="1">
      <c r="B36" s="60"/>
      <c r="Q36" s="61"/>
    </row>
    <row r="37" spans="2:19" ht="16.2" thickTop="1">
      <c r="B37" s="60"/>
      <c r="C37" s="578" t="s">
        <v>148</v>
      </c>
      <c r="D37" s="579"/>
      <c r="E37" s="579"/>
      <c r="F37" s="579"/>
      <c r="G37" s="580"/>
      <c r="I37" s="578" t="s">
        <v>146</v>
      </c>
      <c r="J37" s="579"/>
      <c r="K37" s="579"/>
      <c r="L37" s="579"/>
      <c r="M37" s="579"/>
      <c r="N37" s="579"/>
      <c r="O37" s="579"/>
      <c r="P37" s="580"/>
      <c r="Q37" s="61"/>
    </row>
    <row r="38" spans="2:19">
      <c r="B38" s="60"/>
      <c r="C38" s="105" t="s">
        <v>92</v>
      </c>
      <c r="D38" s="581" t="s">
        <v>149</v>
      </c>
      <c r="E38" s="581"/>
      <c r="F38" s="581"/>
      <c r="G38" s="582"/>
      <c r="I38" s="583" t="s">
        <v>92</v>
      </c>
      <c r="J38" s="584"/>
      <c r="K38" s="581"/>
      <c r="L38" s="581"/>
      <c r="M38" s="581"/>
      <c r="N38" s="581"/>
      <c r="O38" s="581"/>
      <c r="P38" s="582"/>
      <c r="Q38" s="61"/>
    </row>
    <row r="39" spans="2:19" ht="45" customHeight="1">
      <c r="B39" s="60"/>
      <c r="C39" s="106" t="s">
        <v>175</v>
      </c>
      <c r="D39" s="568"/>
      <c r="E39" s="568"/>
      <c r="F39" s="568"/>
      <c r="G39" s="569"/>
      <c r="I39" s="570" t="s">
        <v>175</v>
      </c>
      <c r="J39" s="571"/>
      <c r="K39" s="572"/>
      <c r="L39" s="572"/>
      <c r="M39" s="572"/>
      <c r="N39" s="572"/>
      <c r="O39" s="572"/>
      <c r="P39" s="573"/>
      <c r="Q39" s="61"/>
    </row>
    <row r="40" spans="2:19" ht="16.2" thickBot="1">
      <c r="B40" s="60"/>
      <c r="C40" s="107"/>
      <c r="D40" s="108"/>
      <c r="E40" s="108"/>
      <c r="F40" s="108"/>
      <c r="G40" s="109"/>
      <c r="I40" s="107"/>
      <c r="J40" s="108"/>
      <c r="K40" s="108"/>
      <c r="L40" s="108"/>
      <c r="M40" s="108"/>
      <c r="N40" s="110"/>
      <c r="O40" s="110"/>
      <c r="P40" s="111"/>
      <c r="Q40" s="61"/>
    </row>
    <row r="41" spans="2:19" ht="6.9" customHeight="1" thickTop="1" thickBot="1">
      <c r="B41" s="112"/>
      <c r="C41" s="108"/>
      <c r="D41" s="108"/>
      <c r="E41" s="108"/>
      <c r="F41" s="108"/>
      <c r="G41" s="108"/>
      <c r="H41" s="108"/>
      <c r="I41" s="108"/>
      <c r="J41" s="108"/>
      <c r="K41" s="108"/>
      <c r="L41" s="108"/>
      <c r="M41" s="108"/>
      <c r="N41" s="110"/>
      <c r="O41" s="110"/>
      <c r="P41" s="110"/>
      <c r="Q41" s="111"/>
    </row>
    <row r="42" spans="2:19" ht="16.2" thickTop="1"/>
    <row r="1048351" spans="15:15">
      <c r="O1048351" s="80"/>
    </row>
  </sheetData>
  <mergeCells count="33">
    <mergeCell ref="D39:G39"/>
    <mergeCell ref="I39:J39"/>
    <mergeCell ref="K39:P39"/>
    <mergeCell ref="C11:G11"/>
    <mergeCell ref="H11:P11"/>
    <mergeCell ref="C34:O34"/>
    <mergeCell ref="C37:G37"/>
    <mergeCell ref="I37:P37"/>
    <mergeCell ref="D38:G38"/>
    <mergeCell ref="I38:J38"/>
    <mergeCell ref="K38:P38"/>
    <mergeCell ref="C9:D9"/>
    <mergeCell ref="E9:K9"/>
    <mergeCell ref="L9:M9"/>
    <mergeCell ref="N9:P9"/>
    <mergeCell ref="C10:G10"/>
    <mergeCell ref="H10:P10"/>
    <mergeCell ref="C6:D6"/>
    <mergeCell ref="E6:K6"/>
    <mergeCell ref="L6:M6"/>
    <mergeCell ref="N6:P6"/>
    <mergeCell ref="C7:D8"/>
    <mergeCell ref="E7:K8"/>
    <mergeCell ref="L7:M8"/>
    <mergeCell ref="N7:P8"/>
    <mergeCell ref="C3:N3"/>
    <mergeCell ref="O3:O4"/>
    <mergeCell ref="P3:P4"/>
    <mergeCell ref="C4:N4"/>
    <mergeCell ref="C5:D5"/>
    <mergeCell ref="E5:K5"/>
    <mergeCell ref="L5:M5"/>
    <mergeCell ref="N5:P5"/>
  </mergeCell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expression" priority="2" id="{6FDED648-CD24-48D8-B64A-357A3B5435DA}">
            <xm:f>'C:\Users\HP PAVILION\Desktop\MEJORAMIENTOS DE VIVIENEDA_ COMBITA_SAMC-004_2026\[SÁBANA_GENERAL_25.08.26.xlsx]02_USU_ARS_M1 '!#REF!&gt;0</xm:f>
            <x14:dxf>
              <fill>
                <patternFill>
                  <bgColor rgb="FFFF0000"/>
                </patternFill>
              </fill>
            </x14:dxf>
          </x14:cfRule>
          <xm:sqref>R14:S34</xm:sqref>
        </x14:conditionalFormatting>
        <x14:conditionalFormatting xmlns:xm="http://schemas.microsoft.com/office/excel/2006/main">
          <x14:cfRule type="expression" priority="1" id="{458FE11E-08C5-45D7-BC7A-2341CCCCD88B}">
            <xm:f>'ESCUELA DE SAN FRANCISCO'!R91&gt;0</xm:f>
            <x14:dxf>
              <fill>
                <patternFill>
                  <bgColor rgb="FFFF0000"/>
                </patternFill>
              </fill>
            </x14:dxf>
          </x14:cfRule>
          <xm:sqref>R35:S35</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4</vt:i4>
      </vt:variant>
    </vt:vector>
  </HeadingPairs>
  <TitlesOfParts>
    <vt:vector size="16" baseType="lpstr">
      <vt:lpstr>PRESUPUESTO OFICIAL (Entidad)</vt:lpstr>
      <vt:lpstr>Hoja1</vt:lpstr>
      <vt:lpstr>Hoja2</vt:lpstr>
      <vt:lpstr>Hoja3</vt:lpstr>
      <vt:lpstr>Hoja4</vt:lpstr>
      <vt:lpstr>Hoja6</vt:lpstr>
      <vt:lpstr>ESCUELA EL CARMEN</vt:lpstr>
      <vt:lpstr>ESCUELA DE SAN FRANCISCO</vt:lpstr>
      <vt:lpstr>ESCUELA LA ESPERANZA</vt:lpstr>
      <vt:lpstr>ESCUELA EL ROBLE</vt:lpstr>
      <vt:lpstr>ESCUELA INTEGRADA MIXTA</vt:lpstr>
      <vt:lpstr>COLEGIO SANTA BARBARA </vt:lpstr>
      <vt:lpstr>'ESCUELA DE SAN FRANCISCO'!Área_de_impresión</vt:lpstr>
      <vt:lpstr>'ESCUELA EL CARMEN'!Área_de_impresión</vt:lpstr>
      <vt:lpstr>Hoja1!Área_de_impresión</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PAVILION</dc:creator>
  <cp:lastModifiedBy>Maria Fernanda Gongora Gonzalez</cp:lastModifiedBy>
  <cp:lastPrinted>2026-09-23T04:46:38Z</cp:lastPrinted>
  <dcterms:created xsi:type="dcterms:W3CDTF">2026-09-07T12:27:11Z</dcterms:created>
  <dcterms:modified xsi:type="dcterms:W3CDTF">2026-09-25T18:44:59Z</dcterms:modified>
</cp:coreProperties>
</file>