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D:\FONCEP\GESTION DOCUMENTAL\"/>
    </mc:Choice>
  </mc:AlternateContent>
  <xr:revisionPtr revIDLastSave="0" documentId="8_{B49697C9-C864-4FBA-9092-2603C5E54363}" xr6:coauthVersionLast="45" xr6:coauthVersionMax="45" xr10:uidLastSave="{00000000-0000-0000-0000-000000000000}"/>
  <bookViews>
    <workbookView xWindow="-120" yWindow="-120" windowWidth="29040" windowHeight="15840" firstSheet="10" activeTab="13" xr2:uid="{00000000-000D-0000-FFFF-FFFF00000000}"/>
  </bookViews>
  <sheets>
    <sheet name="2021" sheetId="8" state="hidden" r:id="rId1"/>
    <sheet name="2022" sheetId="11" state="hidden" r:id="rId2"/>
    <sheet name="2023" sheetId="12" state="hidden" r:id="rId3"/>
    <sheet name="MEDIA ARITMETICA" sheetId="2" state="hidden" r:id="rId4"/>
    <sheet name="DESVIACION" sheetId="7" state="hidden" r:id="rId5"/>
    <sheet name="item 4" sheetId="15" state="hidden" r:id="rId6"/>
    <sheet name="item 2" sheetId="14" state="hidden" r:id="rId7"/>
    <sheet name="item 3" sheetId="16" state="hidden" r:id="rId8"/>
    <sheet name="item 1" sheetId="13" state="hidden" r:id="rId9"/>
    <sheet name="Hoja1" sheetId="18" state="hidden" r:id="rId10"/>
    <sheet name="Propuesta ITEM " sheetId="25" r:id="rId11"/>
    <sheet name="Propuesta ITEM 2" sheetId="26" r:id="rId12"/>
    <sheet name="Propuesta ITEM 3" sheetId="28" r:id="rId13"/>
    <sheet name="Propuesta ITEM 4" sheetId="27" r:id="rId14"/>
    <sheet name="Hoja2" sheetId="31" r:id="rId15"/>
  </sheets>
  <externalReferences>
    <externalReference r:id="rId16"/>
    <externalReference r:id="rId17"/>
  </externalReferences>
  <definedNames>
    <definedName name="NIVEL">'[1]VALIDACION DATOS EXPERIENCIA'!$V$4:$V$21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6" i="25" l="1"/>
  <c r="E20" i="28" l="1"/>
  <c r="D20" i="28"/>
  <c r="C20" i="28"/>
  <c r="B27" i="25" l="1"/>
  <c r="B28" i="25"/>
  <c r="P6" i="28" l="1"/>
  <c r="J6" i="28"/>
  <c r="D6" i="28"/>
  <c r="Q7" i="28" l="1"/>
  <c r="R7" i="28" s="1"/>
  <c r="K7" i="28"/>
  <c r="L7" i="28" s="1"/>
  <c r="E7" i="28"/>
  <c r="F7" i="28" s="1"/>
  <c r="Q6" i="28"/>
  <c r="R6" i="28" s="1"/>
  <c r="K6" i="28"/>
  <c r="L6" i="28" s="1"/>
  <c r="E6" i="28"/>
  <c r="F6" i="28" s="1"/>
  <c r="Q5" i="28"/>
  <c r="R5" i="28" s="1"/>
  <c r="K5" i="28"/>
  <c r="L5" i="28" s="1"/>
  <c r="E5" i="28"/>
  <c r="F5" i="28" s="1"/>
  <c r="Q4" i="28"/>
  <c r="R4" i="28" s="1"/>
  <c r="K4" i="28"/>
  <c r="L4" i="28" s="1"/>
  <c r="E4" i="28"/>
  <c r="F4" i="28" s="1"/>
  <c r="Q3" i="28"/>
  <c r="R3" i="28" s="1"/>
  <c r="K3" i="28"/>
  <c r="L3" i="28" s="1"/>
  <c r="E3" i="28"/>
  <c r="F3" i="28" s="1"/>
  <c r="B28" i="27"/>
  <c r="D21" i="27"/>
  <c r="D20" i="27"/>
  <c r="E20" i="27" s="1"/>
  <c r="J21" i="27" l="1"/>
  <c r="F20" i="27"/>
  <c r="G20" i="27" s="1"/>
  <c r="I20" i="27" s="1"/>
  <c r="U3" i="28"/>
  <c r="U4" i="28"/>
  <c r="O3" i="28"/>
  <c r="I6" i="28"/>
  <c r="U6" i="28"/>
  <c r="O5" i="28"/>
  <c r="U7" i="28"/>
  <c r="I4" i="28"/>
  <c r="O6" i="28"/>
  <c r="O7" i="28"/>
  <c r="I5" i="28"/>
  <c r="I3" i="28"/>
  <c r="O4" i="28"/>
  <c r="U5" i="28"/>
  <c r="J20" i="27"/>
  <c r="E21" i="27"/>
  <c r="F21" i="27" s="1"/>
  <c r="G21" i="27" l="1"/>
  <c r="I21" i="27" s="1"/>
  <c r="K20" i="27"/>
  <c r="L20" i="27" s="1"/>
  <c r="M20" i="27" s="1"/>
  <c r="O20" i="27" s="1"/>
  <c r="P20" i="27"/>
  <c r="Q20" i="27" s="1"/>
  <c r="R20" i="27" s="1"/>
  <c r="S20" i="27" s="1"/>
  <c r="U20" i="27" s="1"/>
  <c r="P21" i="27"/>
  <c r="Q21" i="27" s="1"/>
  <c r="R21" i="27" s="1"/>
  <c r="S21" i="27" s="1"/>
  <c r="U21" i="27" s="1"/>
  <c r="K21" i="27"/>
  <c r="L21" i="27" s="1"/>
  <c r="M21" i="27" s="1"/>
  <c r="O21" i="27" s="1"/>
  <c r="I7" i="28"/>
  <c r="I8" i="28" s="1"/>
  <c r="C12" i="28" s="1"/>
  <c r="F12" i="28" s="1"/>
  <c r="U8" i="28"/>
  <c r="E12" i="28" s="1"/>
  <c r="O8" i="28"/>
  <c r="D12" i="28" s="1"/>
  <c r="I22" i="27"/>
  <c r="C28" i="27" s="1"/>
  <c r="B27" i="27"/>
  <c r="B26" i="27"/>
  <c r="Q11" i="27"/>
  <c r="R11" i="27" s="1"/>
  <c r="S11" i="27" s="1"/>
  <c r="U11" i="27" s="1"/>
  <c r="K11" i="27"/>
  <c r="L11" i="27" s="1"/>
  <c r="M11" i="27" s="1"/>
  <c r="O11" i="27" s="1"/>
  <c r="E11" i="27"/>
  <c r="F11" i="27" s="1"/>
  <c r="G11" i="27" s="1"/>
  <c r="I11" i="27" s="1"/>
  <c r="Q10" i="27"/>
  <c r="R10" i="27" s="1"/>
  <c r="S10" i="27" s="1"/>
  <c r="U10" i="27" s="1"/>
  <c r="K10" i="27"/>
  <c r="L10" i="27" s="1"/>
  <c r="M10" i="27" s="1"/>
  <c r="O10" i="27" s="1"/>
  <c r="E10" i="27"/>
  <c r="F10" i="27" s="1"/>
  <c r="G10" i="27" s="1"/>
  <c r="I10" i="27" s="1"/>
  <c r="Q4" i="27"/>
  <c r="R4" i="27" s="1"/>
  <c r="S4" i="27" s="1"/>
  <c r="K4" i="27"/>
  <c r="L4" i="27" s="1"/>
  <c r="M4" i="27" s="1"/>
  <c r="E4" i="27"/>
  <c r="F4" i="27" s="1"/>
  <c r="G4" i="27" s="1"/>
  <c r="Q3" i="27"/>
  <c r="R3" i="27" s="1"/>
  <c r="S3" i="27" s="1"/>
  <c r="K3" i="27"/>
  <c r="L3" i="27" s="1"/>
  <c r="M3" i="27" s="1"/>
  <c r="E3" i="27"/>
  <c r="F3" i="27" s="1"/>
  <c r="G3" i="27" s="1"/>
  <c r="S3" i="26"/>
  <c r="S9" i="26" s="1"/>
  <c r="S15" i="26" s="1"/>
  <c r="M3" i="26"/>
  <c r="M9" i="26" s="1"/>
  <c r="M15" i="26" s="1"/>
  <c r="G3" i="26"/>
  <c r="G9" i="26" s="1"/>
  <c r="G15" i="26" s="1"/>
  <c r="J15" i="26"/>
  <c r="K15" i="26" s="1"/>
  <c r="L15" i="26" s="1"/>
  <c r="B24" i="26"/>
  <c r="B23" i="26"/>
  <c r="B22" i="26"/>
  <c r="E15" i="26"/>
  <c r="F15" i="26" s="1"/>
  <c r="Q9" i="26"/>
  <c r="R9" i="26" s="1"/>
  <c r="K9" i="26"/>
  <c r="L9" i="26" s="1"/>
  <c r="E9" i="26"/>
  <c r="F9" i="26" s="1"/>
  <c r="Q3" i="26"/>
  <c r="R3" i="26" s="1"/>
  <c r="K3" i="26"/>
  <c r="L3" i="26" s="1"/>
  <c r="D33" i="26" s="1"/>
  <c r="E3" i="26"/>
  <c r="F3" i="26" s="1"/>
  <c r="J22" i="25"/>
  <c r="P22" i="25" s="1"/>
  <c r="E22" i="25"/>
  <c r="F22" i="25" s="1"/>
  <c r="G22" i="25" s="1"/>
  <c r="I22" i="25" s="1"/>
  <c r="J21" i="25"/>
  <c r="P21" i="25" s="1"/>
  <c r="Q21" i="25" s="1"/>
  <c r="R21" i="25" s="1"/>
  <c r="S21" i="25" s="1"/>
  <c r="U21" i="25" s="1"/>
  <c r="E21" i="25"/>
  <c r="F21" i="25" s="1"/>
  <c r="G21" i="25" s="1"/>
  <c r="I21" i="25" s="1"/>
  <c r="J20" i="25"/>
  <c r="K20" i="25" s="1"/>
  <c r="L20" i="25" s="1"/>
  <c r="M20" i="25" s="1"/>
  <c r="O20" i="25" s="1"/>
  <c r="E20" i="25"/>
  <c r="F20" i="25" s="1"/>
  <c r="G20" i="25" s="1"/>
  <c r="I20" i="25" s="1"/>
  <c r="Q14" i="25"/>
  <c r="R14" i="25" s="1"/>
  <c r="S14" i="25" s="1"/>
  <c r="U14" i="25" s="1"/>
  <c r="K14" i="25"/>
  <c r="L14" i="25" s="1"/>
  <c r="M14" i="25" s="1"/>
  <c r="O14" i="25" s="1"/>
  <c r="E14" i="25"/>
  <c r="F14" i="25" s="1"/>
  <c r="G14" i="25" s="1"/>
  <c r="I14" i="25" s="1"/>
  <c r="Q13" i="25"/>
  <c r="R13" i="25" s="1"/>
  <c r="S13" i="25" s="1"/>
  <c r="U13" i="25" s="1"/>
  <c r="K13" i="25"/>
  <c r="L13" i="25" s="1"/>
  <c r="M13" i="25" s="1"/>
  <c r="O13" i="25" s="1"/>
  <c r="E13" i="25"/>
  <c r="F13" i="25" s="1"/>
  <c r="G13" i="25" s="1"/>
  <c r="I13" i="25" s="1"/>
  <c r="Q12" i="25"/>
  <c r="R12" i="25" s="1"/>
  <c r="S12" i="25" s="1"/>
  <c r="U12" i="25" s="1"/>
  <c r="K12" i="25"/>
  <c r="L12" i="25" s="1"/>
  <c r="M12" i="25" s="1"/>
  <c r="O12" i="25" s="1"/>
  <c r="E12" i="25"/>
  <c r="F12" i="25" s="1"/>
  <c r="G12" i="25" s="1"/>
  <c r="I12" i="25" s="1"/>
  <c r="Q6" i="25"/>
  <c r="R6" i="25" s="1"/>
  <c r="S6" i="25" s="1"/>
  <c r="K6" i="25"/>
  <c r="L6" i="25" s="1"/>
  <c r="M6" i="25" s="1"/>
  <c r="E6" i="25"/>
  <c r="F6" i="25" s="1"/>
  <c r="G6" i="25" s="1"/>
  <c r="Q5" i="25"/>
  <c r="R5" i="25" s="1"/>
  <c r="S5" i="25" s="1"/>
  <c r="K5" i="25"/>
  <c r="L5" i="25" s="1"/>
  <c r="M5" i="25" s="1"/>
  <c r="E5" i="25"/>
  <c r="F5" i="25" s="1"/>
  <c r="G5" i="25" s="1"/>
  <c r="Q4" i="25"/>
  <c r="R4" i="25" s="1"/>
  <c r="S4" i="25" s="1"/>
  <c r="K4" i="25"/>
  <c r="L4" i="25" s="1"/>
  <c r="M4" i="25" s="1"/>
  <c r="E4" i="25"/>
  <c r="F4" i="25" s="1"/>
  <c r="G4" i="25" s="1"/>
  <c r="I3" i="26" l="1"/>
  <c r="I4" i="26" s="1"/>
  <c r="C22" i="26" s="1"/>
  <c r="C33" i="26"/>
  <c r="I6" i="25"/>
  <c r="C36" i="25"/>
  <c r="U4" i="25"/>
  <c r="I4" i="27"/>
  <c r="C38" i="27"/>
  <c r="I5" i="25"/>
  <c r="C35" i="25"/>
  <c r="O6" i="25"/>
  <c r="I3" i="27"/>
  <c r="C37" i="27"/>
  <c r="O4" i="27"/>
  <c r="D38" i="27"/>
  <c r="I4" i="25"/>
  <c r="C34" i="25"/>
  <c r="O5" i="25"/>
  <c r="U6" i="25"/>
  <c r="O3" i="27"/>
  <c r="D37" i="27"/>
  <c r="U4" i="27"/>
  <c r="E38" i="27"/>
  <c r="O4" i="25"/>
  <c r="D34" i="25"/>
  <c r="U5" i="25"/>
  <c r="E35" i="25"/>
  <c r="U3" i="27"/>
  <c r="E37" i="27"/>
  <c r="U22" i="27"/>
  <c r="E28" i="27" s="1"/>
  <c r="O22" i="27"/>
  <c r="D28" i="27" s="1"/>
  <c r="U5" i="27"/>
  <c r="E26" i="27" s="1"/>
  <c r="I5" i="27"/>
  <c r="C26" i="27" s="1"/>
  <c r="O3" i="26"/>
  <c r="O4" i="26" s="1"/>
  <c r="D22" i="26" s="1"/>
  <c r="P15" i="26"/>
  <c r="Q15" i="26" s="1"/>
  <c r="R15" i="26" s="1"/>
  <c r="U15" i="26" s="1"/>
  <c r="U16" i="26" s="1"/>
  <c r="E24" i="26" s="1"/>
  <c r="U15" i="25"/>
  <c r="E27" i="25" s="1"/>
  <c r="P20" i="25"/>
  <c r="Q20" i="25" s="1"/>
  <c r="R20" i="25" s="1"/>
  <c r="S20" i="25" s="1"/>
  <c r="U20" i="25" s="1"/>
  <c r="K21" i="25"/>
  <c r="L21" i="25" s="1"/>
  <c r="M21" i="25" s="1"/>
  <c r="O21" i="25" s="1"/>
  <c r="O7" i="25"/>
  <c r="D26" i="25" s="1"/>
  <c r="U7" i="25"/>
  <c r="E26" i="25" s="1"/>
  <c r="K22" i="25"/>
  <c r="L22" i="25" s="1"/>
  <c r="M22" i="25" s="1"/>
  <c r="O22" i="25" s="1"/>
  <c r="I7" i="25"/>
  <c r="C26" i="25" s="1"/>
  <c r="I12" i="27"/>
  <c r="C27" i="27" s="1"/>
  <c r="U12" i="27"/>
  <c r="E27" i="27" s="1"/>
  <c r="O5" i="27"/>
  <c r="D26" i="27" s="1"/>
  <c r="O12" i="27"/>
  <c r="D27" i="27" s="1"/>
  <c r="U3" i="26"/>
  <c r="U4" i="26" s="1"/>
  <c r="E22" i="26" s="1"/>
  <c r="U9" i="26"/>
  <c r="U10" i="26" s="1"/>
  <c r="E23" i="26" s="1"/>
  <c r="O9" i="26"/>
  <c r="O10" i="26" s="1"/>
  <c r="D23" i="26" s="1"/>
  <c r="I9" i="26"/>
  <c r="I10" i="26" s="1"/>
  <c r="C23" i="26" s="1"/>
  <c r="O15" i="26"/>
  <c r="O16" i="26" s="1"/>
  <c r="D24" i="26" s="1"/>
  <c r="I15" i="26"/>
  <c r="I16" i="26" s="1"/>
  <c r="C24" i="26" s="1"/>
  <c r="I23" i="25"/>
  <c r="C28" i="25" s="1"/>
  <c r="I15" i="25"/>
  <c r="C27" i="25" s="1"/>
  <c r="O15" i="25"/>
  <c r="D27" i="25" s="1"/>
  <c r="Q22" i="25"/>
  <c r="R22" i="25" s="1"/>
  <c r="S22" i="25" s="1"/>
  <c r="U22" i="25" s="1"/>
  <c r="L21" i="15"/>
  <c r="G22" i="15"/>
  <c r="G21" i="15"/>
  <c r="G13" i="15"/>
  <c r="G12" i="15"/>
  <c r="G4" i="15"/>
  <c r="G3" i="15"/>
  <c r="B22" i="15"/>
  <c r="B21" i="15"/>
  <c r="B13" i="15"/>
  <c r="B12" i="15"/>
  <c r="B4" i="15"/>
  <c r="B3" i="15"/>
  <c r="L12" i="15"/>
  <c r="L13" i="15"/>
  <c r="L22" i="15"/>
  <c r="W5" i="13"/>
  <c r="W4" i="13"/>
  <c r="R21" i="13"/>
  <c r="R20" i="13"/>
  <c r="R12" i="13"/>
  <c r="R11" i="13"/>
  <c r="R5" i="13"/>
  <c r="R4" i="13"/>
  <c r="M21" i="13"/>
  <c r="M20" i="13"/>
  <c r="M12" i="13"/>
  <c r="M11" i="13"/>
  <c r="M5" i="13"/>
  <c r="M4" i="13"/>
  <c r="H21" i="13"/>
  <c r="H20" i="13"/>
  <c r="H12" i="13"/>
  <c r="H11" i="13"/>
  <c r="H5" i="13"/>
  <c r="H4" i="13"/>
  <c r="C20" i="13"/>
  <c r="C21" i="13"/>
  <c r="C5" i="13"/>
  <c r="C11" i="13"/>
  <c r="C12" i="13"/>
  <c r="D36" i="25" l="1"/>
  <c r="E36" i="25"/>
  <c r="E34" i="25"/>
  <c r="D35" i="25"/>
  <c r="E33" i="26"/>
  <c r="F28" i="27"/>
  <c r="D29" i="26"/>
  <c r="F22" i="26"/>
  <c r="F23" i="26"/>
  <c r="F27" i="25"/>
  <c r="F26" i="25"/>
  <c r="O23" i="25"/>
  <c r="D28" i="25" s="1"/>
  <c r="D31" i="25" s="1"/>
  <c r="C31" i="25"/>
  <c r="E31" i="27"/>
  <c r="C31" i="27"/>
  <c r="D31" i="27"/>
  <c r="F26" i="27"/>
  <c r="F27" i="27"/>
  <c r="C29" i="26"/>
  <c r="E29" i="26"/>
  <c r="F24" i="26"/>
  <c r="U23" i="25"/>
  <c r="E28" i="25" s="1"/>
  <c r="X3" i="13"/>
  <c r="Y3" i="13" s="1"/>
  <c r="AA3" i="13" s="1"/>
  <c r="S21" i="13"/>
  <c r="T21" i="13" s="1"/>
  <c r="V21" i="13" s="1"/>
  <c r="S20" i="13"/>
  <c r="T20" i="13" s="1"/>
  <c r="V20" i="13" s="1"/>
  <c r="S19" i="13"/>
  <c r="T19" i="13" s="1"/>
  <c r="V19" i="13" s="1"/>
  <c r="S12" i="13"/>
  <c r="T12" i="13" s="1"/>
  <c r="V12" i="13" s="1"/>
  <c r="S11" i="13"/>
  <c r="T11" i="13" s="1"/>
  <c r="V11" i="13" s="1"/>
  <c r="S10" i="13"/>
  <c r="T10" i="13" s="1"/>
  <c r="V10" i="13" s="1"/>
  <c r="S3" i="13"/>
  <c r="T3" i="13" s="1"/>
  <c r="V3" i="13" s="1"/>
  <c r="C4" i="13"/>
  <c r="F28" i="25" l="1"/>
  <c r="E31" i="25"/>
  <c r="F31" i="25" s="1"/>
  <c r="F31" i="27"/>
  <c r="F29" i="26"/>
  <c r="V22" i="13"/>
  <c r="X4" i="13"/>
  <c r="Y4" i="13" s="1"/>
  <c r="AA4" i="13" s="1"/>
  <c r="X5" i="13"/>
  <c r="Y5" i="13" s="1"/>
  <c r="AA5" i="13" s="1"/>
  <c r="V13" i="13"/>
  <c r="S4" i="13"/>
  <c r="T4" i="13" s="1"/>
  <c r="V4" i="13" s="1"/>
  <c r="S5" i="13"/>
  <c r="T5" i="13" s="1"/>
  <c r="V5" i="13" s="1"/>
  <c r="L5" i="15"/>
  <c r="L3" i="15"/>
  <c r="L4" i="15"/>
  <c r="Q3" i="14"/>
  <c r="AA6" i="13" l="1"/>
  <c r="V6" i="13"/>
  <c r="L23" i="15"/>
  <c r="K7" i="16"/>
  <c r="M8" i="16"/>
  <c r="N8" i="16" s="1"/>
  <c r="P8" i="16" s="1"/>
  <c r="M7" i="16"/>
  <c r="N7" i="16" s="1"/>
  <c r="P7" i="16" s="1"/>
  <c r="M6" i="16"/>
  <c r="N6" i="16" s="1"/>
  <c r="P6" i="16" s="1"/>
  <c r="M5" i="16"/>
  <c r="N5" i="16" s="1"/>
  <c r="P5" i="16" s="1"/>
  <c r="C8" i="16" l="1"/>
  <c r="D8" i="16" s="1"/>
  <c r="F8" i="16" s="1"/>
  <c r="C7" i="16"/>
  <c r="D7" i="16" s="1"/>
  <c r="C6" i="16"/>
  <c r="D6" i="16" s="1"/>
  <c r="F6" i="16" s="1"/>
  <c r="C5" i="16"/>
  <c r="D5" i="16" s="1"/>
  <c r="F5" i="16" s="1"/>
  <c r="C28" i="16"/>
  <c r="D28" i="16" s="1"/>
  <c r="F28" i="16" s="1"/>
  <c r="C27" i="16"/>
  <c r="D27" i="16" s="1"/>
  <c r="F27" i="16" s="1"/>
  <c r="C26" i="16"/>
  <c r="D26" i="16" s="1"/>
  <c r="F26" i="16" s="1"/>
  <c r="C25" i="16"/>
  <c r="D25" i="16" s="1"/>
  <c r="F25" i="16" s="1"/>
  <c r="M28" i="16"/>
  <c r="N28" i="16" s="1"/>
  <c r="P28" i="16" s="1"/>
  <c r="M27" i="16"/>
  <c r="N27" i="16" s="1"/>
  <c r="P27" i="16" s="1"/>
  <c r="M26" i="16"/>
  <c r="N26" i="16" s="1"/>
  <c r="P26" i="16" s="1"/>
  <c r="M25" i="16"/>
  <c r="N25" i="16" s="1"/>
  <c r="P25" i="16" s="1"/>
  <c r="H28" i="16"/>
  <c r="I28" i="16" s="1"/>
  <c r="K28" i="16" s="1"/>
  <c r="I27" i="16"/>
  <c r="K27" i="16" s="1"/>
  <c r="H27" i="16"/>
  <c r="I26" i="16"/>
  <c r="K26" i="16" s="1"/>
  <c r="I25" i="16"/>
  <c r="K25" i="16" s="1"/>
  <c r="C18" i="16"/>
  <c r="D18" i="16" s="1"/>
  <c r="F18" i="16" s="1"/>
  <c r="D17" i="16"/>
  <c r="F17" i="16" s="1"/>
  <c r="C17" i="16"/>
  <c r="C16" i="16"/>
  <c r="D16" i="16" s="1"/>
  <c r="F16" i="16" s="1"/>
  <c r="D15" i="16"/>
  <c r="F15" i="16" s="1"/>
  <c r="C15" i="16"/>
  <c r="M18" i="16"/>
  <c r="N18" i="16" s="1"/>
  <c r="P18" i="16" s="1"/>
  <c r="N17" i="16"/>
  <c r="P17" i="16" s="1"/>
  <c r="M17" i="16"/>
  <c r="M16" i="16"/>
  <c r="N16" i="16" s="1"/>
  <c r="P16" i="16" s="1"/>
  <c r="M15" i="16"/>
  <c r="N15" i="16" s="1"/>
  <c r="P15" i="16" s="1"/>
  <c r="I18" i="16"/>
  <c r="K18" i="16" s="1"/>
  <c r="H18" i="16"/>
  <c r="H17" i="16"/>
  <c r="I17" i="16" s="1"/>
  <c r="I16" i="16"/>
  <c r="I15" i="16"/>
  <c r="H8" i="16"/>
  <c r="I8" i="16" s="1"/>
  <c r="K8" i="16" s="1"/>
  <c r="H7" i="16"/>
  <c r="I7" i="16" s="1"/>
  <c r="I6" i="16"/>
  <c r="K6" i="16" s="1"/>
  <c r="I5" i="16"/>
  <c r="K5" i="16" s="1"/>
  <c r="M24" i="16"/>
  <c r="N24" i="16" s="1"/>
  <c r="P24" i="16" s="1"/>
  <c r="I24" i="16"/>
  <c r="K24" i="16" s="1"/>
  <c r="C24" i="16"/>
  <c r="D24" i="16" s="1"/>
  <c r="F24" i="16" s="1"/>
  <c r="F29" i="16" s="1"/>
  <c r="M14" i="16"/>
  <c r="N14" i="16" s="1"/>
  <c r="P14" i="16" s="1"/>
  <c r="P19" i="16" s="1"/>
  <c r="I14" i="16"/>
  <c r="K19" i="16" s="1"/>
  <c r="C14" i="16"/>
  <c r="D14" i="16" s="1"/>
  <c r="F14" i="16" s="1"/>
  <c r="M4" i="16"/>
  <c r="N4" i="16" s="1"/>
  <c r="P4" i="16" s="1"/>
  <c r="P9" i="16" s="1"/>
  <c r="I4" i="16"/>
  <c r="K4" i="16" s="1"/>
  <c r="K9" i="16" s="1"/>
  <c r="C4" i="16"/>
  <c r="D4" i="16" s="1"/>
  <c r="F4" i="16" s="1"/>
  <c r="C22" i="15"/>
  <c r="D22" i="15" s="1"/>
  <c r="F22" i="15" s="1"/>
  <c r="M13" i="15"/>
  <c r="N13" i="15" s="1"/>
  <c r="P13" i="15" s="1"/>
  <c r="M5" i="15"/>
  <c r="M4" i="15"/>
  <c r="N4" i="15" s="1"/>
  <c r="P4" i="15" s="1"/>
  <c r="M3" i="15"/>
  <c r="N3" i="15" s="1"/>
  <c r="P3" i="15" s="1"/>
  <c r="M23" i="15"/>
  <c r="N23" i="15" s="1"/>
  <c r="P23" i="15" s="1"/>
  <c r="H23" i="15"/>
  <c r="I23" i="15" s="1"/>
  <c r="K23" i="15" s="1"/>
  <c r="C23" i="15"/>
  <c r="D23" i="15" s="1"/>
  <c r="F23" i="15" s="1"/>
  <c r="M22" i="15"/>
  <c r="N22" i="15" s="1"/>
  <c r="P22" i="15" s="1"/>
  <c r="H22" i="15"/>
  <c r="I22" i="15" s="1"/>
  <c r="K22" i="15" s="1"/>
  <c r="M21" i="15"/>
  <c r="N21" i="15" s="1"/>
  <c r="P21" i="15" s="1"/>
  <c r="H21" i="15"/>
  <c r="I21" i="15" s="1"/>
  <c r="K21" i="15" s="1"/>
  <c r="C21" i="15"/>
  <c r="D21" i="15" s="1"/>
  <c r="F21" i="15" s="1"/>
  <c r="M14" i="15"/>
  <c r="N14" i="15" s="1"/>
  <c r="P14" i="15" s="1"/>
  <c r="H14" i="15"/>
  <c r="I14" i="15" s="1"/>
  <c r="K14" i="15" s="1"/>
  <c r="C14" i="15"/>
  <c r="D14" i="15" s="1"/>
  <c r="F14" i="15" s="1"/>
  <c r="H13" i="15"/>
  <c r="I13" i="15" s="1"/>
  <c r="K13" i="15" s="1"/>
  <c r="C13" i="15"/>
  <c r="D13" i="15" s="1"/>
  <c r="F13" i="15" s="1"/>
  <c r="M12" i="15"/>
  <c r="N12" i="15" s="1"/>
  <c r="P12" i="15" s="1"/>
  <c r="H12" i="15"/>
  <c r="I12" i="15" s="1"/>
  <c r="K12" i="15" s="1"/>
  <c r="C12" i="15"/>
  <c r="D12" i="15" s="1"/>
  <c r="F12" i="15" s="1"/>
  <c r="H5" i="15"/>
  <c r="I5" i="15" s="1"/>
  <c r="K5" i="15" s="1"/>
  <c r="C5" i="15"/>
  <c r="D5" i="15" s="1"/>
  <c r="F5" i="15" s="1"/>
  <c r="H4" i="15"/>
  <c r="I4" i="15" s="1"/>
  <c r="K4" i="15" s="1"/>
  <c r="C4" i="15"/>
  <c r="D4" i="15" s="1"/>
  <c r="F4" i="15" s="1"/>
  <c r="H3" i="15"/>
  <c r="I3" i="15" s="1"/>
  <c r="K3" i="15" s="1"/>
  <c r="C3" i="15"/>
  <c r="D3" i="15" s="1"/>
  <c r="F3" i="15" s="1"/>
  <c r="F19" i="16" l="1"/>
  <c r="K29" i="16"/>
  <c r="B10" i="16"/>
  <c r="Q10" i="16" s="1"/>
  <c r="F7" i="16"/>
  <c r="F9" i="16" s="1"/>
  <c r="P29" i="16"/>
  <c r="B30" i="16"/>
  <c r="Q30" i="16" s="1"/>
  <c r="B20" i="16"/>
  <c r="Q20" i="16" s="1"/>
  <c r="N5" i="15"/>
  <c r="P5" i="15" s="1"/>
  <c r="P6" i="15" s="1"/>
  <c r="K24" i="15"/>
  <c r="K6" i="15"/>
  <c r="P24" i="15"/>
  <c r="F24" i="15"/>
  <c r="K15" i="15"/>
  <c r="F6" i="15"/>
  <c r="P15" i="15"/>
  <c r="F15" i="15"/>
  <c r="B16" i="15" l="1"/>
  <c r="Q16" i="15" s="1"/>
  <c r="B7" i="15"/>
  <c r="Q7" i="15" s="1"/>
  <c r="B25" i="15"/>
  <c r="Q25" i="15" s="1"/>
  <c r="M17" i="14" l="1"/>
  <c r="N17" i="14" s="1"/>
  <c r="P17" i="14" s="1"/>
  <c r="P18" i="14" s="1"/>
  <c r="H17" i="14"/>
  <c r="I17" i="14" s="1"/>
  <c r="K17" i="14" s="1"/>
  <c r="K18" i="14" s="1"/>
  <c r="C17" i="14"/>
  <c r="D17" i="14" s="1"/>
  <c r="F17" i="14" s="1"/>
  <c r="F18" i="14" s="1"/>
  <c r="M10" i="14"/>
  <c r="N10" i="14" s="1"/>
  <c r="H10" i="14"/>
  <c r="I10" i="14" s="1"/>
  <c r="K10" i="14" s="1"/>
  <c r="K11" i="14" s="1"/>
  <c r="C10" i="14"/>
  <c r="D10" i="14" s="1"/>
  <c r="F10" i="14" s="1"/>
  <c r="F11" i="14" s="1"/>
  <c r="M3" i="14"/>
  <c r="N3" i="14" s="1"/>
  <c r="P3" i="14" s="1"/>
  <c r="P4" i="14" s="1"/>
  <c r="H3" i="14"/>
  <c r="I3" i="14" s="1"/>
  <c r="K3" i="14" s="1"/>
  <c r="K4" i="14" s="1"/>
  <c r="C3" i="14"/>
  <c r="D3" i="14" s="1"/>
  <c r="F3" i="14" s="1"/>
  <c r="F4" i="14" s="1"/>
  <c r="N19" i="13"/>
  <c r="O19" i="13" s="1"/>
  <c r="Q19" i="13" s="1"/>
  <c r="I19" i="13"/>
  <c r="J19" i="13" s="1"/>
  <c r="L19" i="13" s="1"/>
  <c r="D19" i="13"/>
  <c r="E19" i="13" s="1"/>
  <c r="G19" i="13" s="1"/>
  <c r="N10" i="13"/>
  <c r="O10" i="13" s="1"/>
  <c r="Q10" i="13" s="1"/>
  <c r="I10" i="13"/>
  <c r="J10" i="13" s="1"/>
  <c r="L10" i="13" s="1"/>
  <c r="D10" i="13"/>
  <c r="E10" i="13" s="1"/>
  <c r="G10" i="13" s="1"/>
  <c r="P10" i="14" l="1"/>
  <c r="P11" i="14" s="1"/>
  <c r="B19" i="14"/>
  <c r="Q19" i="14" s="1"/>
  <c r="B5" i="14"/>
  <c r="Q5" i="14" s="1"/>
  <c r="D20" i="13"/>
  <c r="E20" i="13" s="1"/>
  <c r="G20" i="13" s="1"/>
  <c r="I20" i="13"/>
  <c r="J20" i="13" s="1"/>
  <c r="L20" i="13" s="1"/>
  <c r="N20" i="13"/>
  <c r="O20" i="13" s="1"/>
  <c r="Q20" i="13" s="1"/>
  <c r="D21" i="13"/>
  <c r="E21" i="13" s="1"/>
  <c r="G21" i="13" s="1"/>
  <c r="I21" i="13"/>
  <c r="J21" i="13" s="1"/>
  <c r="L21" i="13" s="1"/>
  <c r="N21" i="13"/>
  <c r="O21" i="13" s="1"/>
  <c r="Q21" i="13" s="1"/>
  <c r="D11" i="13"/>
  <c r="E11" i="13" s="1"/>
  <c r="G11" i="13" s="1"/>
  <c r="I11" i="13"/>
  <c r="J11" i="13" s="1"/>
  <c r="L11" i="13" s="1"/>
  <c r="N11" i="13"/>
  <c r="O11" i="13" s="1"/>
  <c r="Q11" i="13" s="1"/>
  <c r="D12" i="13"/>
  <c r="E12" i="13" s="1"/>
  <c r="G12" i="13" s="1"/>
  <c r="I12" i="13"/>
  <c r="J12" i="13" s="1"/>
  <c r="L12" i="13" s="1"/>
  <c r="N12" i="13"/>
  <c r="O12" i="13" s="1"/>
  <c r="Q12" i="13" s="1"/>
  <c r="B12" i="14" l="1"/>
  <c r="Q12" i="14" s="1"/>
  <c r="L22" i="13"/>
  <c r="G22" i="13"/>
  <c r="C23" i="13" s="1"/>
  <c r="R23" i="13" s="1"/>
  <c r="Q22" i="13"/>
  <c r="L13" i="13"/>
  <c r="Q13" i="13"/>
  <c r="G13" i="13"/>
  <c r="C14" i="13" l="1"/>
  <c r="R14" i="13" s="1"/>
  <c r="N3" i="13" l="1"/>
  <c r="O3" i="13" s="1"/>
  <c r="Q3" i="13" s="1"/>
  <c r="N5" i="13"/>
  <c r="N4" i="13"/>
  <c r="D5" i="13"/>
  <c r="E5" i="13" s="1"/>
  <c r="I5" i="13"/>
  <c r="J5" i="13" s="1"/>
  <c r="L5" i="13" s="1"/>
  <c r="I4" i="13"/>
  <c r="J4" i="13" s="1"/>
  <c r="L4" i="13" s="1"/>
  <c r="I3" i="13"/>
  <c r="J3" i="13" s="1"/>
  <c r="L3" i="13" s="1"/>
  <c r="D3" i="13"/>
  <c r="E3" i="13" s="1"/>
  <c r="G3" i="13" s="1"/>
  <c r="J4" i="12"/>
  <c r="K4" i="12" s="1"/>
  <c r="J3" i="12"/>
  <c r="K3" i="12" s="1"/>
  <c r="L6" i="13" l="1"/>
  <c r="O5" i="13"/>
  <c r="Q5" i="13" s="1"/>
  <c r="O4" i="13"/>
  <c r="Q4" i="13" s="1"/>
  <c r="Q6" i="13" s="1"/>
  <c r="G5" i="13"/>
  <c r="G6" i="13" s="1"/>
  <c r="D4" i="13"/>
  <c r="E4" i="13" s="1"/>
  <c r="G4" i="13" s="1"/>
  <c r="B30" i="13" l="1"/>
  <c r="C30" i="13" s="1"/>
  <c r="B29" i="13"/>
  <c r="C29" i="13" s="1"/>
  <c r="B28" i="13"/>
  <c r="C28" i="13" s="1"/>
  <c r="C41" i="11" l="1"/>
  <c r="C40" i="8"/>
  <c r="G53" i="12" l="1"/>
  <c r="H53" i="12" s="1"/>
  <c r="D53" i="12"/>
  <c r="E53" i="12" s="1"/>
  <c r="J52" i="12"/>
  <c r="K52" i="12" s="1"/>
  <c r="G52" i="12"/>
  <c r="H52" i="12" s="1"/>
  <c r="D52" i="12"/>
  <c r="E52" i="12" s="1"/>
  <c r="G51" i="12"/>
  <c r="H51" i="12" s="1"/>
  <c r="D51" i="12"/>
  <c r="E51" i="12" s="1"/>
  <c r="J31" i="12"/>
  <c r="K31" i="12" s="1"/>
  <c r="G31" i="12"/>
  <c r="H31" i="12" s="1"/>
  <c r="D31" i="12"/>
  <c r="E31" i="12" s="1"/>
  <c r="K28" i="12"/>
  <c r="J28" i="12"/>
  <c r="G28" i="12"/>
  <c r="H28" i="12" s="1"/>
  <c r="D28" i="12"/>
  <c r="E28" i="12" s="1"/>
  <c r="J25" i="12"/>
  <c r="K25" i="12" s="1"/>
  <c r="H25" i="12"/>
  <c r="D25" i="12"/>
  <c r="E25" i="12" s="1"/>
  <c r="C36" i="12" s="1"/>
  <c r="C46" i="12" s="1"/>
  <c r="J24" i="12"/>
  <c r="K24" i="12" s="1"/>
  <c r="H24" i="12"/>
  <c r="D24" i="12"/>
  <c r="E24" i="12" s="1"/>
  <c r="K23" i="12"/>
  <c r="J23" i="12"/>
  <c r="H23" i="12"/>
  <c r="D23" i="12"/>
  <c r="E23" i="12" s="1"/>
  <c r="J12" i="12"/>
  <c r="K12" i="12" s="1"/>
  <c r="G12" i="12"/>
  <c r="H12" i="12" s="1"/>
  <c r="D12" i="12"/>
  <c r="E12" i="12" s="1"/>
  <c r="J5" i="12"/>
  <c r="K5" i="12" s="1"/>
  <c r="G5" i="12"/>
  <c r="H5" i="12" s="1"/>
  <c r="D5" i="12"/>
  <c r="E5" i="12" s="1"/>
  <c r="G4" i="12"/>
  <c r="H4" i="12" s="1"/>
  <c r="D4" i="12"/>
  <c r="E4" i="12" s="1"/>
  <c r="G3" i="12"/>
  <c r="H3" i="12" s="1"/>
  <c r="D3" i="12"/>
  <c r="E3" i="12" s="1"/>
  <c r="G4" i="11"/>
  <c r="G53" i="11"/>
  <c r="H53" i="11" s="1"/>
  <c r="D53" i="11"/>
  <c r="E53" i="11" s="1"/>
  <c r="J52" i="11"/>
  <c r="K52" i="11" s="1"/>
  <c r="G52" i="11"/>
  <c r="H52" i="11" s="1"/>
  <c r="D52" i="11"/>
  <c r="E52" i="11" s="1"/>
  <c r="G51" i="11"/>
  <c r="H51" i="11" s="1"/>
  <c r="D51" i="11"/>
  <c r="E51" i="11" s="1"/>
  <c r="J31" i="11"/>
  <c r="K31" i="11" s="1"/>
  <c r="G31" i="11"/>
  <c r="H31" i="11" s="1"/>
  <c r="D31" i="11"/>
  <c r="E31" i="11" s="1"/>
  <c r="C33" i="11" s="1"/>
  <c r="K28" i="11"/>
  <c r="J28" i="11"/>
  <c r="G28" i="11"/>
  <c r="H28" i="11" s="1"/>
  <c r="D28" i="11"/>
  <c r="E28" i="11" s="1"/>
  <c r="J25" i="11"/>
  <c r="K25" i="11" s="1"/>
  <c r="H25" i="11"/>
  <c r="D25" i="11"/>
  <c r="E25" i="11" s="1"/>
  <c r="K24" i="11"/>
  <c r="J24" i="11"/>
  <c r="H24" i="11"/>
  <c r="D24" i="11"/>
  <c r="E24" i="11" s="1"/>
  <c r="J23" i="11"/>
  <c r="K23" i="11" s="1"/>
  <c r="H23" i="11"/>
  <c r="D23" i="11"/>
  <c r="E23" i="11" s="1"/>
  <c r="J12" i="11"/>
  <c r="K12" i="11" s="1"/>
  <c r="G12" i="11"/>
  <c r="H12" i="11" s="1"/>
  <c r="D12" i="11"/>
  <c r="E12" i="11" s="1"/>
  <c r="J5" i="11"/>
  <c r="K5" i="11" s="1"/>
  <c r="G5" i="11"/>
  <c r="H5" i="11" s="1"/>
  <c r="D5" i="11"/>
  <c r="E5" i="11" s="1"/>
  <c r="D4" i="11"/>
  <c r="G3" i="11"/>
  <c r="H3" i="11" s="1"/>
  <c r="D3" i="11"/>
  <c r="E3" i="11" s="1"/>
  <c r="H53" i="8"/>
  <c r="G53" i="8"/>
  <c r="G52" i="8"/>
  <c r="H52" i="8" s="1"/>
  <c r="G51" i="8"/>
  <c r="H51" i="8" s="1"/>
  <c r="C13" i="12" l="1"/>
  <c r="C13" i="11"/>
  <c r="C6" i="12"/>
  <c r="C8" i="12" s="1"/>
  <c r="C47" i="12"/>
  <c r="C37" i="12"/>
  <c r="C33" i="12"/>
  <c r="C47" i="11"/>
  <c r="C37" i="11"/>
  <c r="C34" i="12"/>
  <c r="C44" i="12" s="1"/>
  <c r="C35" i="12"/>
  <c r="C45" i="12" s="1"/>
  <c r="C43" i="12"/>
  <c r="C16" i="12"/>
  <c r="C54" i="12"/>
  <c r="C56" i="12" s="1"/>
  <c r="C54" i="11"/>
  <c r="C56" i="11" s="1"/>
  <c r="L56" i="11" s="1"/>
  <c r="C43" i="11"/>
  <c r="C35" i="11"/>
  <c r="C45" i="11" s="1"/>
  <c r="C34" i="11"/>
  <c r="C44" i="11" s="1"/>
  <c r="C36" i="11"/>
  <c r="C46" i="11" s="1"/>
  <c r="C16" i="11"/>
  <c r="C6" i="11"/>
  <c r="C8" i="11" s="1"/>
  <c r="E4" i="11"/>
  <c r="H4" i="11"/>
  <c r="C48" i="12" l="1"/>
  <c r="L57" i="12" s="1"/>
  <c r="L56" i="12"/>
  <c r="C48" i="11"/>
  <c r="L57" i="11" s="1"/>
  <c r="D53" i="8" l="1"/>
  <c r="E53" i="8" s="1"/>
  <c r="D51" i="8"/>
  <c r="E51" i="8" s="1"/>
  <c r="C5" i="8"/>
  <c r="C4" i="8"/>
  <c r="D3" i="8"/>
  <c r="E3" i="8" s="1"/>
  <c r="F4" i="8"/>
  <c r="G3" i="8"/>
  <c r="H3" i="8" s="1"/>
  <c r="D4" i="8" l="1"/>
  <c r="E4" i="8" s="1"/>
  <c r="G4" i="8"/>
  <c r="H4" i="8" s="1"/>
  <c r="G5" i="8"/>
  <c r="H5" i="8" s="1"/>
  <c r="J5" i="8"/>
  <c r="K5" i="8" s="1"/>
  <c r="D12" i="8"/>
  <c r="E12" i="8" s="1"/>
  <c r="C13" i="8" s="1"/>
  <c r="G12" i="8"/>
  <c r="H12" i="8" s="1"/>
  <c r="J12" i="8"/>
  <c r="K12" i="8" s="1"/>
  <c r="J52" i="8" l="1"/>
  <c r="K52" i="8" s="1"/>
  <c r="D52" i="8"/>
  <c r="E52" i="8" s="1"/>
  <c r="J31" i="8"/>
  <c r="K31" i="8" s="1"/>
  <c r="G31" i="8"/>
  <c r="H31" i="8" s="1"/>
  <c r="D31" i="8"/>
  <c r="E31" i="8" s="1"/>
  <c r="J28" i="8"/>
  <c r="K28" i="8" s="1"/>
  <c r="G28" i="8"/>
  <c r="H28" i="8" s="1"/>
  <c r="D28" i="8"/>
  <c r="E28" i="8" s="1"/>
  <c r="C37" i="8" s="1"/>
  <c r="C47" i="8" s="1"/>
  <c r="J25" i="8"/>
  <c r="K25" i="8" s="1"/>
  <c r="G25" i="8"/>
  <c r="H25" i="8" s="1"/>
  <c r="D25" i="8"/>
  <c r="E25" i="8" s="1"/>
  <c r="J24" i="8"/>
  <c r="K24" i="8" s="1"/>
  <c r="G24" i="8"/>
  <c r="H24" i="8" s="1"/>
  <c r="D24" i="8"/>
  <c r="E24" i="8" s="1"/>
  <c r="J23" i="8"/>
  <c r="K23" i="8" s="1"/>
  <c r="G23" i="8"/>
  <c r="H23" i="8" s="1"/>
  <c r="D23" i="8"/>
  <c r="E23" i="8" s="1"/>
  <c r="D5" i="8"/>
  <c r="E5" i="8" s="1"/>
  <c r="C6" i="8" s="1"/>
  <c r="C33" i="8" l="1"/>
  <c r="C34" i="8"/>
  <c r="C44" i="8" s="1"/>
  <c r="C54" i="8"/>
  <c r="C56" i="8" s="1"/>
  <c r="L56" i="8" s="1"/>
  <c r="C36" i="8"/>
  <c r="C46" i="8" s="1"/>
  <c r="C43" i="8"/>
  <c r="C16" i="8"/>
  <c r="C35" i="8"/>
  <c r="C45" i="8" s="1"/>
  <c r="C8" i="8"/>
  <c r="C48" i="8" l="1"/>
  <c r="L57" i="8" s="1"/>
  <c r="P49" i="7"/>
  <c r="Q49" i="7" s="1"/>
  <c r="P29" i="7"/>
  <c r="Q29" i="7" s="1"/>
  <c r="P26" i="7"/>
  <c r="Q26" i="7" s="1"/>
  <c r="P23" i="7"/>
  <c r="Q23" i="7" s="1"/>
  <c r="P22" i="7"/>
  <c r="Q22" i="7" s="1"/>
  <c r="P21" i="7"/>
  <c r="Q21" i="7" s="1"/>
  <c r="P10" i="7"/>
  <c r="Q10" i="7" s="1"/>
  <c r="P3" i="7"/>
  <c r="Q3" i="7" s="1"/>
  <c r="P49" i="2"/>
  <c r="Q49" i="2" s="1"/>
  <c r="P29" i="2"/>
  <c r="Q29" i="2" s="1"/>
  <c r="P26" i="2"/>
  <c r="Q26" i="2" s="1"/>
  <c r="P23" i="2"/>
  <c r="Q23" i="2" s="1"/>
  <c r="P22" i="2"/>
  <c r="Q22" i="2" s="1"/>
  <c r="P21" i="2"/>
  <c r="Q21" i="2" s="1"/>
  <c r="P10" i="2"/>
  <c r="Q10" i="2" s="1"/>
  <c r="P3" i="2"/>
  <c r="Q3" i="2" s="1"/>
  <c r="M49" i="7" l="1"/>
  <c r="N49" i="7" s="1"/>
  <c r="J49" i="7"/>
  <c r="K49" i="7" s="1"/>
  <c r="G49" i="7"/>
  <c r="H49" i="7" s="1"/>
  <c r="D49" i="7"/>
  <c r="E49" i="7" s="1"/>
  <c r="C50" i="7" s="1"/>
  <c r="M29" i="7"/>
  <c r="N29" i="7" s="1"/>
  <c r="J29" i="7"/>
  <c r="K29" i="7" s="1"/>
  <c r="F29" i="7"/>
  <c r="G29" i="7" s="1"/>
  <c r="C29" i="7"/>
  <c r="B29" i="7"/>
  <c r="M26" i="7"/>
  <c r="N26" i="7" s="1"/>
  <c r="J26" i="7"/>
  <c r="K26" i="7" s="1"/>
  <c r="G26" i="7"/>
  <c r="H26" i="7" s="1"/>
  <c r="D26" i="7"/>
  <c r="E26" i="7" s="1"/>
  <c r="M23" i="7"/>
  <c r="N23" i="7" s="1"/>
  <c r="J23" i="7"/>
  <c r="K23" i="7" s="1"/>
  <c r="G23" i="7"/>
  <c r="H23" i="7" s="1"/>
  <c r="E23" i="7"/>
  <c r="N22" i="7"/>
  <c r="M22" i="7"/>
  <c r="J22" i="7"/>
  <c r="K22" i="7" s="1"/>
  <c r="H22" i="7"/>
  <c r="G22" i="7"/>
  <c r="E22" i="7"/>
  <c r="M21" i="7"/>
  <c r="N21" i="7" s="1"/>
  <c r="J21" i="7"/>
  <c r="K21" i="7" s="1"/>
  <c r="G21" i="7"/>
  <c r="H21" i="7" s="1"/>
  <c r="E21" i="7"/>
  <c r="M10" i="7"/>
  <c r="N10" i="7" s="1"/>
  <c r="J10" i="7"/>
  <c r="K10" i="7" s="1"/>
  <c r="G10" i="7"/>
  <c r="H10" i="7" s="1"/>
  <c r="D10" i="7"/>
  <c r="E10" i="7" s="1"/>
  <c r="M3" i="7"/>
  <c r="N3" i="7" s="1"/>
  <c r="J3" i="7"/>
  <c r="K3" i="7" s="1"/>
  <c r="G3" i="7"/>
  <c r="H3" i="7" s="1"/>
  <c r="D3" i="7"/>
  <c r="E3" i="7" s="1"/>
  <c r="C11" i="7" l="1"/>
  <c r="C14" i="7" s="1"/>
  <c r="C4" i="7"/>
  <c r="C6" i="7" s="1"/>
  <c r="C34" i="7"/>
  <c r="C35" i="7"/>
  <c r="C33" i="7"/>
  <c r="H29" i="7"/>
  <c r="C32" i="7"/>
  <c r="C42" i="7" s="1"/>
  <c r="C52" i="7"/>
  <c r="C43" i="7"/>
  <c r="C44" i="7"/>
  <c r="C45" i="7"/>
  <c r="E29" i="7"/>
  <c r="D29" i="7"/>
  <c r="M49" i="2"/>
  <c r="N49" i="2" s="1"/>
  <c r="M29" i="2"/>
  <c r="N29" i="2" s="1"/>
  <c r="M26" i="2"/>
  <c r="N26" i="2" s="1"/>
  <c r="M23" i="2"/>
  <c r="N23" i="2" s="1"/>
  <c r="M22" i="2"/>
  <c r="N22" i="2" s="1"/>
  <c r="M21" i="2"/>
  <c r="N21" i="2" s="1"/>
  <c r="M10" i="2"/>
  <c r="N10" i="2" s="1"/>
  <c r="M3" i="2"/>
  <c r="N3" i="2" s="1"/>
  <c r="J49" i="2"/>
  <c r="K49" i="2" s="1"/>
  <c r="J29" i="2"/>
  <c r="K29" i="2" s="1"/>
  <c r="F29" i="2"/>
  <c r="C29" i="2"/>
  <c r="B29" i="2"/>
  <c r="K26" i="2"/>
  <c r="J26" i="2"/>
  <c r="K23" i="2"/>
  <c r="K22" i="2"/>
  <c r="K21" i="2"/>
  <c r="J23" i="2"/>
  <c r="J22" i="2"/>
  <c r="J21" i="2"/>
  <c r="J10" i="2"/>
  <c r="K10" i="2" s="1"/>
  <c r="J3" i="2"/>
  <c r="K3" i="2" s="1"/>
  <c r="C31" i="7" l="1"/>
  <c r="C41" i="7" s="1"/>
  <c r="C46" i="7" s="1"/>
  <c r="D10" i="2"/>
  <c r="E10" i="2" s="1"/>
  <c r="G10" i="2"/>
  <c r="H10" i="2" s="1"/>
  <c r="D49" i="2"/>
  <c r="E49" i="2" s="1"/>
  <c r="G49" i="2"/>
  <c r="H49" i="2" s="1"/>
  <c r="C50" i="2" l="1"/>
  <c r="C11" i="2"/>
  <c r="C52" i="2"/>
  <c r="G23" i="2" l="1"/>
  <c r="H23" i="2" s="1"/>
  <c r="G22" i="2"/>
  <c r="H22" i="2" s="1"/>
  <c r="G21" i="2"/>
  <c r="H21" i="2" s="1"/>
  <c r="G29" i="2"/>
  <c r="H29" i="2" s="1"/>
  <c r="G26" i="2"/>
  <c r="H26" i="2" s="1"/>
  <c r="G3" i="2"/>
  <c r="H3" i="2" s="1"/>
  <c r="D29" i="2"/>
  <c r="E29" i="2" s="1"/>
  <c r="C31" i="2" s="1"/>
  <c r="D26" i="2"/>
  <c r="E26" i="2" s="1"/>
  <c r="C35" i="2" s="1"/>
  <c r="C45" i="2" s="1"/>
  <c r="E23" i="2"/>
  <c r="C34" i="2" s="1"/>
  <c r="C44" i="2" s="1"/>
  <c r="E22" i="2"/>
  <c r="C33" i="2" s="1"/>
  <c r="C43" i="2" s="1"/>
  <c r="E21" i="2"/>
  <c r="C32" i="2" s="1"/>
  <c r="C42" i="2" s="1"/>
  <c r="C14" i="2"/>
  <c r="D3" i="2"/>
  <c r="E3" i="2" s="1"/>
  <c r="C4" i="2" s="1"/>
  <c r="C41" i="2" l="1"/>
  <c r="C6" i="2"/>
  <c r="C46" i="2" l="1"/>
</calcChain>
</file>

<file path=xl/sharedStrings.xml><?xml version="1.0" encoding="utf-8"?>
<sst xmlns="http://schemas.openxmlformats.org/spreadsheetml/2006/main" count="1385" uniqueCount="141">
  <si>
    <t xml:space="preserve">Urbano </t>
  </si>
  <si>
    <t xml:space="preserve">Nacional  </t>
  </si>
  <si>
    <t xml:space="preserve">Difícil Acceso </t>
  </si>
  <si>
    <t>Valor Mes Antes de Iva</t>
  </si>
  <si>
    <t>IVA</t>
  </si>
  <si>
    <t>Valor Mes IVA incluido</t>
  </si>
  <si>
    <t>ITEM 1</t>
  </si>
  <si>
    <t>Courrier</t>
  </si>
  <si>
    <t xml:space="preserve">Electronica Certificada </t>
  </si>
  <si>
    <t>Mensaje Electronico Certificado</t>
  </si>
  <si>
    <t>Motorizada</t>
  </si>
  <si>
    <t>Valor Antes de IVA</t>
  </si>
  <si>
    <t>Valor IVA Incluido</t>
  </si>
  <si>
    <t xml:space="preserve">
Gestión Documental y Correspondencia.
</t>
  </si>
  <si>
    <t>Arrendamiento Equipos de Correspondencia con consumibles</t>
  </si>
  <si>
    <t>ITEM / PROVEEDOR</t>
  </si>
  <si>
    <t>EMPRESA A</t>
  </si>
  <si>
    <t>EMPRESA B</t>
  </si>
  <si>
    <t>Plazo Contrato</t>
  </si>
  <si>
    <t>Plazo Contrato en meses</t>
  </si>
  <si>
    <t>Promedio Servicio Incluido IVA e impuestos - mensual</t>
  </si>
  <si>
    <t xml:space="preserve">Promedio Total Servicio Incluido IVA e impuestos - </t>
  </si>
  <si>
    <t>ITEM 2</t>
  </si>
  <si>
    <t xml:space="preserve">
Reprografía: Fotocopiado, digitalización e impresión (COSTO POR CLICK)
</t>
  </si>
  <si>
    <t>Promedio Click Incluido IVA e impuestos - mensual</t>
  </si>
  <si>
    <t>Promedio estimado de reprografia por mes</t>
  </si>
  <si>
    <t>ITEM 4</t>
  </si>
  <si>
    <t>ITEM 3</t>
  </si>
  <si>
    <t>Valor promedio Mes Motorizado</t>
  </si>
  <si>
    <t>Valor promedio Mes Electronica</t>
  </si>
  <si>
    <t>Valor promedio Mes Courrier - Urbano</t>
  </si>
  <si>
    <t>Valor promedio Mes Courrier- Nacional</t>
  </si>
  <si>
    <t>Valor promedio Mes Courrier - Dificil Acceso</t>
  </si>
  <si>
    <t>Consumo proyectado Mes Courrier - Urbano</t>
  </si>
  <si>
    <t>Consumo proyectado  Mes Courrier- Nacional</t>
  </si>
  <si>
    <t>Consumo proyectado  Mes Courrier - Dificil Acceso</t>
  </si>
  <si>
    <t xml:space="preserve">Consumo proyectado  Mes Electronica </t>
  </si>
  <si>
    <t>PROMEDIOS</t>
  </si>
  <si>
    <t>Valor promedio Motorizado</t>
  </si>
  <si>
    <t>Valor promedio Courrier - Urbano</t>
  </si>
  <si>
    <t>Valor promedio Courrier- Nacional</t>
  </si>
  <si>
    <t>Valor promedio Courrier - Dificil Acceso</t>
  </si>
  <si>
    <t>Valor promedio Electronica</t>
  </si>
  <si>
    <t>Valor Presupuesto Oficial Item 3</t>
  </si>
  <si>
    <t xml:space="preserve">Valor Actual </t>
  </si>
  <si>
    <t>Incluido IVA</t>
  </si>
  <si>
    <t>EMPRESA C</t>
  </si>
  <si>
    <t>DOS (2) Mensajeros Motorizados</t>
  </si>
  <si>
    <t>EMPRESA D</t>
  </si>
  <si>
    <t>EMPRESA E</t>
  </si>
  <si>
    <t>CADENA</t>
  </si>
  <si>
    <t>SKAPHE</t>
  </si>
  <si>
    <t>AUXILIAR DE ARCHIVO</t>
  </si>
  <si>
    <t>UN (01) COORDINADOR PROFESIONAL DE ARCHIVO</t>
  </si>
  <si>
    <t>DOS (02) TECNICOS DE ARCHIVO</t>
  </si>
  <si>
    <t>ITEM 4  Arrendamiento Equipos de Correspondencia con consumibles</t>
  </si>
  <si>
    <t>ITEM 1 Gestion Documental</t>
  </si>
  <si>
    <t>Impresora
térmica de
etiquetas de
códigos de barras</t>
  </si>
  <si>
    <t>Escanner
rendimiento
estándar</t>
  </si>
  <si>
    <t>Escanner de alto
rendimiento</t>
  </si>
  <si>
    <t>RROCESOS Y SERVICIOS</t>
  </si>
  <si>
    <t>Tiempo ( 9 meses)</t>
  </si>
  <si>
    <t>Valor Vigencia 2021</t>
  </si>
  <si>
    <t>SIETE (07) AUXILIARES DE ARCHIVO</t>
  </si>
  <si>
    <t>TOTAL</t>
  </si>
  <si>
    <t>Tiempo (12 meses)</t>
  </si>
  <si>
    <t>Valor Vigencia 2022</t>
  </si>
  <si>
    <t>Valor Vigencia 2023</t>
  </si>
  <si>
    <t>Promedio consumo servicio mes</t>
  </si>
  <si>
    <t>Valor Mes 2021</t>
  </si>
  <si>
    <t xml:space="preserve">Tiempo en meses </t>
  </si>
  <si>
    <t>Valor Mes 2022</t>
  </si>
  <si>
    <t>Valor Mes 2023</t>
  </si>
  <si>
    <t>Tiempo en meses / Valor Total</t>
  </si>
  <si>
    <t>Dos (02) Impresoras térmica de etiquetas de códigos de barras</t>
  </si>
  <si>
    <t>Dos (02) Escanner rendimiento estándar</t>
  </si>
  <si>
    <t xml:space="preserve">Un (01) Escanner de alto rendimiento </t>
  </si>
  <si>
    <t>Mensajeria Urbana</t>
  </si>
  <si>
    <t>Mensajeria Nacional</t>
  </si>
  <si>
    <t>Mensajeria Dificil Acceso</t>
  </si>
  <si>
    <t>Dos Mensajeros Motorizados</t>
  </si>
  <si>
    <t>N/A</t>
  </si>
  <si>
    <t>PROCESOS Y SERVICIOS</t>
  </si>
  <si>
    <t>Mensajeria</t>
  </si>
  <si>
    <t>IDU</t>
  </si>
  <si>
    <t>URBANA</t>
  </si>
  <si>
    <t>NACIONAL</t>
  </si>
  <si>
    <t>IDU - LP - SGGC -2020</t>
  </si>
  <si>
    <t>ALAS DE COLOMBIA EXPRESS SAS</t>
  </si>
  <si>
    <t>INTERRAPIDISIMO</t>
  </si>
  <si>
    <t>FNGRD-SAMC-001-2020</t>
  </si>
  <si>
    <t>unidad nacional de proteccion del riesgos</t>
  </si>
  <si>
    <t>secretaria de Seguridad y Convivencia</t>
  </si>
  <si>
    <t xml:space="preserve">Irene Paola Avellaneda </t>
  </si>
  <si>
    <t>irenepvillanedah@gmail.com</t>
  </si>
  <si>
    <t>TVEC</t>
  </si>
  <si>
    <t>INFORMATICA DOCUMENTAL</t>
  </si>
  <si>
    <t>IRON MOUNTAIN</t>
  </si>
  <si>
    <t>Valor Actual</t>
  </si>
  <si>
    <t>Menor valor</t>
  </si>
  <si>
    <t>Variable / Componente</t>
  </si>
  <si>
    <t>Media Aritmetica</t>
  </si>
  <si>
    <t>Media Armonica</t>
  </si>
  <si>
    <t>Valor Anual</t>
  </si>
  <si>
    <t>Valor Mensual</t>
  </si>
  <si>
    <t>TOTALIDAD DE OFERTAS 2021</t>
  </si>
  <si>
    <t>Cantidad</t>
  </si>
  <si>
    <t>Valor Unitario Mes IVA incluido</t>
  </si>
  <si>
    <t>Valor Unitario Mes Antes de Iva</t>
  </si>
  <si>
    <t>Valor Total Mes IVA incluido</t>
  </si>
  <si>
    <t>Duracion 2021 - Meses</t>
  </si>
  <si>
    <t>COORDINADOR PROFESIONAL DE ARCHIVO</t>
  </si>
  <si>
    <t>TECNICOS DE ARCHIVO</t>
  </si>
  <si>
    <t>AUXILIARES DE ARCHIVO</t>
  </si>
  <si>
    <t>AÑO 2021</t>
  </si>
  <si>
    <t>AÑO 2022</t>
  </si>
  <si>
    <t>AÑO 2023</t>
  </si>
  <si>
    <t>Valor Total Año 2021</t>
  </si>
  <si>
    <t>Valor Total Año 2022</t>
  </si>
  <si>
    <t>Valor Total Año 2023</t>
  </si>
  <si>
    <t>Firma</t>
  </si>
  <si>
    <t>Total</t>
  </si>
  <si>
    <t xml:space="preserve">CADENA COURRIER </t>
  </si>
  <si>
    <t xml:space="preserve">PROCESOS Y SERVICIOS </t>
  </si>
  <si>
    <t>Proveedor / Valor Consolidados x Año</t>
  </si>
  <si>
    <t>CADENA COURRIER</t>
  </si>
  <si>
    <t>Promedio de consumo por Mes</t>
  </si>
  <si>
    <t>Impresoras térmica de etiquetas de códigos de barras</t>
  </si>
  <si>
    <t>Escanner rendimiento estándar</t>
  </si>
  <si>
    <t>Mensajeros Motorizados</t>
  </si>
  <si>
    <t>CONTRATO ACTUAL</t>
  </si>
  <si>
    <t>Valor Unitario Antes de Iva</t>
  </si>
  <si>
    <t>Valor Unitario  IVA incluido</t>
  </si>
  <si>
    <t>Estimacion presupuestal Item 2 / año</t>
  </si>
  <si>
    <t>Estimacion presupuestal Item 1 / año</t>
  </si>
  <si>
    <t>Estimacion presupuestal Item 4 / año</t>
  </si>
  <si>
    <t>ITEM</t>
  </si>
  <si>
    <t>VALOR  REFERENCIA 2021</t>
  </si>
  <si>
    <t>VALOR  REFERENCIA 2023</t>
  </si>
  <si>
    <t>VALOR  REFERENCIA 2022</t>
  </si>
  <si>
    <t>Estimacion presupuestal Item 3 /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</si>
</sst>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-* #,##0_-;\-* #,##0_-;_-* &quot;-&quot;??_-;_-@_-"/>
    <numFmt numFmtId="167" formatCode="_-&quot;$&quot;* #,##0_-;\-&quot;$&quot;* #,##0_-;_-&quot;$&quot;* &quot;-&quot;??_-;_-@_-"/>
    <numFmt numFmtId="168" formatCode="_-* #,##0.0_-;\-* #,##0.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84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/>
    <xf numFmtId="165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233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6" fontId="3" fillId="0" borderId="1" xfId="1" applyNumberFormat="1" applyFont="1" applyBorder="1"/>
    <xf numFmtId="0" fontId="0" fillId="0" borderId="0" xfId="0" applyBorder="1"/>
    <xf numFmtId="0" fontId="0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 applyBorder="1" applyAlignment="1">
      <alignment horizontal="center" wrapText="1"/>
    </xf>
    <xf numFmtId="166" fontId="2" fillId="2" borderId="0" xfId="1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7" fontId="3" fillId="0" borderId="1" xfId="3" applyNumberFormat="1" applyFont="1" applyBorder="1"/>
    <xf numFmtId="166" fontId="4" fillId="0" borderId="1" xfId="1" applyNumberFormat="1" applyFont="1" applyBorder="1" applyAlignment="1">
      <alignment horizontal="center" vertical="center"/>
    </xf>
    <xf numFmtId="166" fontId="3" fillId="0" borderId="1" xfId="0" applyNumberFormat="1" applyFont="1" applyBorder="1"/>
    <xf numFmtId="166" fontId="3" fillId="0" borderId="1" xfId="1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6" fontId="4" fillId="0" borderId="1" xfId="1" applyNumberFormat="1" applyFont="1" applyBorder="1"/>
    <xf numFmtId="166" fontId="4" fillId="0" borderId="1" xfId="1" applyNumberFormat="1" applyFont="1" applyFill="1" applyBorder="1"/>
    <xf numFmtId="166" fontId="0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166" fontId="0" fillId="0" borderId="7" xfId="0" applyNumberFormat="1" applyBorder="1"/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166" fontId="2" fillId="2" borderId="10" xfId="1" applyNumberFormat="1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2" fillId="2" borderId="2" xfId="0" applyFont="1" applyFill="1" applyBorder="1" applyAlignment="1">
      <alignment horizontal="center" wrapText="1"/>
    </xf>
    <xf numFmtId="0" fontId="0" fillId="0" borderId="12" xfId="0" applyBorder="1"/>
    <xf numFmtId="0" fontId="2" fillId="2" borderId="1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166" fontId="2" fillId="2" borderId="5" xfId="1" applyNumberFormat="1" applyFont="1" applyFill="1" applyBorder="1" applyAlignment="1">
      <alignment horizontal="center"/>
    </xf>
    <xf numFmtId="0" fontId="0" fillId="0" borderId="5" xfId="0" applyBorder="1"/>
    <xf numFmtId="0" fontId="0" fillId="0" borderId="14" xfId="0" applyBorder="1"/>
    <xf numFmtId="0" fontId="7" fillId="0" borderId="0" xfId="0" applyFont="1"/>
    <xf numFmtId="0" fontId="2" fillId="3" borderId="1" xfId="0" applyFont="1" applyFill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3" xfId="0" applyFont="1" applyBorder="1" applyAlignment="1"/>
    <xf numFmtId="166" fontId="4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0" fillId="0" borderId="0" xfId="0" applyNumberFormat="1"/>
    <xf numFmtId="0" fontId="0" fillId="0" borderId="0" xfId="0" applyAlignment="1">
      <alignment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2" fillId="4" borderId="8" xfId="0" applyFont="1" applyFill="1" applyBorder="1" applyAlignment="1">
      <alignment horizontal="center" vertical="center" wrapText="1"/>
    </xf>
    <xf numFmtId="43" fontId="3" fillId="0" borderId="8" xfId="1" applyFont="1" applyBorder="1" applyAlignment="1">
      <alignment vertical="center" wrapText="1"/>
    </xf>
    <xf numFmtId="166" fontId="0" fillId="0" borderId="0" xfId="1" applyNumberFormat="1" applyFont="1"/>
    <xf numFmtId="43" fontId="0" fillId="0" borderId="0" xfId="0" applyNumberFormat="1"/>
    <xf numFmtId="4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6" fontId="8" fillId="2" borderId="1" xfId="1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166" fontId="9" fillId="0" borderId="1" xfId="1" applyNumberFormat="1" applyFont="1" applyBorder="1"/>
    <xf numFmtId="166" fontId="8" fillId="0" borderId="1" xfId="1" applyNumberFormat="1" applyFont="1" applyBorder="1"/>
    <xf numFmtId="166" fontId="4" fillId="0" borderId="1" xfId="1" applyNumberFormat="1" applyFont="1" applyBorder="1" applyAlignment="1">
      <alignment wrapText="1"/>
    </xf>
    <xf numFmtId="166" fontId="9" fillId="2" borderId="1" xfId="1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6" fontId="4" fillId="0" borderId="0" xfId="1" applyNumberFormat="1" applyFont="1" applyAlignment="1">
      <alignment wrapText="1"/>
    </xf>
    <xf numFmtId="166" fontId="4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166" fontId="4" fillId="4" borderId="1" xfId="1" applyNumberFormat="1" applyFont="1" applyFill="1" applyBorder="1" applyAlignment="1">
      <alignment horizontal="center" vertical="center"/>
    </xf>
    <xf numFmtId="166" fontId="4" fillId="4" borderId="0" xfId="1" applyNumberFormat="1" applyFont="1" applyFill="1" applyBorder="1" applyAlignment="1">
      <alignment horizontal="center" vertical="center"/>
    </xf>
    <xf numFmtId="166" fontId="4" fillId="4" borderId="1" xfId="1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166" fontId="4" fillId="4" borderId="3" xfId="1" applyNumberFormat="1" applyFont="1" applyFill="1" applyBorder="1" applyAlignment="1">
      <alignment horizontal="center" vertical="center"/>
    </xf>
    <xf numFmtId="166" fontId="4" fillId="0" borderId="6" xfId="1" applyNumberFormat="1" applyFon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66" fontId="9" fillId="2" borderId="6" xfId="1" applyNumberFormat="1" applyFont="1" applyFill="1" applyBorder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/>
    </xf>
    <xf numFmtId="166" fontId="10" fillId="0" borderId="0" xfId="0" applyNumberFormat="1" applyFont="1"/>
    <xf numFmtId="0" fontId="10" fillId="0" borderId="0" xfId="0" applyFont="1"/>
    <xf numFmtId="166" fontId="4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6" fontId="4" fillId="0" borderId="0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11" fillId="0" borderId="0" xfId="4"/>
    <xf numFmtId="1" fontId="0" fillId="0" borderId="0" xfId="0" applyNumberFormat="1"/>
    <xf numFmtId="0" fontId="9" fillId="2" borderId="0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1" fontId="4" fillId="0" borderId="0" xfId="1" applyNumberFormat="1" applyFont="1" applyBorder="1" applyAlignment="1">
      <alignment horizontal="center" vertical="center" wrapText="1"/>
    </xf>
    <xf numFmtId="166" fontId="4" fillId="2" borderId="0" xfId="1" applyNumberFormat="1" applyFont="1" applyFill="1" applyBorder="1" applyAlignment="1">
      <alignment horizontal="center" vertical="center"/>
    </xf>
    <xf numFmtId="1" fontId="4" fillId="2" borderId="0" xfId="1" applyNumberFormat="1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2" fillId="4" borderId="7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66" fontId="4" fillId="0" borderId="1" xfId="1" applyNumberFormat="1" applyFont="1" applyBorder="1" applyAlignment="1" applyProtection="1">
      <alignment horizontal="center" vertical="center" wrapText="1"/>
      <protection hidden="1"/>
    </xf>
    <xf numFmtId="166" fontId="0" fillId="0" borderId="1" xfId="0" applyNumberFormat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vertical="center" wrapText="1"/>
      <protection hidden="1"/>
    </xf>
    <xf numFmtId="166" fontId="4" fillId="0" borderId="1" xfId="1" applyNumberFormat="1" applyFont="1" applyBorder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0" fontId="3" fillId="5" borderId="1" xfId="0" applyFont="1" applyFill="1" applyBorder="1" applyAlignment="1" applyProtection="1">
      <alignment horizontal="left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0" fontId="3" fillId="5" borderId="1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left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1" xfId="0" applyNumberFormat="1" applyBorder="1" applyProtection="1">
      <protection hidden="1"/>
    </xf>
    <xf numFmtId="0" fontId="3" fillId="5" borderId="1" xfId="0" applyFont="1" applyFill="1" applyBorder="1" applyProtection="1">
      <protection hidden="1"/>
    </xf>
    <xf numFmtId="0" fontId="3" fillId="0" borderId="0" xfId="0" applyFont="1" applyProtection="1">
      <protection hidden="1"/>
    </xf>
    <xf numFmtId="166" fontId="3" fillId="0" borderId="0" xfId="0" applyNumberFormat="1" applyFont="1" applyProtection="1"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166" fontId="0" fillId="0" borderId="1" xfId="1" applyNumberFormat="1" applyFont="1" applyBorder="1" applyProtection="1">
      <protection hidden="1"/>
    </xf>
    <xf numFmtId="166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166" fontId="3" fillId="0" borderId="0" xfId="1" applyNumberFormat="1" applyFont="1" applyProtection="1">
      <protection hidden="1"/>
    </xf>
    <xf numFmtId="166" fontId="0" fillId="0" borderId="1" xfId="1" applyNumberFormat="1" applyFont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vertical="center" wrapText="1"/>
      <protection hidden="1"/>
    </xf>
    <xf numFmtId="0" fontId="8" fillId="5" borderId="1" xfId="0" applyFont="1" applyFill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 applyProtection="1">
      <alignment horizontal="left" vertical="center" wrapText="1"/>
      <protection hidden="1"/>
    </xf>
    <xf numFmtId="0" fontId="9" fillId="0" borderId="1" xfId="0" applyFont="1" applyBorder="1" applyAlignment="1" applyProtection="1">
      <alignment vertical="center"/>
      <protection hidden="1"/>
    </xf>
    <xf numFmtId="166" fontId="9" fillId="0" borderId="1" xfId="1" applyNumberFormat="1" applyFont="1" applyBorder="1" applyAlignment="1" applyProtection="1">
      <alignment horizontal="center" vertical="center" wrapText="1"/>
      <protection hidden="1"/>
    </xf>
    <xf numFmtId="166" fontId="9" fillId="0" borderId="1" xfId="0" applyNumberFormat="1" applyFont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66" fontId="9" fillId="0" borderId="6" xfId="1" applyNumberFormat="1" applyFont="1" applyBorder="1" applyAlignment="1" applyProtection="1">
      <alignment horizontal="center" vertical="center" wrapText="1"/>
      <protection hidden="1"/>
    </xf>
    <xf numFmtId="166" fontId="9" fillId="2" borderId="1" xfId="0" applyNumberFormat="1" applyFont="1" applyFill="1" applyBorder="1" applyAlignment="1" applyProtection="1">
      <alignment horizontal="center" vertical="center"/>
      <protection hidden="1"/>
    </xf>
    <xf numFmtId="166" fontId="9" fillId="0" borderId="1" xfId="1" applyNumberFormat="1" applyFont="1" applyBorder="1" applyProtection="1">
      <protection hidden="1"/>
    </xf>
    <xf numFmtId="166" fontId="0" fillId="0" borderId="0" xfId="0" applyNumberFormat="1" applyFont="1" applyProtection="1">
      <protection hidden="1"/>
    </xf>
    <xf numFmtId="166" fontId="4" fillId="0" borderId="15" xfId="1" applyNumberFormat="1" applyFont="1" applyFill="1" applyBorder="1" applyAlignment="1" applyProtection="1">
      <alignment horizontal="center" vertical="center" wrapText="1"/>
      <protection hidden="1"/>
    </xf>
    <xf numFmtId="166" fontId="9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166" fontId="4" fillId="0" borderId="1" xfId="1" applyNumberFormat="1" applyFont="1" applyBorder="1" applyAlignment="1">
      <alignment horizontal="center" vertical="center"/>
    </xf>
    <xf numFmtId="168" fontId="4" fillId="0" borderId="1" xfId="1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wrapText="1"/>
    </xf>
    <xf numFmtId="166" fontId="2" fillId="4" borderId="1" xfId="1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166" fontId="3" fillId="0" borderId="6" xfId="1" applyNumberFormat="1" applyFont="1" applyBorder="1" applyAlignment="1">
      <alignment horizontal="center"/>
    </xf>
    <xf numFmtId="166" fontId="3" fillId="0" borderId="7" xfId="1" applyNumberFormat="1" applyFont="1" applyBorder="1" applyAlignment="1">
      <alignment horizontal="center"/>
    </xf>
    <xf numFmtId="166" fontId="3" fillId="0" borderId="8" xfId="1" applyNumberFormat="1" applyFont="1" applyBorder="1" applyAlignment="1">
      <alignment horizontal="center"/>
    </xf>
    <xf numFmtId="166" fontId="3" fillId="0" borderId="1" xfId="1" applyNumberFormat="1" applyFont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wrapText="1"/>
    </xf>
    <xf numFmtId="166" fontId="4" fillId="0" borderId="2" xfId="1" applyNumberFormat="1" applyFont="1" applyBorder="1" applyAlignment="1">
      <alignment horizontal="center" vertical="center"/>
    </xf>
    <xf numFmtId="166" fontId="4" fillId="0" borderId="0" xfId="1" applyNumberFormat="1" applyFont="1" applyBorder="1" applyAlignment="1">
      <alignment horizontal="center" vertical="center"/>
    </xf>
    <xf numFmtId="166" fontId="2" fillId="3" borderId="2" xfId="1" applyNumberFormat="1" applyFont="1" applyFill="1" applyBorder="1" applyAlignment="1">
      <alignment horizontal="center"/>
    </xf>
    <xf numFmtId="166" fontId="2" fillId="3" borderId="0" xfId="1" applyNumberFormat="1" applyFont="1" applyFill="1" applyBorder="1" applyAlignment="1">
      <alignment horizontal="center"/>
    </xf>
    <xf numFmtId="166" fontId="4" fillId="0" borderId="9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6" fontId="2" fillId="3" borderId="1" xfId="1" applyNumberFormat="1" applyFont="1" applyFill="1" applyBorder="1" applyAlignment="1">
      <alignment horizontal="center"/>
    </xf>
    <xf numFmtId="166" fontId="3" fillId="0" borderId="2" xfId="1" applyNumberFormat="1" applyFont="1" applyBorder="1" applyAlignment="1">
      <alignment horizontal="center"/>
    </xf>
    <xf numFmtId="166" fontId="3" fillId="0" borderId="0" xfId="1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6" fontId="2" fillId="3" borderId="13" xfId="1" applyNumberFormat="1" applyFont="1" applyFill="1" applyBorder="1" applyAlignment="1">
      <alignment horizontal="center"/>
    </xf>
    <xf numFmtId="166" fontId="2" fillId="3" borderId="5" xfId="1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6" fontId="4" fillId="0" borderId="6" xfId="1" applyNumberFormat="1" applyFont="1" applyBorder="1" applyAlignment="1">
      <alignment horizontal="center" vertical="center"/>
    </xf>
    <xf numFmtId="166" fontId="4" fillId="0" borderId="7" xfId="1" applyNumberFormat="1" applyFont="1" applyBorder="1" applyAlignment="1">
      <alignment horizontal="center" vertical="center"/>
    </xf>
    <xf numFmtId="166" fontId="4" fillId="0" borderId="8" xfId="1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6" xfId="1" applyNumberFormat="1" applyFont="1" applyBorder="1" applyAlignment="1">
      <alignment horizontal="center" vertical="center"/>
    </xf>
    <xf numFmtId="166" fontId="3" fillId="0" borderId="7" xfId="1" applyNumberFormat="1" applyFont="1" applyBorder="1" applyAlignment="1">
      <alignment horizontal="center" vertical="center"/>
    </xf>
    <xf numFmtId="166" fontId="3" fillId="0" borderId="8" xfId="1" applyNumberFormat="1" applyFont="1" applyBorder="1" applyAlignment="1">
      <alignment horizontal="center" vertical="center"/>
    </xf>
    <xf numFmtId="164" fontId="9" fillId="2" borderId="9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2" fillId="4" borderId="6" xfId="0" applyFont="1" applyFill="1" applyBorder="1" applyAlignment="1" applyProtection="1">
      <alignment horizontal="center" vertical="center" wrapText="1"/>
      <protection hidden="1"/>
    </xf>
    <xf numFmtId="0" fontId="2" fillId="4" borderId="7" xfId="0" applyFont="1" applyFill="1" applyBorder="1" applyAlignment="1" applyProtection="1">
      <alignment horizontal="center" vertical="center" wrapText="1"/>
      <protection hidden="1"/>
    </xf>
    <xf numFmtId="0" fontId="2" fillId="4" borderId="8" xfId="0" applyFont="1" applyFill="1" applyBorder="1" applyAlignment="1" applyProtection="1">
      <alignment horizontal="center" vertical="center" wrapText="1"/>
      <protection hidden="1"/>
    </xf>
    <xf numFmtId="0" fontId="2" fillId="5" borderId="6" xfId="0" applyFont="1" applyFill="1" applyBorder="1" applyAlignment="1" applyProtection="1">
      <alignment horizontal="center" vertical="center" wrapText="1"/>
      <protection hidden="1"/>
    </xf>
    <xf numFmtId="0" fontId="2" fillId="5" borderId="7" xfId="0" applyFont="1" applyFill="1" applyBorder="1" applyAlignment="1" applyProtection="1">
      <alignment horizontal="center" vertical="center" wrapText="1"/>
      <protection hidden="1"/>
    </xf>
    <xf numFmtId="0" fontId="2" fillId="5" borderId="8" xfId="0" applyFont="1" applyFill="1" applyBorder="1" applyAlignment="1" applyProtection="1">
      <alignment horizontal="center" vertical="center" wrapText="1"/>
      <protection hidden="1"/>
    </xf>
    <xf numFmtId="0" fontId="2" fillId="4" borderId="13" xfId="0" applyFont="1" applyFill="1" applyBorder="1" applyAlignment="1" applyProtection="1">
      <alignment horizontal="center" vertical="center" wrapText="1"/>
      <protection hidden="1"/>
    </xf>
    <xf numFmtId="0" fontId="2" fillId="4" borderId="5" xfId="0" applyFont="1" applyFill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</cellXfs>
  <cellStyles count="5">
    <cellStyle name="Hipervínculo" xfId="4" builtinId="8"/>
    <cellStyle name="Millares" xfId="1" builtinId="3"/>
    <cellStyle name="Moneda" xfId="3" builtinId="4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colors>
    <mruColors>
      <color rgb="FFF784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rvargas\Downloads\PAA%202018%2010.SISTEM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estamo\Desktop\FONCEP\2021\Consolidado%20VF%20por%20proce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"/>
      <sheetName val="VALIDACION DE DATOS"/>
      <sheetName val="VALIDACION DATOS EXPERIENCIA"/>
      <sheetName val="Hoja1"/>
      <sheetName val="Escala"/>
      <sheetName val="Planta Temporal "/>
      <sheetName val="Listas"/>
      <sheetName val="Hoja2 (2)"/>
    </sheetNames>
    <sheetDataSet>
      <sheetData sheetId="0"/>
      <sheetData sheetId="1" refreshError="1"/>
      <sheetData sheetId="2">
        <row r="4">
          <cell r="V4" t="str">
            <v>AUXILIAR_1</v>
          </cell>
        </row>
        <row r="5">
          <cell r="V5" t="str">
            <v>AUXILIAR_2</v>
          </cell>
        </row>
        <row r="6">
          <cell r="V6" t="str">
            <v>TECNICO_1</v>
          </cell>
        </row>
        <row r="7">
          <cell r="V7" t="str">
            <v>TECNICO_2</v>
          </cell>
        </row>
        <row r="8">
          <cell r="V8" t="str">
            <v>TECNICO_3</v>
          </cell>
        </row>
        <row r="9">
          <cell r="V9" t="str">
            <v xml:space="preserve">TECNOLOGO_1 </v>
          </cell>
        </row>
        <row r="10">
          <cell r="V10" t="str">
            <v>TECNOLOGO_2</v>
          </cell>
        </row>
        <row r="11">
          <cell r="V11" t="str">
            <v>PROFESIONAL_UNIVERSITARIO_1</v>
          </cell>
        </row>
        <row r="12">
          <cell r="V12" t="str">
            <v>PROFESIONAL_UNIVERSITARIO_2</v>
          </cell>
        </row>
        <row r="13">
          <cell r="V13" t="str">
            <v>PROFESIONAL_UNIVERSITARIO_3</v>
          </cell>
        </row>
        <row r="14">
          <cell r="V14" t="str">
            <v>PROFESIONAL_UNIVERSITARIO_4</v>
          </cell>
        </row>
        <row r="15">
          <cell r="V15" t="str">
            <v>PROFESIONAL_ESPECIALIZADO_1</v>
          </cell>
        </row>
        <row r="16">
          <cell r="V16" t="str">
            <v>PROFESIONAL_ESPECIALIZADO_2</v>
          </cell>
        </row>
        <row r="17">
          <cell r="V17" t="str">
            <v>PROFESIONAL_ESPECIALIZADO_3</v>
          </cell>
        </row>
        <row r="18">
          <cell r="V18" t="str">
            <v>PROFESIONAL_ESPECIALIZADO_4</v>
          </cell>
        </row>
        <row r="19">
          <cell r="V19" t="str">
            <v>PROFESIONAL_ESPECIALIZADO_5</v>
          </cell>
        </row>
        <row r="20">
          <cell r="V20" t="str">
            <v>ASESOR_2</v>
          </cell>
        </row>
        <row r="21">
          <cell r="V21" t="str">
            <v>ASESOR_3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én "/>
    </sheetNames>
    <sheetDataSet>
      <sheetData sheetId="0">
        <row r="29">
          <cell r="H29">
            <v>27467280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mailto:irenepvillanedah@gmail.com" TargetMode="External"/><Relationship Id="rId1" Type="http://schemas.openxmlformats.org/officeDocument/2006/relationships/hyperlink" Target="https://community.secop.gov.co/Public/Tendering/ContractNoticeManagement/Index?currentLanguage=es-CO&amp;Page=login&amp;Country=CO&amp;SkinName=CCE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zoomScale="84" zoomScaleNormal="84" workbookViewId="0">
      <selection activeCell="A13" sqref="A13:B13"/>
    </sheetView>
  </sheetViews>
  <sheetFormatPr baseColWidth="10" defaultColWidth="11.42578125" defaultRowHeight="15" x14ac:dyDescent="0.25"/>
  <cols>
    <col min="1" max="1" width="38.42578125" customWidth="1"/>
    <col min="2" max="2" width="19.42578125" customWidth="1"/>
    <col min="3" max="3" width="17.85546875" customWidth="1"/>
    <col min="4" max="4" width="12.42578125" customWidth="1"/>
    <col min="5" max="5" width="14.7109375" customWidth="1"/>
    <col min="6" max="6" width="17.85546875" customWidth="1"/>
    <col min="7" max="7" width="13.140625" customWidth="1"/>
    <col min="8" max="8" width="18.28515625" customWidth="1"/>
    <col min="9" max="9" width="19.5703125" customWidth="1"/>
    <col min="10" max="10" width="14.7109375" bestFit="1" customWidth="1"/>
    <col min="11" max="11" width="20.42578125" customWidth="1"/>
    <col min="12" max="12" width="17.28515625" customWidth="1"/>
    <col min="13" max="13" width="14.28515625" bestFit="1" customWidth="1"/>
  </cols>
  <sheetData>
    <row r="1" spans="1:13" x14ac:dyDescent="0.25">
      <c r="A1" s="52" t="s">
        <v>15</v>
      </c>
      <c r="B1" s="52" t="s">
        <v>44</v>
      </c>
      <c r="C1" s="161" t="s">
        <v>51</v>
      </c>
      <c r="D1" s="161"/>
      <c r="E1" s="161"/>
      <c r="F1" s="161" t="s">
        <v>50</v>
      </c>
      <c r="G1" s="161"/>
      <c r="H1" s="161"/>
      <c r="I1" s="161" t="s">
        <v>46</v>
      </c>
      <c r="J1" s="161"/>
      <c r="K1" s="161"/>
    </row>
    <row r="2" spans="1:13" s="51" customFormat="1" ht="30" x14ac:dyDescent="0.25">
      <c r="A2" s="53" t="s">
        <v>56</v>
      </c>
      <c r="B2" s="53" t="s">
        <v>45</v>
      </c>
      <c r="C2" s="53" t="s">
        <v>3</v>
      </c>
      <c r="D2" s="53" t="s">
        <v>4</v>
      </c>
      <c r="E2" s="53" t="s">
        <v>5</v>
      </c>
      <c r="F2" s="53" t="s">
        <v>3</v>
      </c>
      <c r="G2" s="53" t="s">
        <v>4</v>
      </c>
      <c r="H2" s="53" t="s">
        <v>5</v>
      </c>
      <c r="I2" s="53" t="s">
        <v>3</v>
      </c>
      <c r="J2" s="53" t="s">
        <v>4</v>
      </c>
      <c r="K2" s="53" t="s">
        <v>5</v>
      </c>
    </row>
    <row r="3" spans="1:13" s="51" customFormat="1" ht="30" x14ac:dyDescent="0.25">
      <c r="A3" s="72" t="s">
        <v>53</v>
      </c>
      <c r="B3" s="70"/>
      <c r="C3" s="79">
        <v>6650000</v>
      </c>
      <c r="D3" s="79">
        <f>C3*19%</f>
        <v>1263500</v>
      </c>
      <c r="E3" s="79">
        <f>C3+D3</f>
        <v>7913500</v>
      </c>
      <c r="F3" s="80">
        <v>9280891.0891089104</v>
      </c>
      <c r="G3" s="81">
        <f>F3*19%</f>
        <v>1763369.3069306931</v>
      </c>
      <c r="H3" s="81">
        <f>F3+G3</f>
        <v>11044260.396039603</v>
      </c>
      <c r="I3" s="80">
        <v>8900000</v>
      </c>
      <c r="J3" s="71"/>
      <c r="K3" s="71"/>
    </row>
    <row r="4" spans="1:13" s="51" customFormat="1" x14ac:dyDescent="0.25">
      <c r="A4" s="72" t="s">
        <v>54</v>
      </c>
      <c r="B4" s="70"/>
      <c r="C4" s="82">
        <f>3800000*2</f>
        <v>7600000</v>
      </c>
      <c r="D4" s="79">
        <f>C4*19%</f>
        <v>1444000</v>
      </c>
      <c r="E4" s="79">
        <f>C4+D4</f>
        <v>9044000</v>
      </c>
      <c r="F4" s="80">
        <f>3480334.15841584*2</f>
        <v>6960668.31683168</v>
      </c>
      <c r="G4" s="81">
        <f>F4*19%</f>
        <v>1322526.9801980192</v>
      </c>
      <c r="H4" s="81">
        <f>F4+G4</f>
        <v>8283195.2970296992</v>
      </c>
      <c r="I4" s="80">
        <v>4100000</v>
      </c>
      <c r="J4" s="71"/>
      <c r="K4" s="71"/>
    </row>
    <row r="5" spans="1:13" x14ac:dyDescent="0.25">
      <c r="A5" s="7" t="s">
        <v>52</v>
      </c>
      <c r="B5" s="19">
        <v>53977999</v>
      </c>
      <c r="C5" s="59">
        <f>2850000</f>
        <v>2850000</v>
      </c>
      <c r="D5" s="59">
        <f>C5*19%</f>
        <v>541500</v>
      </c>
      <c r="E5" s="59">
        <f>C5+D5</f>
        <v>3391500</v>
      </c>
      <c r="F5" s="59">
        <v>2552245.0495049502</v>
      </c>
      <c r="G5" s="59">
        <f>F5*19%</f>
        <v>484926.55940594053</v>
      </c>
      <c r="H5" s="59">
        <f>F5+G5</f>
        <v>3037171.6089108908</v>
      </c>
      <c r="I5" s="83">
        <v>2100000</v>
      </c>
      <c r="J5" s="48">
        <f>I5*19%</f>
        <v>399000</v>
      </c>
      <c r="K5" s="19">
        <f>I5+J5</f>
        <v>2499000</v>
      </c>
    </row>
    <row r="6" spans="1:13" ht="30" customHeight="1" x14ac:dyDescent="0.25">
      <c r="A6" s="162" t="s">
        <v>20</v>
      </c>
      <c r="B6" s="162"/>
      <c r="C6" s="163">
        <f>HARMEAN(B5,E5,H5)</f>
        <v>4668283.0572468648</v>
      </c>
      <c r="D6" s="163"/>
      <c r="E6" s="163"/>
      <c r="F6" s="163"/>
      <c r="G6" s="163"/>
      <c r="H6" s="163"/>
      <c r="I6" s="163"/>
      <c r="J6" s="163"/>
      <c r="K6" s="163"/>
      <c r="M6" s="67"/>
    </row>
    <row r="7" spans="1:13" x14ac:dyDescent="0.25">
      <c r="A7" s="162" t="s">
        <v>19</v>
      </c>
      <c r="B7" s="162"/>
      <c r="C7" s="164">
        <v>9</v>
      </c>
      <c r="D7" s="164"/>
      <c r="E7" s="164"/>
      <c r="F7" s="164"/>
      <c r="G7" s="164"/>
      <c r="H7" s="164"/>
      <c r="I7" s="164"/>
      <c r="J7" s="164"/>
      <c r="K7" s="164"/>
      <c r="M7" s="50"/>
    </row>
    <row r="8" spans="1:13" x14ac:dyDescent="0.25">
      <c r="A8" s="165" t="s">
        <v>21</v>
      </c>
      <c r="B8" s="165"/>
      <c r="C8" s="166">
        <f>C6*C7</f>
        <v>42014547.515221782</v>
      </c>
      <c r="D8" s="166"/>
      <c r="E8" s="166"/>
      <c r="F8" s="166"/>
      <c r="G8" s="166"/>
      <c r="H8" s="166"/>
      <c r="I8" s="166"/>
      <c r="J8" s="166"/>
      <c r="K8" s="166"/>
      <c r="L8" s="68"/>
    </row>
    <row r="9" spans="1:13" s="29" customFormat="1" x14ac:dyDescent="0.25">
      <c r="A9" s="28"/>
      <c r="C9" s="30"/>
    </row>
    <row r="10" spans="1:13" x14ac:dyDescent="0.25">
      <c r="A10" s="55" t="s">
        <v>15</v>
      </c>
      <c r="B10" s="55" t="s">
        <v>44</v>
      </c>
      <c r="C10" s="167" t="s">
        <v>16</v>
      </c>
      <c r="D10" s="167"/>
      <c r="E10" s="167"/>
      <c r="F10" s="167" t="s">
        <v>17</v>
      </c>
      <c r="G10" s="167"/>
      <c r="H10" s="167"/>
      <c r="I10" s="168" t="s">
        <v>46</v>
      </c>
      <c r="J10" s="168"/>
      <c r="K10" s="168"/>
    </row>
    <row r="11" spans="1:13" ht="30" x14ac:dyDescent="0.25">
      <c r="A11" s="53" t="s">
        <v>22</v>
      </c>
      <c r="B11" s="53" t="s">
        <v>45</v>
      </c>
      <c r="C11" s="53" t="s">
        <v>3</v>
      </c>
      <c r="D11" s="53" t="s">
        <v>4</v>
      </c>
      <c r="E11" s="53" t="s">
        <v>5</v>
      </c>
      <c r="F11" s="53" t="s">
        <v>3</v>
      </c>
      <c r="G11" s="53" t="s">
        <v>4</v>
      </c>
      <c r="H11" s="53" t="s">
        <v>5</v>
      </c>
      <c r="I11" s="53" t="s">
        <v>3</v>
      </c>
      <c r="J11" s="53" t="s">
        <v>4</v>
      </c>
      <c r="K11" s="53" t="s">
        <v>5</v>
      </c>
    </row>
    <row r="12" spans="1:13" ht="60" x14ac:dyDescent="0.25">
      <c r="A12" s="2" t="s">
        <v>23</v>
      </c>
      <c r="B12" s="49">
        <v>127</v>
      </c>
      <c r="C12" s="20">
        <v>168</v>
      </c>
      <c r="D12" s="20">
        <f>C12*19%</f>
        <v>31.92</v>
      </c>
      <c r="E12" s="9">
        <f>C12+D12</f>
        <v>199.92000000000002</v>
      </c>
      <c r="F12" s="20">
        <v>188</v>
      </c>
      <c r="G12" s="20">
        <f>F12*19%</f>
        <v>35.72</v>
      </c>
      <c r="H12" s="9">
        <f>F12+G12</f>
        <v>223.72</v>
      </c>
      <c r="I12" s="20">
        <v>1</v>
      </c>
      <c r="J12" s="20">
        <f>I12*19%</f>
        <v>0.19</v>
      </c>
      <c r="K12" s="9">
        <f>I12+J12</f>
        <v>1.19</v>
      </c>
    </row>
    <row r="13" spans="1:13" ht="30" customHeight="1" x14ac:dyDescent="0.25">
      <c r="A13" s="169" t="s">
        <v>24</v>
      </c>
      <c r="B13" s="169"/>
      <c r="C13" s="163">
        <f>HARMEAN(B12,E12,H12)</f>
        <v>172.9516368716919</v>
      </c>
      <c r="D13" s="163"/>
      <c r="E13" s="163"/>
      <c r="F13" s="163"/>
      <c r="G13" s="163"/>
      <c r="H13" s="163"/>
      <c r="I13" s="163"/>
      <c r="J13" s="163"/>
      <c r="K13" s="163"/>
    </row>
    <row r="14" spans="1:13" x14ac:dyDescent="0.25">
      <c r="A14" s="169" t="s">
        <v>25</v>
      </c>
      <c r="B14" s="169"/>
      <c r="C14" s="163">
        <v>25300</v>
      </c>
      <c r="D14" s="163"/>
      <c r="E14" s="163"/>
      <c r="F14" s="163"/>
      <c r="G14" s="163"/>
      <c r="H14" s="163"/>
      <c r="I14" s="163"/>
      <c r="J14" s="163"/>
      <c r="K14" s="163"/>
    </row>
    <row r="15" spans="1:13" x14ac:dyDescent="0.25">
      <c r="A15" s="169" t="s">
        <v>19</v>
      </c>
      <c r="B15" s="169"/>
      <c r="C15" s="163">
        <v>5</v>
      </c>
      <c r="D15" s="163"/>
      <c r="E15" s="163"/>
      <c r="F15" s="163"/>
      <c r="G15" s="163"/>
      <c r="H15" s="163"/>
      <c r="I15" s="163"/>
      <c r="J15" s="163"/>
      <c r="K15" s="163"/>
    </row>
    <row r="16" spans="1:13" x14ac:dyDescent="0.25">
      <c r="A16" s="165" t="s">
        <v>21</v>
      </c>
      <c r="B16" s="165"/>
      <c r="C16" s="166">
        <f>C13*C14*C15</f>
        <v>21878382.064269029</v>
      </c>
      <c r="D16" s="166"/>
      <c r="E16" s="166"/>
      <c r="F16" s="166"/>
      <c r="G16" s="166"/>
      <c r="H16" s="166"/>
      <c r="I16" s="166"/>
      <c r="J16" s="166"/>
      <c r="K16" s="166"/>
    </row>
    <row r="17" spans="1:11" x14ac:dyDescent="0.25">
      <c r="A17" s="31"/>
      <c r="B17" s="32"/>
      <c r="C17" s="6"/>
      <c r="D17" s="6"/>
      <c r="E17" s="6"/>
      <c r="F17" s="6"/>
      <c r="G17" s="6"/>
      <c r="H17" s="37"/>
    </row>
    <row r="18" spans="1:11" x14ac:dyDescent="0.25">
      <c r="A18" s="36"/>
      <c r="B18" s="11"/>
      <c r="C18" s="6"/>
      <c r="D18" s="6"/>
      <c r="E18" s="6"/>
      <c r="F18" s="6"/>
      <c r="G18" s="6"/>
      <c r="H18" s="37"/>
    </row>
    <row r="19" spans="1:11" x14ac:dyDescent="0.25">
      <c r="A19" s="38"/>
      <c r="B19" s="39"/>
      <c r="C19" s="41"/>
      <c r="D19" s="41"/>
      <c r="E19" s="41"/>
      <c r="F19" s="41"/>
      <c r="G19" s="41"/>
      <c r="H19" s="42"/>
    </row>
    <row r="20" spans="1:11" s="10" customFormat="1" x14ac:dyDescent="0.25">
      <c r="A20" s="53" t="s">
        <v>15</v>
      </c>
      <c r="B20" s="53" t="s">
        <v>44</v>
      </c>
      <c r="C20" s="168" t="s">
        <v>16</v>
      </c>
      <c r="D20" s="168"/>
      <c r="E20" s="168"/>
      <c r="F20" s="168" t="s">
        <v>17</v>
      </c>
      <c r="G20" s="168"/>
      <c r="H20" s="168"/>
      <c r="I20" s="168" t="s">
        <v>46</v>
      </c>
      <c r="J20" s="168"/>
      <c r="K20" s="168"/>
    </row>
    <row r="21" spans="1:11" ht="30" x14ac:dyDescent="0.25">
      <c r="A21" s="53" t="s">
        <v>27</v>
      </c>
      <c r="B21" s="54" t="s">
        <v>45</v>
      </c>
      <c r="C21" s="53" t="s">
        <v>3</v>
      </c>
      <c r="D21" s="53" t="s">
        <v>4</v>
      </c>
      <c r="E21" s="53" t="s">
        <v>5</v>
      </c>
      <c r="F21" s="53" t="s">
        <v>3</v>
      </c>
      <c r="G21" s="53" t="s">
        <v>4</v>
      </c>
      <c r="H21" s="53" t="s">
        <v>5</v>
      </c>
      <c r="I21" s="53" t="s">
        <v>3</v>
      </c>
      <c r="J21" s="53" t="s">
        <v>4</v>
      </c>
      <c r="K21" s="53" t="s">
        <v>5</v>
      </c>
    </row>
    <row r="22" spans="1:11" x14ac:dyDescent="0.25">
      <c r="A22" s="170" t="s">
        <v>7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1" ht="16.5" x14ac:dyDescent="0.25">
      <c r="A23" s="3" t="s">
        <v>0</v>
      </c>
      <c r="B23" s="5">
        <v>6273</v>
      </c>
      <c r="C23" s="22">
        <v>4665</v>
      </c>
      <c r="D23" s="22">
        <f>C23*19%</f>
        <v>886.35</v>
      </c>
      <c r="E23" s="5">
        <f>C23+D23</f>
        <v>5551.35</v>
      </c>
      <c r="F23" s="22">
        <v>7386</v>
      </c>
      <c r="G23" s="22">
        <f>F23*19%</f>
        <v>1403.34</v>
      </c>
      <c r="H23" s="5">
        <f>F23+G23</f>
        <v>8789.34</v>
      </c>
      <c r="I23" s="22">
        <v>1</v>
      </c>
      <c r="J23" s="22">
        <f>I23*19%</f>
        <v>0.19</v>
      </c>
      <c r="K23" s="5">
        <f>I23+J23</f>
        <v>1.19</v>
      </c>
    </row>
    <row r="24" spans="1:11" ht="16.5" x14ac:dyDescent="0.25">
      <c r="A24" s="4" t="s">
        <v>1</v>
      </c>
      <c r="B24" s="5">
        <v>8212</v>
      </c>
      <c r="C24" s="22">
        <v>7329</v>
      </c>
      <c r="D24" s="22">
        <f>C24*19%</f>
        <v>1392.51</v>
      </c>
      <c r="E24" s="5">
        <f>C24+D24</f>
        <v>8721.51</v>
      </c>
      <c r="F24" s="22">
        <v>9670</v>
      </c>
      <c r="G24" s="22">
        <f>F24*19%</f>
        <v>1837.3</v>
      </c>
      <c r="H24" s="5">
        <f>F24+G24</f>
        <v>11507.3</v>
      </c>
      <c r="I24" s="22">
        <v>1</v>
      </c>
      <c r="J24" s="22">
        <f>I24*19%</f>
        <v>0.19</v>
      </c>
      <c r="K24" s="5">
        <f>I24+J24</f>
        <v>1.19</v>
      </c>
    </row>
    <row r="25" spans="1:11" ht="16.5" x14ac:dyDescent="0.25">
      <c r="A25" s="4" t="s">
        <v>2</v>
      </c>
      <c r="B25" s="5">
        <v>13429</v>
      </c>
      <c r="C25" s="22">
        <v>14834</v>
      </c>
      <c r="D25" s="22">
        <f>C25*19%</f>
        <v>2818.46</v>
      </c>
      <c r="E25" s="5">
        <f>C25+D25</f>
        <v>17652.46</v>
      </c>
      <c r="F25" s="22">
        <v>15813</v>
      </c>
      <c r="G25" s="22">
        <f>F25*19%</f>
        <v>3004.4700000000003</v>
      </c>
      <c r="H25" s="5">
        <f>F25+G25</f>
        <v>18817.47</v>
      </c>
      <c r="I25" s="22">
        <v>1</v>
      </c>
      <c r="J25" s="22">
        <f>I25*19%</f>
        <v>0.19</v>
      </c>
      <c r="K25" s="5">
        <f>I25+J25</f>
        <v>1.19</v>
      </c>
    </row>
    <row r="26" spans="1:11" x14ac:dyDescent="0.25">
      <c r="A26" s="171" t="s">
        <v>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</row>
    <row r="27" spans="1:11" ht="30" x14ac:dyDescent="0.25">
      <c r="A27" s="53"/>
      <c r="B27" s="53" t="s">
        <v>44</v>
      </c>
      <c r="C27" s="53" t="s">
        <v>11</v>
      </c>
      <c r="D27" s="53" t="s">
        <v>4</v>
      </c>
      <c r="E27" s="53" t="s">
        <v>12</v>
      </c>
      <c r="F27" s="53" t="s">
        <v>11</v>
      </c>
      <c r="G27" s="53" t="s">
        <v>4</v>
      </c>
      <c r="H27" s="53" t="s">
        <v>12</v>
      </c>
      <c r="I27" s="53" t="s">
        <v>11</v>
      </c>
      <c r="J27" s="53" t="s">
        <v>4</v>
      </c>
      <c r="K27" s="53" t="s">
        <v>12</v>
      </c>
    </row>
    <row r="28" spans="1:11" x14ac:dyDescent="0.25">
      <c r="A28" s="1" t="s">
        <v>9</v>
      </c>
      <c r="B28" s="16">
        <v>2666</v>
      </c>
      <c r="C28" s="23">
        <v>7645</v>
      </c>
      <c r="D28" s="24">
        <f>C28*19%</f>
        <v>1452.55</v>
      </c>
      <c r="E28" s="18">
        <f>C28+D28</f>
        <v>9097.5499999999993</v>
      </c>
      <c r="F28" s="23">
        <v>2729</v>
      </c>
      <c r="G28" s="24">
        <f>F28*19%</f>
        <v>518.51</v>
      </c>
      <c r="H28" s="18">
        <f>F28+G28</f>
        <v>3247.51</v>
      </c>
      <c r="I28" s="23">
        <v>1</v>
      </c>
      <c r="J28" s="24">
        <f>I28*19%</f>
        <v>0.19</v>
      </c>
      <c r="K28" s="18">
        <f>I28+J28</f>
        <v>1.19</v>
      </c>
    </row>
    <row r="29" spans="1:11" x14ac:dyDescent="0.25">
      <c r="A29" s="171" t="s">
        <v>10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</row>
    <row r="30" spans="1:11" ht="30" x14ac:dyDescent="0.25">
      <c r="A30" s="53"/>
      <c r="B30" s="53"/>
      <c r="C30" s="53" t="s">
        <v>11</v>
      </c>
      <c r="D30" s="53" t="s">
        <v>4</v>
      </c>
      <c r="E30" s="53" t="s">
        <v>12</v>
      </c>
      <c r="F30" s="53" t="s">
        <v>11</v>
      </c>
      <c r="G30" s="53" t="s">
        <v>4</v>
      </c>
      <c r="H30" s="53" t="s">
        <v>12</v>
      </c>
      <c r="I30" s="53" t="s">
        <v>11</v>
      </c>
      <c r="J30" s="53" t="s">
        <v>4</v>
      </c>
      <c r="K30" s="53" t="s">
        <v>12</v>
      </c>
    </row>
    <row r="31" spans="1:11" x14ac:dyDescent="0.25">
      <c r="A31" s="1" t="s">
        <v>47</v>
      </c>
      <c r="B31" s="16">
        <v>4816497</v>
      </c>
      <c r="C31" s="23">
        <v>4500000</v>
      </c>
      <c r="D31" s="24">
        <f>C31*19%</f>
        <v>855000</v>
      </c>
      <c r="E31" s="18">
        <f>C31+D31</f>
        <v>5355000</v>
      </c>
      <c r="F31" s="23">
        <v>5416000</v>
      </c>
      <c r="G31" s="24">
        <f>F31*19%</f>
        <v>1029040</v>
      </c>
      <c r="H31" s="18">
        <f>F31+G31</f>
        <v>6445040</v>
      </c>
      <c r="I31" s="23">
        <v>1</v>
      </c>
      <c r="J31" s="24">
        <f>I31*19%</f>
        <v>0.19</v>
      </c>
      <c r="K31" s="18">
        <f>I31+J31</f>
        <v>1.19</v>
      </c>
    </row>
    <row r="32" spans="1:11" x14ac:dyDescent="0.25">
      <c r="A32" s="170" t="s">
        <v>37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</row>
    <row r="33" spans="1:12" x14ac:dyDescent="0.25">
      <c r="A33" s="170" t="s">
        <v>28</v>
      </c>
      <c r="B33" s="170"/>
      <c r="C33" s="172">
        <f>HARMEAN(B31,E31,H31)</f>
        <v>5459317.8075868869</v>
      </c>
      <c r="D33" s="173"/>
      <c r="E33" s="173"/>
      <c r="F33" s="173"/>
      <c r="G33" s="173"/>
      <c r="H33" s="173"/>
      <c r="I33" s="173"/>
      <c r="J33" s="173"/>
      <c r="K33" s="174"/>
    </row>
    <row r="34" spans="1:12" x14ac:dyDescent="0.25">
      <c r="A34" s="170" t="s">
        <v>30</v>
      </c>
      <c r="B34" s="170"/>
      <c r="C34" s="172">
        <f>HARMEAN(B23,E23,H23,K23,N23,Q23)</f>
        <v>4.7574335765288405</v>
      </c>
      <c r="D34" s="173"/>
      <c r="E34" s="173"/>
      <c r="F34" s="173"/>
      <c r="G34" s="173"/>
      <c r="H34" s="173"/>
      <c r="I34" s="173"/>
      <c r="J34" s="173"/>
      <c r="K34" s="174"/>
    </row>
    <row r="35" spans="1:12" x14ac:dyDescent="0.25">
      <c r="A35" s="170" t="s">
        <v>31</v>
      </c>
      <c r="B35" s="170"/>
      <c r="C35" s="172">
        <f>HARMEAN(B24,E24,H24,K24,N24,Q24)</f>
        <v>4.7581692146152781</v>
      </c>
      <c r="D35" s="173"/>
      <c r="E35" s="173"/>
      <c r="F35" s="173"/>
      <c r="G35" s="173"/>
      <c r="H35" s="173"/>
      <c r="I35" s="173"/>
      <c r="J35" s="173"/>
      <c r="K35" s="174"/>
    </row>
    <row r="36" spans="1:12" x14ac:dyDescent="0.25">
      <c r="A36" s="170" t="s">
        <v>32</v>
      </c>
      <c r="B36" s="170"/>
      <c r="C36" s="172">
        <f>HARMEAN(B25,E25,H25,K25,N25,Q25)</f>
        <v>4.7589565226353931</v>
      </c>
      <c r="D36" s="173"/>
      <c r="E36" s="173"/>
      <c r="F36" s="173"/>
      <c r="G36" s="173"/>
      <c r="H36" s="173"/>
      <c r="I36" s="173"/>
      <c r="J36" s="173"/>
      <c r="K36" s="174"/>
    </row>
    <row r="37" spans="1:12" x14ac:dyDescent="0.25">
      <c r="A37" s="170" t="s">
        <v>29</v>
      </c>
      <c r="B37" s="170"/>
      <c r="C37" s="172">
        <f>HARMEAN(B28,E28,H28)</f>
        <v>3783.3802666326796</v>
      </c>
      <c r="D37" s="173"/>
      <c r="E37" s="173"/>
      <c r="F37" s="173"/>
      <c r="G37" s="173"/>
      <c r="H37" s="173"/>
      <c r="I37" s="173"/>
      <c r="J37" s="173"/>
      <c r="K37" s="174"/>
    </row>
    <row r="38" spans="1:12" x14ac:dyDescent="0.25">
      <c r="A38" s="170" t="s">
        <v>33</v>
      </c>
      <c r="B38" s="170"/>
      <c r="C38" s="172">
        <v>240</v>
      </c>
      <c r="D38" s="173"/>
      <c r="E38" s="173"/>
      <c r="F38" s="173"/>
      <c r="G38" s="173"/>
      <c r="H38" s="173"/>
      <c r="I38" s="173"/>
      <c r="J38" s="173"/>
      <c r="K38" s="174"/>
    </row>
    <row r="39" spans="1:12" x14ac:dyDescent="0.25">
      <c r="A39" s="170" t="s">
        <v>34</v>
      </c>
      <c r="B39" s="170"/>
      <c r="C39" s="172">
        <v>110</v>
      </c>
      <c r="D39" s="173"/>
      <c r="E39" s="173"/>
      <c r="F39" s="173"/>
      <c r="G39" s="173"/>
      <c r="H39" s="173"/>
      <c r="I39" s="173"/>
      <c r="J39" s="173"/>
      <c r="K39" s="174"/>
    </row>
    <row r="40" spans="1:12" x14ac:dyDescent="0.25">
      <c r="A40" s="170" t="s">
        <v>35</v>
      </c>
      <c r="B40" s="170"/>
      <c r="C40" s="172">
        <f>17100/9</f>
        <v>1900</v>
      </c>
      <c r="D40" s="173"/>
      <c r="E40" s="173"/>
      <c r="F40" s="173"/>
      <c r="G40" s="173"/>
      <c r="H40" s="173"/>
      <c r="I40" s="173"/>
      <c r="J40" s="173"/>
      <c r="K40" s="174"/>
    </row>
    <row r="41" spans="1:12" x14ac:dyDescent="0.25">
      <c r="A41" s="170" t="s">
        <v>36</v>
      </c>
      <c r="B41" s="170"/>
      <c r="C41" s="172">
        <v>690</v>
      </c>
      <c r="D41" s="173"/>
      <c r="E41" s="173"/>
      <c r="F41" s="173"/>
      <c r="G41" s="173"/>
      <c r="H41" s="173"/>
      <c r="I41" s="173"/>
      <c r="J41" s="173"/>
      <c r="K41" s="174"/>
    </row>
    <row r="42" spans="1:12" x14ac:dyDescent="0.25">
      <c r="A42" s="161" t="s">
        <v>18</v>
      </c>
      <c r="B42" s="161"/>
      <c r="C42" s="161">
        <v>9</v>
      </c>
      <c r="D42" s="161"/>
      <c r="E42" s="161"/>
      <c r="F42" s="161"/>
      <c r="G42" s="161"/>
      <c r="H42" s="161"/>
      <c r="I42" s="161"/>
      <c r="J42" s="161"/>
      <c r="K42" s="161"/>
    </row>
    <row r="43" spans="1:12" x14ac:dyDescent="0.25">
      <c r="A43" s="170" t="s">
        <v>38</v>
      </c>
      <c r="B43" s="170"/>
      <c r="C43" s="175">
        <f>C42*C33</f>
        <v>49133860.268281981</v>
      </c>
      <c r="D43" s="175"/>
      <c r="E43" s="175"/>
      <c r="F43" s="175"/>
      <c r="G43" s="175"/>
      <c r="H43" s="175"/>
      <c r="I43" s="175"/>
      <c r="J43" s="175"/>
      <c r="K43" s="175"/>
    </row>
    <row r="44" spans="1:12" x14ac:dyDescent="0.25">
      <c r="A44" s="170" t="s">
        <v>39</v>
      </c>
      <c r="B44" s="170"/>
      <c r="C44" s="175">
        <f>(C34*C38)*C42</f>
        <v>10276.056525302296</v>
      </c>
      <c r="D44" s="175"/>
      <c r="E44" s="175"/>
      <c r="F44" s="175"/>
      <c r="G44" s="175"/>
      <c r="H44" s="175"/>
      <c r="I44" s="175"/>
      <c r="J44" s="175"/>
      <c r="K44" s="175"/>
    </row>
    <row r="45" spans="1:12" x14ac:dyDescent="0.25">
      <c r="A45" s="170" t="s">
        <v>40</v>
      </c>
      <c r="B45" s="170"/>
      <c r="C45" s="175">
        <f>(C35*C39)*C42</f>
        <v>4710.5875224691245</v>
      </c>
      <c r="D45" s="175"/>
      <c r="E45" s="175"/>
      <c r="F45" s="175"/>
      <c r="G45" s="175"/>
      <c r="H45" s="175"/>
      <c r="I45" s="175"/>
      <c r="J45" s="175"/>
      <c r="K45" s="175"/>
    </row>
    <row r="46" spans="1:12" x14ac:dyDescent="0.25">
      <c r="A46" s="170" t="s">
        <v>41</v>
      </c>
      <c r="B46" s="170"/>
      <c r="C46" s="175">
        <f>(C36*C40)*C42</f>
        <v>81378.156537065224</v>
      </c>
      <c r="D46" s="175"/>
      <c r="E46" s="175"/>
      <c r="F46" s="175"/>
      <c r="G46" s="175"/>
      <c r="H46" s="175"/>
      <c r="I46" s="175"/>
      <c r="J46" s="175"/>
      <c r="K46" s="175"/>
    </row>
    <row r="47" spans="1:12" x14ac:dyDescent="0.25">
      <c r="A47" s="170" t="s">
        <v>42</v>
      </c>
      <c r="B47" s="170"/>
      <c r="C47" s="175">
        <f>(C37*C41)*C42</f>
        <v>23494791.45578894</v>
      </c>
      <c r="D47" s="175"/>
      <c r="E47" s="175"/>
      <c r="F47" s="175"/>
      <c r="G47" s="175"/>
      <c r="H47" s="175"/>
      <c r="I47" s="175"/>
      <c r="J47" s="175"/>
      <c r="K47" s="175"/>
      <c r="L47" s="50"/>
    </row>
    <row r="48" spans="1:12" x14ac:dyDescent="0.25">
      <c r="A48" s="170" t="s">
        <v>43</v>
      </c>
      <c r="B48" s="170"/>
      <c r="C48" s="175">
        <f>SUM(C43:K47)</f>
        <v>72725016.524655759</v>
      </c>
      <c r="D48" s="175"/>
      <c r="E48" s="175"/>
      <c r="F48" s="175"/>
      <c r="G48" s="175"/>
      <c r="H48" s="175"/>
      <c r="I48" s="175"/>
      <c r="J48" s="175"/>
      <c r="K48" s="175"/>
    </row>
    <row r="49" spans="1:12" x14ac:dyDescent="0.25">
      <c r="A49" s="62" t="s">
        <v>15</v>
      </c>
      <c r="B49" s="65" t="s">
        <v>44</v>
      </c>
      <c r="C49" s="168" t="s">
        <v>16</v>
      </c>
      <c r="D49" s="168"/>
      <c r="E49" s="168"/>
      <c r="F49" s="168" t="s">
        <v>17</v>
      </c>
      <c r="G49" s="168"/>
      <c r="H49" s="168"/>
      <c r="I49" s="168" t="s">
        <v>46</v>
      </c>
      <c r="J49" s="168"/>
      <c r="K49" s="168"/>
    </row>
    <row r="50" spans="1:12" ht="30" x14ac:dyDescent="0.25">
      <c r="A50" s="62" t="s">
        <v>55</v>
      </c>
      <c r="B50" s="53" t="s">
        <v>45</v>
      </c>
      <c r="C50" s="53" t="s">
        <v>3</v>
      </c>
      <c r="D50" s="53" t="s">
        <v>4</v>
      </c>
      <c r="E50" s="53" t="s">
        <v>5</v>
      </c>
      <c r="F50" s="53" t="s">
        <v>3</v>
      </c>
      <c r="G50" s="53" t="s">
        <v>4</v>
      </c>
      <c r="H50" s="53" t="s">
        <v>5</v>
      </c>
      <c r="I50" s="53" t="s">
        <v>3</v>
      </c>
      <c r="J50" s="53" t="s">
        <v>4</v>
      </c>
      <c r="K50" s="53" t="s">
        <v>5</v>
      </c>
    </row>
    <row r="51" spans="1:12" s="10" customFormat="1" ht="60" x14ac:dyDescent="0.25">
      <c r="A51" s="75" t="s">
        <v>57</v>
      </c>
      <c r="B51" s="74"/>
      <c r="C51" s="73">
        <v>504202</v>
      </c>
      <c r="D51" s="73">
        <f>C51*19%</f>
        <v>95798.38</v>
      </c>
      <c r="E51" s="73">
        <f>C51+D51</f>
        <v>600000.38</v>
      </c>
      <c r="F51" s="73">
        <v>202440</v>
      </c>
      <c r="G51" s="73">
        <f>F51*19%</f>
        <v>38463.599999999999</v>
      </c>
      <c r="H51" s="73">
        <f>F51+G51</f>
        <v>240903.6</v>
      </c>
      <c r="I51" s="73"/>
      <c r="J51" s="73"/>
      <c r="K51" s="73"/>
    </row>
    <row r="52" spans="1:12" ht="30" customHeight="1" x14ac:dyDescent="0.25">
      <c r="A52" s="76" t="s">
        <v>58</v>
      </c>
      <c r="B52" s="66"/>
      <c r="C52" s="77">
        <v>1008403</v>
      </c>
      <c r="D52" s="77">
        <f>C52*19%</f>
        <v>191596.57</v>
      </c>
      <c r="E52" s="78">
        <f>C52+D52</f>
        <v>1199999.57</v>
      </c>
      <c r="F52" s="77">
        <v>767874</v>
      </c>
      <c r="G52" s="73">
        <f>F52*19%</f>
        <v>145896.06</v>
      </c>
      <c r="H52" s="73">
        <f>F52+G52</f>
        <v>913770.06</v>
      </c>
      <c r="I52" s="77">
        <v>1</v>
      </c>
      <c r="J52" s="77">
        <f>I52*19%</f>
        <v>0.19</v>
      </c>
      <c r="K52" s="78">
        <f>I52+J52</f>
        <v>1.19</v>
      </c>
    </row>
    <row r="53" spans="1:12" ht="30" customHeight="1" x14ac:dyDescent="0.25">
      <c r="A53" s="76" t="s">
        <v>59</v>
      </c>
      <c r="B53" s="66"/>
      <c r="C53" s="77">
        <v>1512605</v>
      </c>
      <c r="D53" s="77">
        <f>C53*19%</f>
        <v>287394.95</v>
      </c>
      <c r="E53" s="78">
        <f>C53+D53</f>
        <v>1799999.95</v>
      </c>
      <c r="F53" s="77">
        <v>949372</v>
      </c>
      <c r="G53" s="73">
        <f>F53*19%</f>
        <v>180380.68</v>
      </c>
      <c r="H53" s="73">
        <f>F53+G53</f>
        <v>1129752.68</v>
      </c>
      <c r="I53" s="77"/>
      <c r="J53" s="77"/>
      <c r="K53" s="78"/>
    </row>
    <row r="54" spans="1:12" ht="30" customHeight="1" x14ac:dyDescent="0.25">
      <c r="A54" s="63" t="s">
        <v>20</v>
      </c>
      <c r="B54" s="64"/>
      <c r="C54" s="163">
        <f>HARMEAN(E52,H52)</f>
        <v>1037505.3776119153</v>
      </c>
      <c r="D54" s="163"/>
      <c r="E54" s="163"/>
      <c r="F54" s="163"/>
      <c r="G54" s="163"/>
      <c r="H54" s="163"/>
      <c r="I54" s="163"/>
      <c r="J54" s="163"/>
      <c r="K54" s="163"/>
    </row>
    <row r="55" spans="1:12" x14ac:dyDescent="0.25">
      <c r="A55" s="169" t="s">
        <v>19</v>
      </c>
      <c r="B55" s="169"/>
      <c r="C55" s="163">
        <v>9</v>
      </c>
      <c r="D55" s="163"/>
      <c r="E55" s="163"/>
      <c r="F55" s="163"/>
      <c r="G55" s="163"/>
      <c r="H55" s="163"/>
      <c r="I55" s="163"/>
      <c r="J55" s="163"/>
      <c r="K55" s="163"/>
    </row>
    <row r="56" spans="1:12" x14ac:dyDescent="0.25">
      <c r="A56" s="56" t="s">
        <v>21</v>
      </c>
      <c r="B56" s="56"/>
      <c r="C56" s="166">
        <f>C54*C55</f>
        <v>9337548.3985072374</v>
      </c>
      <c r="D56" s="166"/>
      <c r="E56" s="166"/>
      <c r="F56" s="166"/>
      <c r="G56" s="166"/>
      <c r="H56" s="166"/>
      <c r="I56" s="166"/>
      <c r="J56" s="166"/>
      <c r="K56" s="166"/>
      <c r="L56" s="69">
        <f>C56-'[2]Resumén '!$H$29</f>
        <v>-18129731.601492763</v>
      </c>
    </row>
    <row r="57" spans="1:12" x14ac:dyDescent="0.25">
      <c r="L57" s="50">
        <f>C56+C48+C16+C8</f>
        <v>145955494.50265381</v>
      </c>
    </row>
  </sheetData>
  <mergeCells count="66">
    <mergeCell ref="C56:K56"/>
    <mergeCell ref="C54:K54"/>
    <mergeCell ref="A55:B55"/>
    <mergeCell ref="C55:K55"/>
    <mergeCell ref="C49:E49"/>
    <mergeCell ref="F49:H49"/>
    <mergeCell ref="I49:K49"/>
    <mergeCell ref="A46:B46"/>
    <mergeCell ref="C46:K46"/>
    <mergeCell ref="A47:B47"/>
    <mergeCell ref="C47:K47"/>
    <mergeCell ref="A48:B48"/>
    <mergeCell ref="C48:K48"/>
    <mergeCell ref="A43:B43"/>
    <mergeCell ref="C43:K43"/>
    <mergeCell ref="A44:B44"/>
    <mergeCell ref="C44:K44"/>
    <mergeCell ref="A45:B45"/>
    <mergeCell ref="C45:K45"/>
    <mergeCell ref="A40:B40"/>
    <mergeCell ref="C40:K40"/>
    <mergeCell ref="A41:B41"/>
    <mergeCell ref="C41:K41"/>
    <mergeCell ref="A42:B42"/>
    <mergeCell ref="C42:K42"/>
    <mergeCell ref="A37:B37"/>
    <mergeCell ref="C37:K37"/>
    <mergeCell ref="A38:B38"/>
    <mergeCell ref="C38:K38"/>
    <mergeCell ref="A39:B39"/>
    <mergeCell ref="C39:K39"/>
    <mergeCell ref="A34:B34"/>
    <mergeCell ref="C34:K34"/>
    <mergeCell ref="A35:B35"/>
    <mergeCell ref="C35:K35"/>
    <mergeCell ref="A36:B36"/>
    <mergeCell ref="C36:K36"/>
    <mergeCell ref="A22:K22"/>
    <mergeCell ref="A26:K26"/>
    <mergeCell ref="A29:K29"/>
    <mergeCell ref="A32:K32"/>
    <mergeCell ref="A33:B33"/>
    <mergeCell ref="C33:K33"/>
    <mergeCell ref="A16:B16"/>
    <mergeCell ref="C16:K16"/>
    <mergeCell ref="C20:E20"/>
    <mergeCell ref="F20:H20"/>
    <mergeCell ref="I20:K20"/>
    <mergeCell ref="A13:B13"/>
    <mergeCell ref="C13:K13"/>
    <mergeCell ref="A14:B14"/>
    <mergeCell ref="C14:K14"/>
    <mergeCell ref="A15:B15"/>
    <mergeCell ref="C15:K15"/>
    <mergeCell ref="A7:B7"/>
    <mergeCell ref="C7:K7"/>
    <mergeCell ref="A8:B8"/>
    <mergeCell ref="C8:K8"/>
    <mergeCell ref="C10:E10"/>
    <mergeCell ref="F10:H10"/>
    <mergeCell ref="I10:K10"/>
    <mergeCell ref="C1:E1"/>
    <mergeCell ref="F1:H1"/>
    <mergeCell ref="I1:K1"/>
    <mergeCell ref="A6:B6"/>
    <mergeCell ref="C6:K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topLeftCell="A5" zoomScale="84" zoomScaleNormal="84" workbookViewId="0">
      <selection activeCell="C13" sqref="C13:K13"/>
    </sheetView>
  </sheetViews>
  <sheetFormatPr baseColWidth="10" defaultColWidth="11.42578125" defaultRowHeight="15" x14ac:dyDescent="0.25"/>
  <cols>
    <col min="1" max="1" width="38.42578125" customWidth="1"/>
    <col min="2" max="2" width="19.42578125" customWidth="1"/>
    <col min="3" max="3" width="17.85546875" customWidth="1"/>
    <col min="4" max="4" width="12.42578125" customWidth="1"/>
    <col min="5" max="5" width="14.7109375" customWidth="1"/>
    <col min="6" max="6" width="17.85546875" customWidth="1"/>
    <col min="7" max="7" width="13.140625" customWidth="1"/>
    <col min="8" max="8" width="18.28515625" customWidth="1"/>
    <col min="9" max="9" width="19.5703125" customWidth="1"/>
    <col min="10" max="10" width="14.7109375" bestFit="1" customWidth="1"/>
    <col min="11" max="11" width="20.42578125" customWidth="1"/>
    <col min="12" max="12" width="17.28515625" customWidth="1"/>
    <col min="13" max="13" width="14.28515625" bestFit="1" customWidth="1"/>
  </cols>
  <sheetData>
    <row r="1" spans="1:13" x14ac:dyDescent="0.25">
      <c r="A1" s="60" t="s">
        <v>15</v>
      </c>
      <c r="B1" s="60" t="s">
        <v>44</v>
      </c>
      <c r="C1" s="161" t="s">
        <v>51</v>
      </c>
      <c r="D1" s="161"/>
      <c r="E1" s="161"/>
      <c r="F1" s="161" t="s">
        <v>50</v>
      </c>
      <c r="G1" s="161"/>
      <c r="H1" s="161"/>
      <c r="I1" s="161" t="s">
        <v>46</v>
      </c>
      <c r="J1" s="161"/>
      <c r="K1" s="161"/>
    </row>
    <row r="2" spans="1:13" s="51" customFormat="1" ht="30" x14ac:dyDescent="0.25">
      <c r="A2" s="57" t="s">
        <v>56</v>
      </c>
      <c r="B2" s="57" t="s">
        <v>45</v>
      </c>
      <c r="C2" s="57" t="s">
        <v>3</v>
      </c>
      <c r="D2" s="57" t="s">
        <v>4</v>
      </c>
      <c r="E2" s="57" t="s">
        <v>5</v>
      </c>
      <c r="F2" s="57" t="s">
        <v>3</v>
      </c>
      <c r="G2" s="57" t="s">
        <v>4</v>
      </c>
      <c r="H2" s="57" t="s">
        <v>5</v>
      </c>
      <c r="I2" s="57" t="s">
        <v>3</v>
      </c>
      <c r="J2" s="57" t="s">
        <v>4</v>
      </c>
      <c r="K2" s="57" t="s">
        <v>5</v>
      </c>
    </row>
    <row r="3" spans="1:13" s="51" customFormat="1" ht="30" x14ac:dyDescent="0.25">
      <c r="A3" s="72" t="s">
        <v>53</v>
      </c>
      <c r="B3" s="70"/>
      <c r="C3" s="79">
        <v>7115500</v>
      </c>
      <c r="D3" s="79">
        <f>C3*19%</f>
        <v>1351945</v>
      </c>
      <c r="E3" s="79">
        <f>C3+D3</f>
        <v>8467445</v>
      </c>
      <c r="F3" s="80">
        <v>9791340</v>
      </c>
      <c r="G3" s="81">
        <f>F3*19%</f>
        <v>1860354.6</v>
      </c>
      <c r="H3" s="81">
        <f>F3+G3</f>
        <v>11651694.6</v>
      </c>
      <c r="I3" s="71"/>
      <c r="J3" s="71"/>
      <c r="K3" s="71"/>
    </row>
    <row r="4" spans="1:13" s="51" customFormat="1" x14ac:dyDescent="0.25">
      <c r="A4" s="72" t="s">
        <v>54</v>
      </c>
      <c r="B4" s="70"/>
      <c r="C4" s="82">
        <v>4066000</v>
      </c>
      <c r="D4" s="79">
        <f>C4*19%</f>
        <v>772540</v>
      </c>
      <c r="E4" s="79">
        <f>C4+D4</f>
        <v>4838540</v>
      </c>
      <c r="F4" s="80">
        <v>3671753</v>
      </c>
      <c r="G4" s="81">
        <f>F4*19%</f>
        <v>697633.07000000007</v>
      </c>
      <c r="H4" s="81">
        <f>F4+G4</f>
        <v>4369386.07</v>
      </c>
      <c r="I4" s="71"/>
      <c r="J4" s="71"/>
      <c r="K4" s="71"/>
    </row>
    <row r="5" spans="1:13" x14ac:dyDescent="0.25">
      <c r="A5" s="7" t="s">
        <v>52</v>
      </c>
      <c r="B5" s="19">
        <v>53977999</v>
      </c>
      <c r="C5" s="59">
        <v>3049500</v>
      </c>
      <c r="D5" s="59">
        <f>C5*19%</f>
        <v>579405</v>
      </c>
      <c r="E5" s="59">
        <f>C5+D5</f>
        <v>3628905</v>
      </c>
      <c r="F5" s="59">
        <v>2692619</v>
      </c>
      <c r="G5" s="59">
        <f>F5*19%</f>
        <v>511597.61</v>
      </c>
      <c r="H5" s="59">
        <f>F5+G5</f>
        <v>3204216.61</v>
      </c>
      <c r="I5" s="59">
        <v>1</v>
      </c>
      <c r="J5" s="59">
        <f>I5*19%</f>
        <v>0.19</v>
      </c>
      <c r="K5" s="19">
        <f>I5+J5</f>
        <v>1.19</v>
      </c>
    </row>
    <row r="6" spans="1:13" ht="30" customHeight="1" x14ac:dyDescent="0.25">
      <c r="A6" s="162" t="s">
        <v>20</v>
      </c>
      <c r="B6" s="162"/>
      <c r="C6" s="163">
        <f>HARMEAN(B5,E5,H5)</f>
        <v>4949024.6437343601</v>
      </c>
      <c r="D6" s="163"/>
      <c r="E6" s="163"/>
      <c r="F6" s="163"/>
      <c r="G6" s="163"/>
      <c r="H6" s="163"/>
      <c r="I6" s="163"/>
      <c r="J6" s="163"/>
      <c r="K6" s="163"/>
      <c r="M6" s="67"/>
    </row>
    <row r="7" spans="1:13" x14ac:dyDescent="0.25">
      <c r="A7" s="162" t="s">
        <v>19</v>
      </c>
      <c r="B7" s="162"/>
      <c r="C7" s="164">
        <v>9</v>
      </c>
      <c r="D7" s="164"/>
      <c r="E7" s="164"/>
      <c r="F7" s="164"/>
      <c r="G7" s="164"/>
      <c r="H7" s="164"/>
      <c r="I7" s="164"/>
      <c r="J7" s="164"/>
      <c r="K7" s="164"/>
      <c r="M7" s="50"/>
    </row>
    <row r="8" spans="1:13" x14ac:dyDescent="0.25">
      <c r="A8" s="165" t="s">
        <v>21</v>
      </c>
      <c r="B8" s="165"/>
      <c r="C8" s="166">
        <f>C6*C7</f>
        <v>44541221.793609239</v>
      </c>
      <c r="D8" s="166"/>
      <c r="E8" s="166"/>
      <c r="F8" s="166"/>
      <c r="G8" s="166"/>
      <c r="H8" s="166"/>
      <c r="I8" s="166"/>
      <c r="J8" s="166"/>
      <c r="K8" s="166"/>
      <c r="L8" s="68"/>
    </row>
    <row r="9" spans="1:13" s="29" customFormat="1" x14ac:dyDescent="0.25">
      <c r="A9" s="28"/>
      <c r="C9" s="30"/>
    </row>
    <row r="10" spans="1:13" x14ac:dyDescent="0.25">
      <c r="A10" s="61" t="s">
        <v>15</v>
      </c>
      <c r="B10" s="61" t="s">
        <v>44</v>
      </c>
      <c r="C10" s="167" t="s">
        <v>16</v>
      </c>
      <c r="D10" s="167"/>
      <c r="E10" s="167"/>
      <c r="F10" s="167" t="s">
        <v>17</v>
      </c>
      <c r="G10" s="167"/>
      <c r="H10" s="167"/>
      <c r="I10" s="168" t="s">
        <v>46</v>
      </c>
      <c r="J10" s="168"/>
      <c r="K10" s="168"/>
    </row>
    <row r="11" spans="1:13" ht="30" x14ac:dyDescent="0.25">
      <c r="A11" s="57" t="s">
        <v>22</v>
      </c>
      <c r="B11" s="57" t="s">
        <v>45</v>
      </c>
      <c r="C11" s="57" t="s">
        <v>3</v>
      </c>
      <c r="D11" s="57" t="s">
        <v>4</v>
      </c>
      <c r="E11" s="57" t="s">
        <v>5</v>
      </c>
      <c r="F11" s="57" t="s">
        <v>3</v>
      </c>
      <c r="G11" s="57" t="s">
        <v>4</v>
      </c>
      <c r="H11" s="57" t="s">
        <v>5</v>
      </c>
      <c r="I11" s="57" t="s">
        <v>3</v>
      </c>
      <c r="J11" s="57" t="s">
        <v>4</v>
      </c>
      <c r="K11" s="57" t="s">
        <v>5</v>
      </c>
    </row>
    <row r="12" spans="1:13" ht="60" x14ac:dyDescent="0.25">
      <c r="A12" s="2" t="s">
        <v>23</v>
      </c>
      <c r="B12" s="58">
        <v>127</v>
      </c>
      <c r="C12" s="20">
        <v>180</v>
      </c>
      <c r="D12" s="20">
        <f>C12*19%</f>
        <v>34.200000000000003</v>
      </c>
      <c r="E12" s="9">
        <f>C12+D12</f>
        <v>214.2</v>
      </c>
      <c r="F12" s="20">
        <v>195</v>
      </c>
      <c r="G12" s="20">
        <f>F12*19%</f>
        <v>37.049999999999997</v>
      </c>
      <c r="H12" s="9">
        <f>F12+G12</f>
        <v>232.05</v>
      </c>
      <c r="I12" s="20">
        <v>1</v>
      </c>
      <c r="J12" s="20">
        <f>I12*19%</f>
        <v>0.19</v>
      </c>
      <c r="K12" s="9">
        <f>I12+J12</f>
        <v>1.19</v>
      </c>
    </row>
    <row r="13" spans="1:13" ht="30" customHeight="1" x14ac:dyDescent="0.25">
      <c r="A13" s="169" t="s">
        <v>24</v>
      </c>
      <c r="B13" s="169"/>
      <c r="C13" s="163">
        <f>HARMEAN(E12,H12)</f>
        <v>222.76800000000003</v>
      </c>
      <c r="D13" s="163"/>
      <c r="E13" s="163"/>
      <c r="F13" s="163"/>
      <c r="G13" s="163"/>
      <c r="H13" s="163"/>
      <c r="I13" s="163"/>
      <c r="J13" s="163"/>
      <c r="K13" s="163"/>
    </row>
    <row r="14" spans="1:13" x14ac:dyDescent="0.25">
      <c r="A14" s="169" t="s">
        <v>25</v>
      </c>
      <c r="B14" s="169"/>
      <c r="C14" s="163">
        <v>25300</v>
      </c>
      <c r="D14" s="163"/>
      <c r="E14" s="163"/>
      <c r="F14" s="163"/>
      <c r="G14" s="163"/>
      <c r="H14" s="163"/>
      <c r="I14" s="163"/>
      <c r="J14" s="163"/>
      <c r="K14" s="163"/>
    </row>
    <row r="15" spans="1:13" x14ac:dyDescent="0.25">
      <c r="A15" s="169" t="s">
        <v>19</v>
      </c>
      <c r="B15" s="169"/>
      <c r="C15" s="163">
        <v>5</v>
      </c>
      <c r="D15" s="163"/>
      <c r="E15" s="163"/>
      <c r="F15" s="163"/>
      <c r="G15" s="163"/>
      <c r="H15" s="163"/>
      <c r="I15" s="163"/>
      <c r="J15" s="163"/>
      <c r="K15" s="163"/>
    </row>
    <row r="16" spans="1:13" x14ac:dyDescent="0.25">
      <c r="A16" s="165" t="s">
        <v>21</v>
      </c>
      <c r="B16" s="165"/>
      <c r="C16" s="166">
        <f>C13*C14*C15</f>
        <v>28180152</v>
      </c>
      <c r="D16" s="166"/>
      <c r="E16" s="166"/>
      <c r="F16" s="166"/>
      <c r="G16" s="166"/>
      <c r="H16" s="166"/>
      <c r="I16" s="166"/>
      <c r="J16" s="166"/>
      <c r="K16" s="166"/>
    </row>
    <row r="17" spans="1:11" x14ac:dyDescent="0.25">
      <c r="A17" s="31"/>
      <c r="B17" s="32"/>
      <c r="C17" s="6"/>
      <c r="D17" s="6"/>
      <c r="E17" s="6"/>
      <c r="F17" s="6"/>
      <c r="G17" s="6"/>
      <c r="H17" s="37"/>
    </row>
    <row r="18" spans="1:11" x14ac:dyDescent="0.25">
      <c r="A18" s="36"/>
      <c r="B18" s="11"/>
      <c r="C18" s="6"/>
      <c r="D18" s="6"/>
      <c r="E18" s="6"/>
      <c r="F18" s="6"/>
      <c r="G18" s="6"/>
      <c r="H18" s="37"/>
    </row>
    <row r="19" spans="1:11" x14ac:dyDescent="0.25">
      <c r="A19" s="38"/>
      <c r="B19" s="39"/>
      <c r="C19" s="41"/>
      <c r="D19" s="41"/>
      <c r="E19" s="41"/>
      <c r="F19" s="41"/>
      <c r="G19" s="41"/>
      <c r="H19" s="42"/>
    </row>
    <row r="20" spans="1:11" s="10" customFormat="1" x14ac:dyDescent="0.25">
      <c r="A20" s="57" t="s">
        <v>15</v>
      </c>
      <c r="B20" s="57" t="s">
        <v>44</v>
      </c>
      <c r="C20" s="168" t="s">
        <v>16</v>
      </c>
      <c r="D20" s="168"/>
      <c r="E20" s="168"/>
      <c r="F20" s="168" t="s">
        <v>17</v>
      </c>
      <c r="G20" s="168"/>
      <c r="H20" s="168"/>
      <c r="I20" s="168" t="s">
        <v>46</v>
      </c>
      <c r="J20" s="168"/>
      <c r="K20" s="168"/>
    </row>
    <row r="21" spans="1:11" ht="30" x14ac:dyDescent="0.25">
      <c r="A21" s="57" t="s">
        <v>27</v>
      </c>
      <c r="B21" s="57" t="s">
        <v>45</v>
      </c>
      <c r="C21" s="57" t="s">
        <v>3</v>
      </c>
      <c r="D21" s="57" t="s">
        <v>4</v>
      </c>
      <c r="E21" s="57" t="s">
        <v>5</v>
      </c>
      <c r="F21" s="57" t="s">
        <v>3</v>
      </c>
      <c r="G21" s="57" t="s">
        <v>4</v>
      </c>
      <c r="H21" s="57" t="s">
        <v>5</v>
      </c>
      <c r="I21" s="57" t="s">
        <v>3</v>
      </c>
      <c r="J21" s="57" t="s">
        <v>4</v>
      </c>
      <c r="K21" s="57" t="s">
        <v>5</v>
      </c>
    </row>
    <row r="22" spans="1:11" x14ac:dyDescent="0.25">
      <c r="A22" s="170" t="s">
        <v>7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1" ht="16.5" x14ac:dyDescent="0.25">
      <c r="A23" s="3" t="s">
        <v>0</v>
      </c>
      <c r="B23" s="5">
        <v>6273</v>
      </c>
      <c r="C23" s="22">
        <v>4992</v>
      </c>
      <c r="D23" s="22">
        <f>C23*19%</f>
        <v>948.48</v>
      </c>
      <c r="E23" s="5">
        <f>C23+D23</f>
        <v>5940.48</v>
      </c>
      <c r="F23" s="22">
        <v>7659</v>
      </c>
      <c r="G23" s="22"/>
      <c r="H23" s="5">
        <f>F23+G23</f>
        <v>7659</v>
      </c>
      <c r="I23" s="22">
        <v>1</v>
      </c>
      <c r="J23" s="22">
        <f>I23*19%</f>
        <v>0.19</v>
      </c>
      <c r="K23" s="5">
        <f>I23+J23</f>
        <v>1.19</v>
      </c>
    </row>
    <row r="24" spans="1:11" ht="16.5" x14ac:dyDescent="0.25">
      <c r="A24" s="4" t="s">
        <v>1</v>
      </c>
      <c r="B24" s="5">
        <v>8212</v>
      </c>
      <c r="C24" s="22">
        <v>7842</v>
      </c>
      <c r="D24" s="22">
        <f>C24*19%</f>
        <v>1489.98</v>
      </c>
      <c r="E24" s="5">
        <f>C24+D24</f>
        <v>9331.98</v>
      </c>
      <c r="F24" s="22">
        <v>10028</v>
      </c>
      <c r="G24" s="22"/>
      <c r="H24" s="5">
        <f>F24+G24</f>
        <v>10028</v>
      </c>
      <c r="I24" s="22">
        <v>1</v>
      </c>
      <c r="J24" s="22">
        <f>I24*19%</f>
        <v>0.19</v>
      </c>
      <c r="K24" s="5">
        <f>I24+J24</f>
        <v>1.19</v>
      </c>
    </row>
    <row r="25" spans="1:11" ht="16.5" x14ac:dyDescent="0.25">
      <c r="A25" s="4" t="s">
        <v>2</v>
      </c>
      <c r="B25" s="5">
        <v>13429</v>
      </c>
      <c r="C25" s="22">
        <v>15872</v>
      </c>
      <c r="D25" s="22">
        <f>C25*19%</f>
        <v>3015.68</v>
      </c>
      <c r="E25" s="5">
        <f>C25+D25</f>
        <v>18887.68</v>
      </c>
      <c r="F25" s="22">
        <v>16398</v>
      </c>
      <c r="G25" s="22"/>
      <c r="H25" s="5">
        <f>F25+G25</f>
        <v>16398</v>
      </c>
      <c r="I25" s="22">
        <v>1</v>
      </c>
      <c r="J25" s="22">
        <f>I25*19%</f>
        <v>0.19</v>
      </c>
      <c r="K25" s="5">
        <f>I25+J25</f>
        <v>1.19</v>
      </c>
    </row>
    <row r="26" spans="1:11" x14ac:dyDescent="0.25">
      <c r="A26" s="171" t="s">
        <v>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</row>
    <row r="27" spans="1:11" ht="30" x14ac:dyDescent="0.25">
      <c r="A27" s="57"/>
      <c r="B27" s="57" t="s">
        <v>44</v>
      </c>
      <c r="C27" s="57" t="s">
        <v>11</v>
      </c>
      <c r="D27" s="57" t="s">
        <v>4</v>
      </c>
      <c r="E27" s="57" t="s">
        <v>12</v>
      </c>
      <c r="F27" s="57" t="s">
        <v>11</v>
      </c>
      <c r="G27" s="57" t="s">
        <v>4</v>
      </c>
      <c r="H27" s="57" t="s">
        <v>12</v>
      </c>
      <c r="I27" s="57" t="s">
        <v>11</v>
      </c>
      <c r="J27" s="57" t="s">
        <v>4</v>
      </c>
      <c r="K27" s="57" t="s">
        <v>12</v>
      </c>
    </row>
    <row r="28" spans="1:11" x14ac:dyDescent="0.25">
      <c r="A28" s="1" t="s">
        <v>9</v>
      </c>
      <c r="B28" s="16">
        <v>2666</v>
      </c>
      <c r="C28" s="23">
        <v>8180</v>
      </c>
      <c r="D28" s="24">
        <f>C28*19%</f>
        <v>1554.2</v>
      </c>
      <c r="E28" s="18">
        <f>C28+D28</f>
        <v>9734.2000000000007</v>
      </c>
      <c r="F28" s="23">
        <v>2935</v>
      </c>
      <c r="G28" s="24">
        <f>F28*19%</f>
        <v>557.65</v>
      </c>
      <c r="H28" s="18">
        <f>F28+G28</f>
        <v>3492.65</v>
      </c>
      <c r="I28" s="23">
        <v>1</v>
      </c>
      <c r="J28" s="24">
        <f>I28*19%</f>
        <v>0.19</v>
      </c>
      <c r="K28" s="18">
        <f>I28+J28</f>
        <v>1.19</v>
      </c>
    </row>
    <row r="29" spans="1:11" x14ac:dyDescent="0.25">
      <c r="A29" s="171" t="s">
        <v>10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</row>
    <row r="30" spans="1:11" ht="30" x14ac:dyDescent="0.25">
      <c r="A30" s="57"/>
      <c r="B30" s="57"/>
      <c r="C30" s="57" t="s">
        <v>11</v>
      </c>
      <c r="D30" s="57" t="s">
        <v>4</v>
      </c>
      <c r="E30" s="57" t="s">
        <v>12</v>
      </c>
      <c r="F30" s="57" t="s">
        <v>11</v>
      </c>
      <c r="G30" s="57" t="s">
        <v>4</v>
      </c>
      <c r="H30" s="57" t="s">
        <v>12</v>
      </c>
      <c r="I30" s="57" t="s">
        <v>11</v>
      </c>
      <c r="J30" s="57" t="s">
        <v>4</v>
      </c>
      <c r="K30" s="57" t="s">
        <v>12</v>
      </c>
    </row>
    <row r="31" spans="1:11" x14ac:dyDescent="0.25">
      <c r="A31" s="1" t="s">
        <v>47</v>
      </c>
      <c r="B31" s="16">
        <v>4816497</v>
      </c>
      <c r="C31" s="23">
        <v>4815000</v>
      </c>
      <c r="D31" s="24">
        <f>C31*19%</f>
        <v>914850</v>
      </c>
      <c r="E31" s="18">
        <f>C31+D31</f>
        <v>5729850</v>
      </c>
      <c r="F31" s="23">
        <v>5971140</v>
      </c>
      <c r="G31" s="24">
        <f>F31*19%</f>
        <v>1134516.6000000001</v>
      </c>
      <c r="H31" s="18">
        <f>F31+G31</f>
        <v>7105656.5999999996</v>
      </c>
      <c r="I31" s="23">
        <v>1</v>
      </c>
      <c r="J31" s="24">
        <f>I31*19%</f>
        <v>0.19</v>
      </c>
      <c r="K31" s="18">
        <f>I31+J31</f>
        <v>1.19</v>
      </c>
    </row>
    <row r="32" spans="1:11" x14ac:dyDescent="0.25">
      <c r="A32" s="170" t="s">
        <v>37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</row>
    <row r="33" spans="1:12" x14ac:dyDescent="0.25">
      <c r="A33" s="170" t="s">
        <v>28</v>
      </c>
      <c r="B33" s="170"/>
      <c r="C33" s="172">
        <f>HARMEAN(B31,E31,H31)</f>
        <v>5737483.1066537499</v>
      </c>
      <c r="D33" s="173"/>
      <c r="E33" s="173"/>
      <c r="F33" s="173"/>
      <c r="G33" s="173"/>
      <c r="H33" s="173"/>
      <c r="I33" s="173"/>
      <c r="J33" s="173"/>
      <c r="K33" s="174"/>
    </row>
    <row r="34" spans="1:12" x14ac:dyDescent="0.25">
      <c r="A34" s="170" t="s">
        <v>30</v>
      </c>
      <c r="B34" s="170"/>
      <c r="C34" s="172">
        <f>HARMEAN(B23,E23,H23,K23,N23,Q23)</f>
        <v>4.7574053340904632</v>
      </c>
      <c r="D34" s="173"/>
      <c r="E34" s="173"/>
      <c r="F34" s="173"/>
      <c r="G34" s="173"/>
      <c r="H34" s="173"/>
      <c r="I34" s="173"/>
      <c r="J34" s="173"/>
      <c r="K34" s="174"/>
    </row>
    <row r="35" spans="1:12" x14ac:dyDescent="0.25">
      <c r="A35" s="170" t="s">
        <v>31</v>
      </c>
      <c r="B35" s="170"/>
      <c r="C35" s="172">
        <f>HARMEAN(B24,E24,H24,K24,N24,Q24)</f>
        <v>4.7581391103102328</v>
      </c>
      <c r="D35" s="173"/>
      <c r="E35" s="173"/>
      <c r="F35" s="173"/>
      <c r="G35" s="173"/>
      <c r="H35" s="173"/>
      <c r="I35" s="173"/>
      <c r="J35" s="173"/>
      <c r="K35" s="174"/>
    </row>
    <row r="36" spans="1:12" x14ac:dyDescent="0.25">
      <c r="A36" s="170" t="s">
        <v>32</v>
      </c>
      <c r="B36" s="170"/>
      <c r="C36" s="172">
        <f>HARMEAN(B25,E25,H25,K25,N25,Q25)</f>
        <v>4.7589331040625105</v>
      </c>
      <c r="D36" s="173"/>
      <c r="E36" s="173"/>
      <c r="F36" s="173"/>
      <c r="G36" s="173"/>
      <c r="H36" s="173"/>
      <c r="I36" s="173"/>
      <c r="J36" s="173"/>
      <c r="K36" s="174"/>
    </row>
    <row r="37" spans="1:12" x14ac:dyDescent="0.25">
      <c r="A37" s="170" t="s">
        <v>29</v>
      </c>
      <c r="B37" s="170"/>
      <c r="C37" s="172">
        <f>HARMEAN(B28,E28,H28)</f>
        <v>3925.9826605975309</v>
      </c>
      <c r="D37" s="173"/>
      <c r="E37" s="173"/>
      <c r="F37" s="173"/>
      <c r="G37" s="173"/>
      <c r="H37" s="173"/>
      <c r="I37" s="173"/>
      <c r="J37" s="173"/>
      <c r="K37" s="174"/>
    </row>
    <row r="38" spans="1:12" x14ac:dyDescent="0.25">
      <c r="A38" s="170" t="s">
        <v>33</v>
      </c>
      <c r="B38" s="170"/>
      <c r="C38" s="172">
        <v>240</v>
      </c>
      <c r="D38" s="173"/>
      <c r="E38" s="173"/>
      <c r="F38" s="173"/>
      <c r="G38" s="173"/>
      <c r="H38" s="173"/>
      <c r="I38" s="173"/>
      <c r="J38" s="173"/>
      <c r="K38" s="174"/>
    </row>
    <row r="39" spans="1:12" x14ac:dyDescent="0.25">
      <c r="A39" s="170" t="s">
        <v>34</v>
      </c>
      <c r="B39" s="170"/>
      <c r="C39" s="172">
        <v>110</v>
      </c>
      <c r="D39" s="173"/>
      <c r="E39" s="173"/>
      <c r="F39" s="173"/>
      <c r="G39" s="173"/>
      <c r="H39" s="173"/>
      <c r="I39" s="173"/>
      <c r="J39" s="173"/>
      <c r="K39" s="174"/>
    </row>
    <row r="40" spans="1:12" x14ac:dyDescent="0.25">
      <c r="A40" s="170" t="s">
        <v>35</v>
      </c>
      <c r="B40" s="170"/>
      <c r="C40" s="172">
        <v>72</v>
      </c>
      <c r="D40" s="173"/>
      <c r="E40" s="173"/>
      <c r="F40" s="173"/>
      <c r="G40" s="173"/>
      <c r="H40" s="173"/>
      <c r="I40" s="173"/>
      <c r="J40" s="173"/>
      <c r="K40" s="174"/>
    </row>
    <row r="41" spans="1:12" x14ac:dyDescent="0.25">
      <c r="A41" s="170" t="s">
        <v>36</v>
      </c>
      <c r="B41" s="170"/>
      <c r="C41" s="172">
        <f>18800/12</f>
        <v>1566.6666666666667</v>
      </c>
      <c r="D41" s="173"/>
      <c r="E41" s="173"/>
      <c r="F41" s="173"/>
      <c r="G41" s="173"/>
      <c r="H41" s="173"/>
      <c r="I41" s="173"/>
      <c r="J41" s="173"/>
      <c r="K41" s="174"/>
    </row>
    <row r="42" spans="1:12" x14ac:dyDescent="0.25">
      <c r="A42" s="161" t="s">
        <v>18</v>
      </c>
      <c r="B42" s="161"/>
      <c r="C42" s="161">
        <v>12</v>
      </c>
      <c r="D42" s="161"/>
      <c r="E42" s="161"/>
      <c r="F42" s="161"/>
      <c r="G42" s="161"/>
      <c r="H42" s="161"/>
      <c r="I42" s="161"/>
      <c r="J42" s="161"/>
      <c r="K42" s="161"/>
    </row>
    <row r="43" spans="1:12" x14ac:dyDescent="0.25">
      <c r="A43" s="170" t="s">
        <v>38</v>
      </c>
      <c r="B43" s="170"/>
      <c r="C43" s="175">
        <f>C42*C33</f>
        <v>68849797.279844999</v>
      </c>
      <c r="D43" s="175"/>
      <c r="E43" s="175"/>
      <c r="F43" s="175"/>
      <c r="G43" s="175"/>
      <c r="H43" s="175"/>
      <c r="I43" s="175"/>
      <c r="J43" s="175"/>
      <c r="K43" s="175"/>
    </row>
    <row r="44" spans="1:12" x14ac:dyDescent="0.25">
      <c r="A44" s="170" t="s">
        <v>39</v>
      </c>
      <c r="B44" s="170"/>
      <c r="C44" s="175">
        <f>(C34*C38)*C42</f>
        <v>13701.327362180535</v>
      </c>
      <c r="D44" s="175"/>
      <c r="E44" s="175"/>
      <c r="F44" s="175"/>
      <c r="G44" s="175"/>
      <c r="H44" s="175"/>
      <c r="I44" s="175"/>
      <c r="J44" s="175"/>
      <c r="K44" s="175"/>
    </row>
    <row r="45" spans="1:12" x14ac:dyDescent="0.25">
      <c r="A45" s="170" t="s">
        <v>40</v>
      </c>
      <c r="B45" s="170"/>
      <c r="C45" s="175">
        <f>(C35*C39)*C42</f>
        <v>6280.743625609507</v>
      </c>
      <c r="D45" s="175"/>
      <c r="E45" s="175"/>
      <c r="F45" s="175"/>
      <c r="G45" s="175"/>
      <c r="H45" s="175"/>
      <c r="I45" s="175"/>
      <c r="J45" s="175"/>
      <c r="K45" s="175"/>
    </row>
    <row r="46" spans="1:12" x14ac:dyDescent="0.25">
      <c r="A46" s="170" t="s">
        <v>41</v>
      </c>
      <c r="B46" s="170"/>
      <c r="C46" s="175">
        <f>(C36*C40)*C42</f>
        <v>4111.7182019100092</v>
      </c>
      <c r="D46" s="175"/>
      <c r="E46" s="175"/>
      <c r="F46" s="175"/>
      <c r="G46" s="175"/>
      <c r="H46" s="175"/>
      <c r="I46" s="175"/>
      <c r="J46" s="175"/>
      <c r="K46" s="175"/>
    </row>
    <row r="47" spans="1:12" x14ac:dyDescent="0.25">
      <c r="A47" s="170" t="s">
        <v>42</v>
      </c>
      <c r="B47" s="170"/>
      <c r="C47" s="175">
        <f>(C37*C41)*C42</f>
        <v>73808474.019233584</v>
      </c>
      <c r="D47" s="175"/>
      <c r="E47" s="175"/>
      <c r="F47" s="175"/>
      <c r="G47" s="175"/>
      <c r="H47" s="175"/>
      <c r="I47" s="175"/>
      <c r="J47" s="175"/>
      <c r="K47" s="175"/>
      <c r="L47" s="50"/>
    </row>
    <row r="48" spans="1:12" x14ac:dyDescent="0.25">
      <c r="A48" s="170" t="s">
        <v>43</v>
      </c>
      <c r="B48" s="170"/>
      <c r="C48" s="175">
        <f>SUM(C43:K47)</f>
        <v>142682365.08826828</v>
      </c>
      <c r="D48" s="175"/>
      <c r="E48" s="175"/>
      <c r="F48" s="175"/>
      <c r="G48" s="175"/>
      <c r="H48" s="175"/>
      <c r="I48" s="175"/>
      <c r="J48" s="175"/>
      <c r="K48" s="175"/>
    </row>
    <row r="49" spans="1:12" x14ac:dyDescent="0.25">
      <c r="A49" s="62" t="s">
        <v>15</v>
      </c>
      <c r="B49" s="65" t="s">
        <v>44</v>
      </c>
      <c r="C49" s="168" t="s">
        <v>16</v>
      </c>
      <c r="D49" s="168"/>
      <c r="E49" s="168"/>
      <c r="F49" s="168" t="s">
        <v>17</v>
      </c>
      <c r="G49" s="168"/>
      <c r="H49" s="168"/>
      <c r="I49" s="168" t="s">
        <v>46</v>
      </c>
      <c r="J49" s="168"/>
      <c r="K49" s="168"/>
    </row>
    <row r="50" spans="1:12" ht="30" x14ac:dyDescent="0.25">
      <c r="A50" s="62" t="s">
        <v>55</v>
      </c>
      <c r="B50" s="57" t="s">
        <v>45</v>
      </c>
      <c r="C50" s="57" t="s">
        <v>3</v>
      </c>
      <c r="D50" s="57" t="s">
        <v>4</v>
      </c>
      <c r="E50" s="57" t="s">
        <v>5</v>
      </c>
      <c r="F50" s="57" t="s">
        <v>3</v>
      </c>
      <c r="G50" s="57" t="s">
        <v>4</v>
      </c>
      <c r="H50" s="57" t="s">
        <v>5</v>
      </c>
      <c r="I50" s="57" t="s">
        <v>3</v>
      </c>
      <c r="J50" s="57" t="s">
        <v>4</v>
      </c>
      <c r="K50" s="57" t="s">
        <v>5</v>
      </c>
    </row>
    <row r="51" spans="1:12" s="10" customFormat="1" ht="60" x14ac:dyDescent="0.25">
      <c r="A51" s="75" t="s">
        <v>57</v>
      </c>
      <c r="B51" s="74"/>
      <c r="C51" s="73">
        <v>359664</v>
      </c>
      <c r="D51" s="73">
        <f>C51*19%</f>
        <v>68336.160000000003</v>
      </c>
      <c r="E51" s="73">
        <f>C51+D51</f>
        <v>428000.16000000003</v>
      </c>
      <c r="F51" s="73">
        <v>209930</v>
      </c>
      <c r="G51" s="73">
        <f>F51*19%</f>
        <v>39886.699999999997</v>
      </c>
      <c r="H51" s="73">
        <f>F51+G51</f>
        <v>249816.7</v>
      </c>
      <c r="I51" s="73"/>
      <c r="J51" s="73"/>
      <c r="K51" s="73"/>
    </row>
    <row r="52" spans="1:12" ht="30" customHeight="1" x14ac:dyDescent="0.25">
      <c r="A52" s="76" t="s">
        <v>58</v>
      </c>
      <c r="B52" s="66"/>
      <c r="C52" s="77">
        <v>899160</v>
      </c>
      <c r="D52" s="77">
        <f>C52*19%</f>
        <v>170840.4</v>
      </c>
      <c r="E52" s="78">
        <f>C52+D52</f>
        <v>1070000.3999999999</v>
      </c>
      <c r="F52" s="77">
        <v>796285</v>
      </c>
      <c r="G52" s="73">
        <f>F52*19%</f>
        <v>151294.15</v>
      </c>
      <c r="H52" s="73">
        <f>F52+G52</f>
        <v>947579.15</v>
      </c>
      <c r="I52" s="77">
        <v>1</v>
      </c>
      <c r="J52" s="77">
        <f>I52*19%</f>
        <v>0.19</v>
      </c>
      <c r="K52" s="78">
        <f>I52+J52</f>
        <v>1.19</v>
      </c>
    </row>
    <row r="53" spans="1:12" ht="30" customHeight="1" x14ac:dyDescent="0.25">
      <c r="A53" s="76" t="s">
        <v>59</v>
      </c>
      <c r="B53" s="66"/>
      <c r="C53" s="77">
        <v>1258824</v>
      </c>
      <c r="D53" s="77">
        <f>C53*19%</f>
        <v>239176.56</v>
      </c>
      <c r="E53" s="78">
        <f>C53+D53</f>
        <v>1498000.56</v>
      </c>
      <c r="F53" s="77">
        <v>984499</v>
      </c>
      <c r="G53" s="73">
        <f>F53*19%</f>
        <v>187054.81</v>
      </c>
      <c r="H53" s="73">
        <f>F53+G53</f>
        <v>1171553.81</v>
      </c>
      <c r="I53" s="77"/>
      <c r="J53" s="77"/>
      <c r="K53" s="78"/>
    </row>
    <row r="54" spans="1:12" ht="30" customHeight="1" x14ac:dyDescent="0.25">
      <c r="A54" s="63" t="s">
        <v>20</v>
      </c>
      <c r="B54" s="64"/>
      <c r="C54" s="163">
        <f>HARMEAN(E52,H52)</f>
        <v>1005075.6804425976</v>
      </c>
      <c r="D54" s="163"/>
      <c r="E54" s="163"/>
      <c r="F54" s="163"/>
      <c r="G54" s="163"/>
      <c r="H54" s="163"/>
      <c r="I54" s="163"/>
      <c r="J54" s="163"/>
      <c r="K54" s="163"/>
    </row>
    <row r="55" spans="1:12" x14ac:dyDescent="0.25">
      <c r="A55" s="169" t="s">
        <v>19</v>
      </c>
      <c r="B55" s="169"/>
      <c r="C55" s="163">
        <v>9</v>
      </c>
      <c r="D55" s="163"/>
      <c r="E55" s="163"/>
      <c r="F55" s="163"/>
      <c r="G55" s="163"/>
      <c r="H55" s="163"/>
      <c r="I55" s="163"/>
      <c r="J55" s="163"/>
      <c r="K55" s="163"/>
    </row>
    <row r="56" spans="1:12" x14ac:dyDescent="0.25">
      <c r="A56" s="56" t="s">
        <v>21</v>
      </c>
      <c r="B56" s="56"/>
      <c r="C56" s="166">
        <f>C54*C55</f>
        <v>9045681.1239833776</v>
      </c>
      <c r="D56" s="166"/>
      <c r="E56" s="166"/>
      <c r="F56" s="166"/>
      <c r="G56" s="166"/>
      <c r="H56" s="166"/>
      <c r="I56" s="166"/>
      <c r="J56" s="166"/>
      <c r="K56" s="166"/>
      <c r="L56" s="69">
        <f>C56-'[2]Resumén '!$H$29</f>
        <v>-18421598.876016624</v>
      </c>
    </row>
    <row r="57" spans="1:12" x14ac:dyDescent="0.25">
      <c r="L57" s="50">
        <f>C56+C48+C16+C8</f>
        <v>224449420.00586089</v>
      </c>
    </row>
  </sheetData>
  <mergeCells count="66">
    <mergeCell ref="A55:B55"/>
    <mergeCell ref="C55:K55"/>
    <mergeCell ref="C56:K56"/>
    <mergeCell ref="A48:B48"/>
    <mergeCell ref="C48:K48"/>
    <mergeCell ref="C49:E49"/>
    <mergeCell ref="F49:H49"/>
    <mergeCell ref="I49:K49"/>
    <mergeCell ref="C54:K54"/>
    <mergeCell ref="A45:B45"/>
    <mergeCell ref="C45:K45"/>
    <mergeCell ref="A46:B46"/>
    <mergeCell ref="C46:K46"/>
    <mergeCell ref="A47:B47"/>
    <mergeCell ref="C47:K47"/>
    <mergeCell ref="A42:B42"/>
    <mergeCell ref="C42:K42"/>
    <mergeCell ref="A43:B43"/>
    <mergeCell ref="C43:K43"/>
    <mergeCell ref="A44:B44"/>
    <mergeCell ref="C44:K44"/>
    <mergeCell ref="A39:B39"/>
    <mergeCell ref="C39:K39"/>
    <mergeCell ref="A40:B40"/>
    <mergeCell ref="C40:K40"/>
    <mergeCell ref="A41:B41"/>
    <mergeCell ref="C41:K41"/>
    <mergeCell ref="A36:B36"/>
    <mergeCell ref="C36:K36"/>
    <mergeCell ref="A37:B37"/>
    <mergeCell ref="C37:K37"/>
    <mergeCell ref="A38:B38"/>
    <mergeCell ref="C38:K38"/>
    <mergeCell ref="A35:B35"/>
    <mergeCell ref="C35:K35"/>
    <mergeCell ref="C20:E20"/>
    <mergeCell ref="F20:H20"/>
    <mergeCell ref="I20:K20"/>
    <mergeCell ref="A22:K22"/>
    <mergeCell ref="A26:K26"/>
    <mergeCell ref="A29:K29"/>
    <mergeCell ref="A32:K32"/>
    <mergeCell ref="A33:B33"/>
    <mergeCell ref="C33:K33"/>
    <mergeCell ref="A34:B34"/>
    <mergeCell ref="C34:K34"/>
    <mergeCell ref="A14:B14"/>
    <mergeCell ref="C14:K14"/>
    <mergeCell ref="A15:B15"/>
    <mergeCell ref="C15:K15"/>
    <mergeCell ref="A16:B16"/>
    <mergeCell ref="C16:K16"/>
    <mergeCell ref="A13:B13"/>
    <mergeCell ref="C13:K13"/>
    <mergeCell ref="C1:E1"/>
    <mergeCell ref="F1:H1"/>
    <mergeCell ref="I1:K1"/>
    <mergeCell ref="A6:B6"/>
    <mergeCell ref="C6:K6"/>
    <mergeCell ref="A7:B7"/>
    <mergeCell ref="C7:K7"/>
    <mergeCell ref="A8:B8"/>
    <mergeCell ref="C8:K8"/>
    <mergeCell ref="C10:E10"/>
    <mergeCell ref="F10:H10"/>
    <mergeCell ref="I10:K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7"/>
  <sheetViews>
    <sheetView topLeftCell="A14" zoomScale="84" zoomScaleNormal="84" workbookViewId="0">
      <selection activeCell="A28" sqref="A28"/>
    </sheetView>
  </sheetViews>
  <sheetFormatPr baseColWidth="10" defaultColWidth="11.42578125" defaultRowHeight="15" x14ac:dyDescent="0.25"/>
  <cols>
    <col min="1" max="1" width="38.42578125" customWidth="1"/>
    <col min="2" max="2" width="19.42578125" customWidth="1"/>
    <col min="3" max="3" width="17.85546875" customWidth="1"/>
    <col min="4" max="4" width="12.42578125" customWidth="1"/>
    <col min="5" max="5" width="14.7109375" customWidth="1"/>
    <col min="6" max="6" width="17.85546875" customWidth="1"/>
    <col min="7" max="7" width="13.140625" customWidth="1"/>
    <col min="8" max="8" width="18.28515625" customWidth="1"/>
    <col min="9" max="9" width="19.5703125" customWidth="1"/>
    <col min="10" max="10" width="14.7109375" bestFit="1" customWidth="1"/>
    <col min="11" max="11" width="20.42578125" customWidth="1"/>
    <col min="12" max="12" width="17.28515625" customWidth="1"/>
    <col min="13" max="13" width="14.28515625" bestFit="1" customWidth="1"/>
  </cols>
  <sheetData>
    <row r="1" spans="1:13" x14ac:dyDescent="0.25">
      <c r="A1" s="60" t="s">
        <v>15</v>
      </c>
      <c r="B1" s="60" t="s">
        <v>44</v>
      </c>
      <c r="C1" s="161" t="s">
        <v>51</v>
      </c>
      <c r="D1" s="161"/>
      <c r="E1" s="161"/>
      <c r="F1" s="161" t="s">
        <v>50</v>
      </c>
      <c r="G1" s="161"/>
      <c r="H1" s="161"/>
      <c r="I1" s="161" t="s">
        <v>46</v>
      </c>
      <c r="J1" s="161"/>
      <c r="K1" s="161"/>
    </row>
    <row r="2" spans="1:13" s="51" customFormat="1" ht="30" x14ac:dyDescent="0.25">
      <c r="A2" s="57" t="s">
        <v>56</v>
      </c>
      <c r="B2" s="57" t="s">
        <v>45</v>
      </c>
      <c r="C2" s="57" t="s">
        <v>3</v>
      </c>
      <c r="D2" s="57" t="s">
        <v>4</v>
      </c>
      <c r="E2" s="57" t="s">
        <v>5</v>
      </c>
      <c r="F2" s="57" t="s">
        <v>3</v>
      </c>
      <c r="G2" s="57" t="s">
        <v>4</v>
      </c>
      <c r="H2" s="57" t="s">
        <v>5</v>
      </c>
      <c r="I2" s="57" t="s">
        <v>3</v>
      </c>
      <c r="J2" s="57" t="s">
        <v>4</v>
      </c>
      <c r="K2" s="57" t="s">
        <v>5</v>
      </c>
    </row>
    <row r="3" spans="1:13" s="51" customFormat="1" ht="30" x14ac:dyDescent="0.25">
      <c r="A3" s="72" t="s">
        <v>53</v>
      </c>
      <c r="B3" s="70"/>
      <c r="C3" s="89">
        <v>7613585</v>
      </c>
      <c r="D3" s="89">
        <f>C3*19%</f>
        <v>1446581.15</v>
      </c>
      <c r="E3" s="89">
        <f>C3+D3</f>
        <v>9060166.1500000004</v>
      </c>
      <c r="F3" s="80">
        <v>10329864</v>
      </c>
      <c r="G3" s="81">
        <f>F3*19%</f>
        <v>1962674.16</v>
      </c>
      <c r="H3" s="81">
        <f>F3+G3</f>
        <v>12292538.16</v>
      </c>
      <c r="I3" s="80">
        <v>8900000</v>
      </c>
      <c r="J3" s="80">
        <f>I3*19%</f>
        <v>1691000</v>
      </c>
      <c r="K3" s="80">
        <f>I3+J3</f>
        <v>10591000</v>
      </c>
    </row>
    <row r="4" spans="1:13" s="51" customFormat="1" x14ac:dyDescent="0.25">
      <c r="A4" s="72" t="s">
        <v>54</v>
      </c>
      <c r="B4" s="70"/>
      <c r="C4" s="90">
        <v>4350620</v>
      </c>
      <c r="D4" s="89">
        <f>C4*19%</f>
        <v>826617.8</v>
      </c>
      <c r="E4" s="89">
        <f>C4+D4</f>
        <v>5177237.8</v>
      </c>
      <c r="F4" s="80">
        <v>3873699</v>
      </c>
      <c r="G4" s="81">
        <f>F4*19%</f>
        <v>736002.81</v>
      </c>
      <c r="H4" s="81">
        <f>F4+G4</f>
        <v>4609701.8100000005</v>
      </c>
      <c r="I4" s="80">
        <v>4100000</v>
      </c>
      <c r="J4" s="80">
        <f>I4*19%</f>
        <v>779000</v>
      </c>
      <c r="K4" s="80">
        <f>I4+J4</f>
        <v>4879000</v>
      </c>
    </row>
    <row r="5" spans="1:13" x14ac:dyDescent="0.25">
      <c r="A5" s="7" t="s">
        <v>52</v>
      </c>
      <c r="B5" s="19">
        <v>53977999</v>
      </c>
      <c r="C5" s="83">
        <v>3262965</v>
      </c>
      <c r="D5" s="83">
        <f>C5*19%</f>
        <v>619963.35</v>
      </c>
      <c r="E5" s="83">
        <f>C5+D5</f>
        <v>3882928.35</v>
      </c>
      <c r="F5" s="83">
        <v>2840713</v>
      </c>
      <c r="G5" s="83">
        <f>F5*19%</f>
        <v>539735.47</v>
      </c>
      <c r="H5" s="83">
        <f>F5+G5</f>
        <v>3380448.4699999997</v>
      </c>
      <c r="I5" s="83">
        <v>2100000</v>
      </c>
      <c r="J5" s="83">
        <f>I5*19%</f>
        <v>399000</v>
      </c>
      <c r="K5" s="83">
        <f>I5+J5</f>
        <v>2499000</v>
      </c>
    </row>
    <row r="6" spans="1:13" ht="30" customHeight="1" x14ac:dyDescent="0.25">
      <c r="A6" s="162" t="s">
        <v>20</v>
      </c>
      <c r="B6" s="162"/>
      <c r="C6" s="163">
        <f>HARMEAN(B5,E5,H5)</f>
        <v>5245833.8320531109</v>
      </c>
      <c r="D6" s="163"/>
      <c r="E6" s="163"/>
      <c r="F6" s="163"/>
      <c r="G6" s="163"/>
      <c r="H6" s="163"/>
      <c r="I6" s="163"/>
      <c r="J6" s="163"/>
      <c r="K6" s="163"/>
      <c r="M6" s="67"/>
    </row>
    <row r="7" spans="1:13" x14ac:dyDescent="0.25">
      <c r="A7" s="162" t="s">
        <v>19</v>
      </c>
      <c r="B7" s="162"/>
      <c r="C7" s="164">
        <v>9</v>
      </c>
      <c r="D7" s="164"/>
      <c r="E7" s="164"/>
      <c r="F7" s="164"/>
      <c r="G7" s="164"/>
      <c r="H7" s="164"/>
      <c r="I7" s="164"/>
      <c r="J7" s="164"/>
      <c r="K7" s="164"/>
      <c r="M7" s="50"/>
    </row>
    <row r="8" spans="1:13" x14ac:dyDescent="0.25">
      <c r="A8" s="165" t="s">
        <v>21</v>
      </c>
      <c r="B8" s="165"/>
      <c r="C8" s="166">
        <f>C6*C7</f>
        <v>47212504.488477997</v>
      </c>
      <c r="D8" s="166"/>
      <c r="E8" s="166"/>
      <c r="F8" s="166"/>
      <c r="G8" s="166"/>
      <c r="H8" s="166"/>
      <c r="I8" s="166"/>
      <c r="J8" s="166"/>
      <c r="K8" s="166"/>
      <c r="L8" s="68"/>
    </row>
    <row r="9" spans="1:13" s="29" customFormat="1" x14ac:dyDescent="0.25">
      <c r="A9" s="28"/>
      <c r="C9" s="30"/>
    </row>
    <row r="10" spans="1:13" x14ac:dyDescent="0.25">
      <c r="A10" s="61" t="s">
        <v>15</v>
      </c>
      <c r="B10" s="61" t="s">
        <v>44</v>
      </c>
      <c r="C10" s="167" t="s">
        <v>16</v>
      </c>
      <c r="D10" s="167"/>
      <c r="E10" s="167"/>
      <c r="F10" s="167" t="s">
        <v>17</v>
      </c>
      <c r="G10" s="167"/>
      <c r="H10" s="167"/>
      <c r="I10" s="168" t="s">
        <v>46</v>
      </c>
      <c r="J10" s="168"/>
      <c r="K10" s="168"/>
    </row>
    <row r="11" spans="1:13" ht="30" x14ac:dyDescent="0.25">
      <c r="A11" s="57" t="s">
        <v>22</v>
      </c>
      <c r="B11" s="57" t="s">
        <v>45</v>
      </c>
      <c r="C11" s="57" t="s">
        <v>3</v>
      </c>
      <c r="D11" s="57" t="s">
        <v>4</v>
      </c>
      <c r="E11" s="57" t="s">
        <v>5</v>
      </c>
      <c r="F11" s="57" t="s">
        <v>3</v>
      </c>
      <c r="G11" s="57" t="s">
        <v>4</v>
      </c>
      <c r="H11" s="57" t="s">
        <v>5</v>
      </c>
      <c r="I11" s="57" t="s">
        <v>3</v>
      </c>
      <c r="J11" s="57" t="s">
        <v>4</v>
      </c>
      <c r="K11" s="57" t="s">
        <v>5</v>
      </c>
    </row>
    <row r="12" spans="1:13" ht="60" x14ac:dyDescent="0.25">
      <c r="A12" s="2" t="s">
        <v>23</v>
      </c>
      <c r="B12" s="58">
        <v>127</v>
      </c>
      <c r="C12" s="20">
        <v>194</v>
      </c>
      <c r="D12" s="20">
        <f>C12*19%</f>
        <v>36.86</v>
      </c>
      <c r="E12" s="9">
        <f>C12+D12</f>
        <v>230.86</v>
      </c>
      <c r="F12" s="20">
        <v>202</v>
      </c>
      <c r="G12" s="20">
        <f>F12*19%</f>
        <v>38.380000000000003</v>
      </c>
      <c r="H12" s="9">
        <f>F12+G12</f>
        <v>240.38</v>
      </c>
      <c r="I12" s="20">
        <v>1</v>
      </c>
      <c r="J12" s="20">
        <f>I12*19%</f>
        <v>0.19</v>
      </c>
      <c r="K12" s="9">
        <f>I12+J12</f>
        <v>1.19</v>
      </c>
    </row>
    <row r="13" spans="1:13" ht="30" customHeight="1" x14ac:dyDescent="0.25">
      <c r="A13" s="169" t="s">
        <v>24</v>
      </c>
      <c r="B13" s="169"/>
      <c r="C13" s="163">
        <f>HARMEAN(E12,H12)</f>
        <v>235.52383838383841</v>
      </c>
      <c r="D13" s="163"/>
      <c r="E13" s="163"/>
      <c r="F13" s="163"/>
      <c r="G13" s="163"/>
      <c r="H13" s="163"/>
      <c r="I13" s="163"/>
      <c r="J13" s="163"/>
      <c r="K13" s="163"/>
    </row>
    <row r="14" spans="1:13" x14ac:dyDescent="0.25">
      <c r="A14" s="169" t="s">
        <v>25</v>
      </c>
      <c r="B14" s="169"/>
      <c r="C14" s="163">
        <v>25300</v>
      </c>
      <c r="D14" s="163"/>
      <c r="E14" s="163"/>
      <c r="F14" s="163"/>
      <c r="G14" s="163"/>
      <c r="H14" s="163"/>
      <c r="I14" s="163"/>
      <c r="J14" s="163"/>
      <c r="K14" s="163"/>
    </row>
    <row r="15" spans="1:13" x14ac:dyDescent="0.25">
      <c r="A15" s="169" t="s">
        <v>19</v>
      </c>
      <c r="B15" s="169"/>
      <c r="C15" s="163">
        <v>5</v>
      </c>
      <c r="D15" s="163"/>
      <c r="E15" s="163"/>
      <c r="F15" s="163"/>
      <c r="G15" s="163"/>
      <c r="H15" s="163"/>
      <c r="I15" s="163"/>
      <c r="J15" s="163"/>
      <c r="K15" s="163"/>
    </row>
    <row r="16" spans="1:13" x14ac:dyDescent="0.25">
      <c r="A16" s="165" t="s">
        <v>21</v>
      </c>
      <c r="B16" s="165"/>
      <c r="C16" s="166">
        <f>C13*C14*C15</f>
        <v>29793765.55555556</v>
      </c>
      <c r="D16" s="166"/>
      <c r="E16" s="166"/>
      <c r="F16" s="166"/>
      <c r="G16" s="166"/>
      <c r="H16" s="166"/>
      <c r="I16" s="166"/>
      <c r="J16" s="166"/>
      <c r="K16" s="166"/>
    </row>
    <row r="17" spans="1:11" x14ac:dyDescent="0.25">
      <c r="A17" s="31"/>
      <c r="B17" s="32"/>
      <c r="C17" s="6"/>
      <c r="D17" s="6"/>
      <c r="E17" s="6"/>
      <c r="F17" s="6"/>
      <c r="G17" s="6"/>
      <c r="H17" s="37"/>
    </row>
    <row r="18" spans="1:11" x14ac:dyDescent="0.25">
      <c r="A18" s="36"/>
      <c r="B18" s="11"/>
      <c r="C18" s="6"/>
      <c r="D18" s="6"/>
      <c r="E18" s="6"/>
      <c r="F18" s="6"/>
      <c r="G18" s="6"/>
      <c r="H18" s="37"/>
    </row>
    <row r="19" spans="1:11" x14ac:dyDescent="0.25">
      <c r="A19" s="38"/>
      <c r="B19" s="39"/>
      <c r="C19" s="41"/>
      <c r="D19" s="41"/>
      <c r="E19" s="41"/>
      <c r="F19" s="41"/>
      <c r="G19" s="41"/>
      <c r="H19" s="42"/>
    </row>
    <row r="20" spans="1:11" s="10" customFormat="1" x14ac:dyDescent="0.25">
      <c r="A20" s="57" t="s">
        <v>15</v>
      </c>
      <c r="B20" s="57" t="s">
        <v>44</v>
      </c>
      <c r="C20" s="168" t="s">
        <v>16</v>
      </c>
      <c r="D20" s="168"/>
      <c r="E20" s="168"/>
      <c r="F20" s="168" t="s">
        <v>17</v>
      </c>
      <c r="G20" s="168"/>
      <c r="H20" s="168"/>
      <c r="I20" s="168" t="s">
        <v>46</v>
      </c>
      <c r="J20" s="168"/>
      <c r="K20" s="168"/>
    </row>
    <row r="21" spans="1:11" ht="30" x14ac:dyDescent="0.25">
      <c r="A21" s="57" t="s">
        <v>27</v>
      </c>
      <c r="B21" s="57" t="s">
        <v>45</v>
      </c>
      <c r="C21" s="57" t="s">
        <v>3</v>
      </c>
      <c r="D21" s="57" t="s">
        <v>4</v>
      </c>
      <c r="E21" s="57" t="s">
        <v>5</v>
      </c>
      <c r="F21" s="57" t="s">
        <v>3</v>
      </c>
      <c r="G21" s="57" t="s">
        <v>4</v>
      </c>
      <c r="H21" s="57" t="s">
        <v>5</v>
      </c>
      <c r="I21" s="57" t="s">
        <v>3</v>
      </c>
      <c r="J21" s="57" t="s">
        <v>4</v>
      </c>
      <c r="K21" s="57" t="s">
        <v>5</v>
      </c>
    </row>
    <row r="22" spans="1:11" x14ac:dyDescent="0.25">
      <c r="A22" s="170" t="s">
        <v>7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1" ht="16.5" x14ac:dyDescent="0.25">
      <c r="A23" s="3" t="s">
        <v>0</v>
      </c>
      <c r="B23" s="5">
        <v>6273</v>
      </c>
      <c r="C23" s="22">
        <v>5377</v>
      </c>
      <c r="D23" s="22">
        <f>C23*19%</f>
        <v>1021.63</v>
      </c>
      <c r="E23" s="5">
        <f>C23+D23</f>
        <v>6398.63</v>
      </c>
      <c r="F23" s="22">
        <v>7659</v>
      </c>
      <c r="G23" s="22"/>
      <c r="H23" s="5">
        <f>F23+G23</f>
        <v>7659</v>
      </c>
      <c r="I23" s="22">
        <v>1</v>
      </c>
      <c r="J23" s="22">
        <f>I23*19%</f>
        <v>0.19</v>
      </c>
      <c r="K23" s="5">
        <f>I23+J23</f>
        <v>1.19</v>
      </c>
    </row>
    <row r="24" spans="1:11" ht="16.5" x14ac:dyDescent="0.25">
      <c r="A24" s="4" t="s">
        <v>1</v>
      </c>
      <c r="B24" s="5">
        <v>8212</v>
      </c>
      <c r="C24" s="22">
        <v>8448</v>
      </c>
      <c r="D24" s="22">
        <f>C24*19%</f>
        <v>1605.1200000000001</v>
      </c>
      <c r="E24" s="5">
        <f>C24+D24</f>
        <v>10053.120000000001</v>
      </c>
      <c r="F24" s="22">
        <v>10028</v>
      </c>
      <c r="G24" s="22"/>
      <c r="H24" s="5">
        <f>F24+G24</f>
        <v>10028</v>
      </c>
      <c r="I24" s="22">
        <v>1</v>
      </c>
      <c r="J24" s="22">
        <f>I24*19%</f>
        <v>0.19</v>
      </c>
      <c r="K24" s="5">
        <f>I24+J24</f>
        <v>1.19</v>
      </c>
    </row>
    <row r="25" spans="1:11" ht="16.5" x14ac:dyDescent="0.25">
      <c r="A25" s="4" t="s">
        <v>2</v>
      </c>
      <c r="B25" s="5">
        <v>13429</v>
      </c>
      <c r="C25" s="22">
        <v>17099</v>
      </c>
      <c r="D25" s="22">
        <f>C25*19%</f>
        <v>3248.81</v>
      </c>
      <c r="E25" s="5">
        <f>C25+D25</f>
        <v>20347.810000000001</v>
      </c>
      <c r="F25" s="22">
        <v>16398</v>
      </c>
      <c r="G25" s="22"/>
      <c r="H25" s="5">
        <f>F25+G25</f>
        <v>16398</v>
      </c>
      <c r="I25" s="22">
        <v>1</v>
      </c>
      <c r="J25" s="22">
        <f>I25*19%</f>
        <v>0.19</v>
      </c>
      <c r="K25" s="5">
        <f>I25+J25</f>
        <v>1.19</v>
      </c>
    </row>
    <row r="26" spans="1:11" x14ac:dyDescent="0.25">
      <c r="A26" s="171" t="s">
        <v>8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</row>
    <row r="27" spans="1:11" ht="30" x14ac:dyDescent="0.25">
      <c r="A27" s="57"/>
      <c r="B27" s="57" t="s">
        <v>44</v>
      </c>
      <c r="C27" s="57" t="s">
        <v>11</v>
      </c>
      <c r="D27" s="57" t="s">
        <v>4</v>
      </c>
      <c r="E27" s="57" t="s">
        <v>12</v>
      </c>
      <c r="F27" s="57" t="s">
        <v>11</v>
      </c>
      <c r="G27" s="57" t="s">
        <v>4</v>
      </c>
      <c r="H27" s="57" t="s">
        <v>12</v>
      </c>
      <c r="I27" s="57" t="s">
        <v>11</v>
      </c>
      <c r="J27" s="57" t="s">
        <v>4</v>
      </c>
      <c r="K27" s="57" t="s">
        <v>12</v>
      </c>
    </row>
    <row r="28" spans="1:11" x14ac:dyDescent="0.25">
      <c r="A28" s="1" t="s">
        <v>9</v>
      </c>
      <c r="B28" s="16">
        <v>2666</v>
      </c>
      <c r="C28" s="23">
        <v>8813</v>
      </c>
      <c r="D28" s="24">
        <f>C28*19%</f>
        <v>1674.47</v>
      </c>
      <c r="E28" s="18">
        <f>C28+D28</f>
        <v>10487.47</v>
      </c>
      <c r="F28" s="23">
        <v>2830</v>
      </c>
      <c r="G28" s="24">
        <f>F28*19%</f>
        <v>537.70000000000005</v>
      </c>
      <c r="H28" s="18">
        <f>F28+G28</f>
        <v>3367.7</v>
      </c>
      <c r="I28" s="23">
        <v>1</v>
      </c>
      <c r="J28" s="24">
        <f>I28*19%</f>
        <v>0.19</v>
      </c>
      <c r="K28" s="18">
        <f>I28+J28</f>
        <v>1.19</v>
      </c>
    </row>
    <row r="29" spans="1:11" x14ac:dyDescent="0.25">
      <c r="A29" s="171" t="s">
        <v>10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</row>
    <row r="30" spans="1:11" ht="30" x14ac:dyDescent="0.25">
      <c r="A30" s="57"/>
      <c r="B30" s="57"/>
      <c r="C30" s="57" t="s">
        <v>11</v>
      </c>
      <c r="D30" s="57" t="s">
        <v>4</v>
      </c>
      <c r="E30" s="57" t="s">
        <v>12</v>
      </c>
      <c r="F30" s="57" t="s">
        <v>11</v>
      </c>
      <c r="G30" s="57" t="s">
        <v>4</v>
      </c>
      <c r="H30" s="57" t="s">
        <v>12</v>
      </c>
      <c r="I30" s="57" t="s">
        <v>11</v>
      </c>
      <c r="J30" s="57" t="s">
        <v>4</v>
      </c>
      <c r="K30" s="57" t="s">
        <v>12</v>
      </c>
    </row>
    <row r="31" spans="1:11" x14ac:dyDescent="0.25">
      <c r="A31" s="1" t="s">
        <v>47</v>
      </c>
      <c r="B31" s="16">
        <v>4816497</v>
      </c>
      <c r="C31" s="23">
        <v>5187200</v>
      </c>
      <c r="D31" s="24">
        <f>C31*19%</f>
        <v>985568</v>
      </c>
      <c r="E31" s="18">
        <f>C31+D31</f>
        <v>6172768</v>
      </c>
      <c r="F31" s="23">
        <v>5686800</v>
      </c>
      <c r="G31" s="24">
        <f>F31*19%</f>
        <v>1080492</v>
      </c>
      <c r="H31" s="18">
        <f>F31+G31</f>
        <v>6767292</v>
      </c>
      <c r="I31" s="23">
        <v>1</v>
      </c>
      <c r="J31" s="24">
        <f>I31*19%</f>
        <v>0.19</v>
      </c>
      <c r="K31" s="18">
        <f>I31+J31</f>
        <v>1.19</v>
      </c>
    </row>
    <row r="32" spans="1:11" x14ac:dyDescent="0.25">
      <c r="A32" s="170" t="s">
        <v>37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</row>
    <row r="33" spans="1:12" x14ac:dyDescent="0.25">
      <c r="A33" s="170" t="s">
        <v>28</v>
      </c>
      <c r="B33" s="170"/>
      <c r="C33" s="172">
        <f>HARMEAN(B31,E31,H31)</f>
        <v>5798320.0259116357</v>
      </c>
      <c r="D33" s="173"/>
      <c r="E33" s="173"/>
      <c r="F33" s="173"/>
      <c r="G33" s="173"/>
      <c r="H33" s="173"/>
      <c r="I33" s="173"/>
      <c r="J33" s="173"/>
      <c r="K33" s="174"/>
    </row>
    <row r="34" spans="1:12" x14ac:dyDescent="0.25">
      <c r="A34" s="170" t="s">
        <v>30</v>
      </c>
      <c r="B34" s="170"/>
      <c r="C34" s="172">
        <f>HARMEAN(B23,E23,H23,K23,N23,Q23)</f>
        <v>4.7574735342985601</v>
      </c>
      <c r="D34" s="173"/>
      <c r="E34" s="173"/>
      <c r="F34" s="173"/>
      <c r="G34" s="173"/>
      <c r="H34" s="173"/>
      <c r="I34" s="173"/>
      <c r="J34" s="173"/>
      <c r="K34" s="174"/>
    </row>
    <row r="35" spans="1:12" x14ac:dyDescent="0.25">
      <c r="A35" s="170" t="s">
        <v>31</v>
      </c>
      <c r="B35" s="170"/>
      <c r="C35" s="172">
        <f>HARMEAN(B24,E24,H24,K24,N24,Q24)</f>
        <v>4.7581826177141195</v>
      </c>
      <c r="D35" s="173"/>
      <c r="E35" s="173"/>
      <c r="F35" s="173"/>
      <c r="G35" s="173"/>
      <c r="H35" s="173"/>
      <c r="I35" s="173"/>
      <c r="J35" s="173"/>
      <c r="K35" s="174"/>
    </row>
    <row r="36" spans="1:12" x14ac:dyDescent="0.25">
      <c r="A36" s="170" t="s">
        <v>32</v>
      </c>
      <c r="B36" s="170"/>
      <c r="C36" s="172">
        <f>HARMEAN(B25,E25,H25,K25,N25,Q25)</f>
        <v>4.7589546148547619</v>
      </c>
      <c r="D36" s="173"/>
      <c r="E36" s="173"/>
      <c r="F36" s="173"/>
      <c r="G36" s="173"/>
      <c r="H36" s="173"/>
      <c r="I36" s="173"/>
      <c r="J36" s="173"/>
      <c r="K36" s="174"/>
    </row>
    <row r="37" spans="1:12" x14ac:dyDescent="0.25">
      <c r="A37" s="170" t="s">
        <v>29</v>
      </c>
      <c r="B37" s="170"/>
      <c r="C37" s="172">
        <f>HARMEAN(B28,E28,H28)</f>
        <v>3909.3845390683341</v>
      </c>
      <c r="D37" s="173"/>
      <c r="E37" s="173"/>
      <c r="F37" s="173"/>
      <c r="G37" s="173"/>
      <c r="H37" s="173"/>
      <c r="I37" s="173"/>
      <c r="J37" s="173"/>
      <c r="K37" s="174"/>
    </row>
    <row r="38" spans="1:12" x14ac:dyDescent="0.25">
      <c r="A38" s="170" t="s">
        <v>33</v>
      </c>
      <c r="B38" s="170"/>
      <c r="C38" s="172">
        <v>240</v>
      </c>
      <c r="D38" s="173"/>
      <c r="E38" s="173"/>
      <c r="F38" s="173"/>
      <c r="G38" s="173"/>
      <c r="H38" s="173"/>
      <c r="I38" s="173"/>
      <c r="J38" s="173"/>
      <c r="K38" s="174"/>
    </row>
    <row r="39" spans="1:12" x14ac:dyDescent="0.25">
      <c r="A39" s="170" t="s">
        <v>34</v>
      </c>
      <c r="B39" s="170"/>
      <c r="C39" s="172">
        <v>110</v>
      </c>
      <c r="D39" s="173"/>
      <c r="E39" s="173"/>
      <c r="F39" s="173"/>
      <c r="G39" s="173"/>
      <c r="H39" s="173"/>
      <c r="I39" s="173"/>
      <c r="J39" s="173"/>
      <c r="K39" s="174"/>
    </row>
    <row r="40" spans="1:12" x14ac:dyDescent="0.25">
      <c r="A40" s="170" t="s">
        <v>35</v>
      </c>
      <c r="B40" s="170"/>
      <c r="C40" s="172">
        <v>72</v>
      </c>
      <c r="D40" s="173"/>
      <c r="E40" s="173"/>
      <c r="F40" s="173"/>
      <c r="G40" s="173"/>
      <c r="H40" s="173"/>
      <c r="I40" s="173"/>
      <c r="J40" s="173"/>
      <c r="K40" s="174"/>
    </row>
    <row r="41" spans="1:12" x14ac:dyDescent="0.25">
      <c r="A41" s="170" t="s">
        <v>36</v>
      </c>
      <c r="B41" s="170"/>
      <c r="C41" s="172">
        <v>1458</v>
      </c>
      <c r="D41" s="173"/>
      <c r="E41" s="173"/>
      <c r="F41" s="173"/>
      <c r="G41" s="173"/>
      <c r="H41" s="173"/>
      <c r="I41" s="173"/>
      <c r="J41" s="173"/>
      <c r="K41" s="174"/>
    </row>
    <row r="42" spans="1:12" x14ac:dyDescent="0.25">
      <c r="A42" s="161" t="s">
        <v>18</v>
      </c>
      <c r="B42" s="161"/>
      <c r="C42" s="161">
        <v>12</v>
      </c>
      <c r="D42" s="161"/>
      <c r="E42" s="161"/>
      <c r="F42" s="161"/>
      <c r="G42" s="161"/>
      <c r="H42" s="161"/>
      <c r="I42" s="161"/>
      <c r="J42" s="161"/>
      <c r="K42" s="161"/>
    </row>
    <row r="43" spans="1:12" x14ac:dyDescent="0.25">
      <c r="A43" s="170" t="s">
        <v>38</v>
      </c>
      <c r="B43" s="170"/>
      <c r="C43" s="175">
        <f>C42*C33</f>
        <v>69579840.310939625</v>
      </c>
      <c r="D43" s="175"/>
      <c r="E43" s="175"/>
      <c r="F43" s="175"/>
      <c r="G43" s="175"/>
      <c r="H43" s="175"/>
      <c r="I43" s="175"/>
      <c r="J43" s="175"/>
      <c r="K43" s="175"/>
    </row>
    <row r="44" spans="1:12" x14ac:dyDescent="0.25">
      <c r="A44" s="170" t="s">
        <v>39</v>
      </c>
      <c r="B44" s="170"/>
      <c r="C44" s="175">
        <f>(C34*C38)*C42</f>
        <v>13701.523778779854</v>
      </c>
      <c r="D44" s="175"/>
      <c r="E44" s="175"/>
      <c r="F44" s="175"/>
      <c r="G44" s="175"/>
      <c r="H44" s="175"/>
      <c r="I44" s="175"/>
      <c r="J44" s="175"/>
      <c r="K44" s="175"/>
    </row>
    <row r="45" spans="1:12" x14ac:dyDescent="0.25">
      <c r="A45" s="170" t="s">
        <v>40</v>
      </c>
      <c r="B45" s="170"/>
      <c r="C45" s="175">
        <f>(C35*C39)*C42</f>
        <v>6280.801055382638</v>
      </c>
      <c r="D45" s="175"/>
      <c r="E45" s="175"/>
      <c r="F45" s="175"/>
      <c r="G45" s="175"/>
      <c r="H45" s="175"/>
      <c r="I45" s="175"/>
      <c r="J45" s="175"/>
      <c r="K45" s="175"/>
    </row>
    <row r="46" spans="1:12" x14ac:dyDescent="0.25">
      <c r="A46" s="170" t="s">
        <v>41</v>
      </c>
      <c r="B46" s="170"/>
      <c r="C46" s="175">
        <f>(C36*C40)*C42</f>
        <v>4111.7367872345139</v>
      </c>
      <c r="D46" s="175"/>
      <c r="E46" s="175"/>
      <c r="F46" s="175"/>
      <c r="G46" s="175"/>
      <c r="H46" s="175"/>
      <c r="I46" s="175"/>
      <c r="J46" s="175"/>
      <c r="K46" s="175"/>
    </row>
    <row r="47" spans="1:12" x14ac:dyDescent="0.25">
      <c r="A47" s="170" t="s">
        <v>42</v>
      </c>
      <c r="B47" s="170"/>
      <c r="C47" s="175">
        <f>(C37*C41)*C42</f>
        <v>68398591.895539582</v>
      </c>
      <c r="D47" s="175"/>
      <c r="E47" s="175"/>
      <c r="F47" s="175"/>
      <c r="G47" s="175"/>
      <c r="H47" s="175"/>
      <c r="I47" s="175"/>
      <c r="J47" s="175"/>
      <c r="K47" s="175"/>
      <c r="L47" s="50"/>
    </row>
    <row r="48" spans="1:12" x14ac:dyDescent="0.25">
      <c r="A48" s="170" t="s">
        <v>43</v>
      </c>
      <c r="B48" s="170"/>
      <c r="C48" s="175">
        <f>SUM(C43:K47)</f>
        <v>138002526.26810062</v>
      </c>
      <c r="D48" s="175"/>
      <c r="E48" s="175"/>
      <c r="F48" s="175"/>
      <c r="G48" s="175"/>
      <c r="H48" s="175"/>
      <c r="I48" s="175"/>
      <c r="J48" s="175"/>
      <c r="K48" s="175"/>
    </row>
    <row r="49" spans="1:12" x14ac:dyDescent="0.25">
      <c r="A49" s="62" t="s">
        <v>15</v>
      </c>
      <c r="B49" s="65" t="s">
        <v>44</v>
      </c>
      <c r="C49" s="168" t="s">
        <v>16</v>
      </c>
      <c r="D49" s="168"/>
      <c r="E49" s="168"/>
      <c r="F49" s="168" t="s">
        <v>17</v>
      </c>
      <c r="G49" s="168"/>
      <c r="H49" s="168"/>
      <c r="I49" s="168" t="s">
        <v>46</v>
      </c>
      <c r="J49" s="168"/>
      <c r="K49" s="168"/>
    </row>
    <row r="50" spans="1:12" ht="30" x14ac:dyDescent="0.25">
      <c r="A50" s="62" t="s">
        <v>55</v>
      </c>
      <c r="B50" s="57" t="s">
        <v>45</v>
      </c>
      <c r="C50" s="57" t="s">
        <v>3</v>
      </c>
      <c r="D50" s="57" t="s">
        <v>4</v>
      </c>
      <c r="E50" s="57" t="s">
        <v>5</v>
      </c>
      <c r="F50" s="57" t="s">
        <v>3</v>
      </c>
      <c r="G50" s="57" t="s">
        <v>4</v>
      </c>
      <c r="H50" s="57" t="s">
        <v>5</v>
      </c>
      <c r="I50" s="57" t="s">
        <v>3</v>
      </c>
      <c r="J50" s="57" t="s">
        <v>4</v>
      </c>
      <c r="K50" s="57" t="s">
        <v>5</v>
      </c>
    </row>
    <row r="51" spans="1:12" s="10" customFormat="1" ht="60" x14ac:dyDescent="0.25">
      <c r="A51" s="75" t="s">
        <v>57</v>
      </c>
      <c r="B51" s="74"/>
      <c r="C51" s="73">
        <v>384840</v>
      </c>
      <c r="D51" s="73">
        <f>C51*19%</f>
        <v>73119.600000000006</v>
      </c>
      <c r="E51" s="73">
        <f>C51+D51</f>
        <v>457959.6</v>
      </c>
      <c r="F51" s="73">
        <v>217698</v>
      </c>
      <c r="G51" s="73">
        <f>F51*19%</f>
        <v>41362.620000000003</v>
      </c>
      <c r="H51" s="73">
        <f>F51+G51</f>
        <v>259060.62</v>
      </c>
      <c r="I51" s="73"/>
      <c r="J51" s="73"/>
      <c r="K51" s="73"/>
    </row>
    <row r="52" spans="1:12" ht="30" customHeight="1" x14ac:dyDescent="0.25">
      <c r="A52" s="76" t="s">
        <v>58</v>
      </c>
      <c r="B52" s="66"/>
      <c r="C52" s="77">
        <v>962101</v>
      </c>
      <c r="D52" s="77">
        <f>C52*19%</f>
        <v>182799.19</v>
      </c>
      <c r="E52" s="78">
        <f>C52+D52</f>
        <v>1144900.19</v>
      </c>
      <c r="F52" s="77">
        <v>825748</v>
      </c>
      <c r="G52" s="73">
        <f>F52*19%</f>
        <v>156892.12</v>
      </c>
      <c r="H52" s="73">
        <f>F52+G52</f>
        <v>982640.12</v>
      </c>
      <c r="I52" s="77">
        <v>1</v>
      </c>
      <c r="J52" s="77">
        <f>I52*19%</f>
        <v>0.19</v>
      </c>
      <c r="K52" s="78">
        <f>I52+J52</f>
        <v>1.19</v>
      </c>
    </row>
    <row r="53" spans="1:12" ht="30" customHeight="1" x14ac:dyDescent="0.25">
      <c r="A53" s="76" t="s">
        <v>59</v>
      </c>
      <c r="B53" s="66"/>
      <c r="C53" s="77">
        <v>1346941</v>
      </c>
      <c r="D53" s="77">
        <f>C53*19%</f>
        <v>255918.79</v>
      </c>
      <c r="E53" s="78">
        <f>C53+D53</f>
        <v>1602859.79</v>
      </c>
      <c r="F53" s="77">
        <v>1020925</v>
      </c>
      <c r="G53" s="73">
        <f>F53*19%</f>
        <v>193975.75</v>
      </c>
      <c r="H53" s="73">
        <f>F53+G53</f>
        <v>1214900.75</v>
      </c>
      <c r="I53" s="77"/>
      <c r="J53" s="77"/>
      <c r="K53" s="78"/>
    </row>
    <row r="54" spans="1:12" ht="30" customHeight="1" x14ac:dyDescent="0.25">
      <c r="A54" s="63" t="s">
        <v>20</v>
      </c>
      <c r="B54" s="64"/>
      <c r="C54" s="163">
        <f>HARMEAN(E52,H52)</f>
        <v>1057582.6505394136</v>
      </c>
      <c r="D54" s="163"/>
      <c r="E54" s="163"/>
      <c r="F54" s="163"/>
      <c r="G54" s="163"/>
      <c r="H54" s="163"/>
      <c r="I54" s="163"/>
      <c r="J54" s="163"/>
      <c r="K54" s="163"/>
    </row>
    <row r="55" spans="1:12" x14ac:dyDescent="0.25">
      <c r="A55" s="169" t="s">
        <v>19</v>
      </c>
      <c r="B55" s="169"/>
      <c r="C55" s="163">
        <v>9</v>
      </c>
      <c r="D55" s="163"/>
      <c r="E55" s="163"/>
      <c r="F55" s="163"/>
      <c r="G55" s="163"/>
      <c r="H55" s="163"/>
      <c r="I55" s="163"/>
      <c r="J55" s="163"/>
      <c r="K55" s="163"/>
    </row>
    <row r="56" spans="1:12" x14ac:dyDescent="0.25">
      <c r="A56" s="56" t="s">
        <v>21</v>
      </c>
      <c r="B56" s="56"/>
      <c r="C56" s="166">
        <f>C54*C55</f>
        <v>9518243.8548547216</v>
      </c>
      <c r="D56" s="166"/>
      <c r="E56" s="166"/>
      <c r="F56" s="166"/>
      <c r="G56" s="166"/>
      <c r="H56" s="166"/>
      <c r="I56" s="166"/>
      <c r="J56" s="166"/>
      <c r="K56" s="166"/>
      <c r="L56" s="69">
        <f>C56-'[2]Resumén '!$H$29</f>
        <v>-17949036.145145278</v>
      </c>
    </row>
    <row r="57" spans="1:12" x14ac:dyDescent="0.25">
      <c r="L57" s="50">
        <f>C56+C48+C16+C8</f>
        <v>224527040.16698891</v>
      </c>
    </row>
  </sheetData>
  <mergeCells count="66">
    <mergeCell ref="A55:B55"/>
    <mergeCell ref="C55:K55"/>
    <mergeCell ref="C56:K56"/>
    <mergeCell ref="A48:B48"/>
    <mergeCell ref="C48:K48"/>
    <mergeCell ref="C49:E49"/>
    <mergeCell ref="F49:H49"/>
    <mergeCell ref="I49:K49"/>
    <mergeCell ref="C54:K54"/>
    <mergeCell ref="A45:B45"/>
    <mergeCell ref="C45:K45"/>
    <mergeCell ref="A46:B46"/>
    <mergeCell ref="C46:K46"/>
    <mergeCell ref="A47:B47"/>
    <mergeCell ref="C47:K47"/>
    <mergeCell ref="A42:B42"/>
    <mergeCell ref="C42:K42"/>
    <mergeCell ref="A43:B43"/>
    <mergeCell ref="C43:K43"/>
    <mergeCell ref="A44:B44"/>
    <mergeCell ref="C44:K44"/>
    <mergeCell ref="A39:B39"/>
    <mergeCell ref="C39:K39"/>
    <mergeCell ref="A40:B40"/>
    <mergeCell ref="C40:K40"/>
    <mergeCell ref="A41:B41"/>
    <mergeCell ref="C41:K41"/>
    <mergeCell ref="A36:B36"/>
    <mergeCell ref="C36:K36"/>
    <mergeCell ref="A37:B37"/>
    <mergeCell ref="C37:K37"/>
    <mergeCell ref="A38:B38"/>
    <mergeCell ref="C38:K38"/>
    <mergeCell ref="A35:B35"/>
    <mergeCell ref="C35:K35"/>
    <mergeCell ref="C20:E20"/>
    <mergeCell ref="F20:H20"/>
    <mergeCell ref="I20:K20"/>
    <mergeCell ref="A22:K22"/>
    <mergeCell ref="A26:K26"/>
    <mergeCell ref="A29:K29"/>
    <mergeCell ref="A32:K32"/>
    <mergeCell ref="A33:B33"/>
    <mergeCell ref="C33:K33"/>
    <mergeCell ref="A34:B34"/>
    <mergeCell ref="C34:K34"/>
    <mergeCell ref="A14:B14"/>
    <mergeCell ref="C14:K14"/>
    <mergeCell ref="A15:B15"/>
    <mergeCell ref="C15:K15"/>
    <mergeCell ref="A16:B16"/>
    <mergeCell ref="C16:K16"/>
    <mergeCell ref="A13:B13"/>
    <mergeCell ref="C13:K13"/>
    <mergeCell ref="C1:E1"/>
    <mergeCell ref="F1:H1"/>
    <mergeCell ref="I1:K1"/>
    <mergeCell ref="A6:B6"/>
    <mergeCell ref="C6:K6"/>
    <mergeCell ref="A7:B7"/>
    <mergeCell ref="C7:K7"/>
    <mergeCell ref="A8:B8"/>
    <mergeCell ref="C8:K8"/>
    <mergeCell ref="C10:E10"/>
    <mergeCell ref="F10:H10"/>
    <mergeCell ref="I10:K1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53"/>
  <sheetViews>
    <sheetView topLeftCell="I32" workbookViewId="0">
      <selection activeCell="O47" sqref="O47:Q49"/>
    </sheetView>
  </sheetViews>
  <sheetFormatPr baseColWidth="10" defaultColWidth="11.42578125" defaultRowHeight="15" x14ac:dyDescent="0.25"/>
  <cols>
    <col min="1" max="1" width="46.28515625" bestFit="1" customWidth="1"/>
    <col min="2" max="2" width="19.42578125" customWidth="1"/>
    <col min="3" max="3" width="22.7109375" bestFit="1" customWidth="1"/>
    <col min="4" max="4" width="13.85546875" customWidth="1"/>
    <col min="5" max="5" width="22" bestFit="1" customWidth="1"/>
    <col min="6" max="6" width="22.7109375" bestFit="1" customWidth="1"/>
    <col min="7" max="7" width="13.85546875" customWidth="1"/>
    <col min="8" max="8" width="22" bestFit="1" customWidth="1"/>
    <col min="9" max="9" width="21.7109375" bestFit="1" customWidth="1"/>
    <col min="10" max="10" width="14" customWidth="1"/>
    <col min="11" max="11" width="21.5703125" bestFit="1" customWidth="1"/>
    <col min="12" max="12" width="21.7109375" bestFit="1" customWidth="1"/>
    <col min="14" max="15" width="21.5703125" bestFit="1" customWidth="1"/>
    <col min="16" max="16" width="11.5703125" bestFit="1" customWidth="1"/>
    <col min="17" max="17" width="21.42578125" bestFit="1" customWidth="1"/>
  </cols>
  <sheetData>
    <row r="1" spans="1:17" x14ac:dyDescent="0.25">
      <c r="A1" s="13" t="s">
        <v>15</v>
      </c>
      <c r="B1" s="13" t="s">
        <v>44</v>
      </c>
      <c r="C1" s="179" t="s">
        <v>16</v>
      </c>
      <c r="D1" s="179"/>
      <c r="E1" s="179"/>
      <c r="F1" s="179" t="s">
        <v>17</v>
      </c>
      <c r="G1" s="179"/>
      <c r="H1" s="179"/>
      <c r="I1" s="179" t="s">
        <v>46</v>
      </c>
      <c r="J1" s="179"/>
      <c r="K1" s="179"/>
      <c r="L1" s="179" t="s">
        <v>48</v>
      </c>
      <c r="M1" s="179"/>
      <c r="N1" s="179"/>
      <c r="O1" s="179" t="s">
        <v>49</v>
      </c>
      <c r="P1" s="179"/>
      <c r="Q1" s="179"/>
    </row>
    <row r="2" spans="1:17" x14ac:dyDescent="0.25">
      <c r="A2" s="13" t="s">
        <v>6</v>
      </c>
      <c r="B2" s="13" t="s">
        <v>45</v>
      </c>
      <c r="C2" s="13" t="s">
        <v>3</v>
      </c>
      <c r="D2" s="13" t="s">
        <v>4</v>
      </c>
      <c r="E2" s="13" t="s">
        <v>5</v>
      </c>
      <c r="F2" s="13" t="s">
        <v>3</v>
      </c>
      <c r="G2" s="13" t="s">
        <v>4</v>
      </c>
      <c r="H2" s="13" t="s">
        <v>5</v>
      </c>
      <c r="I2" s="13" t="s">
        <v>3</v>
      </c>
      <c r="J2" s="13" t="s">
        <v>4</v>
      </c>
      <c r="K2" s="13" t="s">
        <v>5</v>
      </c>
      <c r="L2" s="13" t="s">
        <v>3</v>
      </c>
      <c r="M2" s="13" t="s">
        <v>4</v>
      </c>
      <c r="N2" s="13" t="s">
        <v>5</v>
      </c>
      <c r="O2" s="44" t="s">
        <v>3</v>
      </c>
      <c r="P2" s="44" t="s">
        <v>4</v>
      </c>
      <c r="Q2" s="44" t="s">
        <v>5</v>
      </c>
    </row>
    <row r="3" spans="1:17" ht="45" x14ac:dyDescent="0.25">
      <c r="A3" s="7" t="s">
        <v>13</v>
      </c>
      <c r="B3" s="19">
        <v>42249000</v>
      </c>
      <c r="C3" s="45">
        <v>60802762</v>
      </c>
      <c r="D3" s="45">
        <f>C3*19%</f>
        <v>11552524.779999999</v>
      </c>
      <c r="E3" s="19">
        <f>C3+D3</f>
        <v>72355286.780000001</v>
      </c>
      <c r="F3" s="45">
        <v>65714286</v>
      </c>
      <c r="G3" s="45">
        <f>F3*19%</f>
        <v>12485714.34</v>
      </c>
      <c r="H3" s="19">
        <f>F3+G3</f>
        <v>78200000.340000004</v>
      </c>
      <c r="I3" s="45">
        <v>42930473</v>
      </c>
      <c r="J3" s="45">
        <f>I3*19%</f>
        <v>8156789.8700000001</v>
      </c>
      <c r="K3" s="19">
        <f>I3+J3</f>
        <v>51087262.869999997</v>
      </c>
      <c r="L3" s="45">
        <v>56000000</v>
      </c>
      <c r="M3" s="45">
        <f>L3*19%</f>
        <v>10640000</v>
      </c>
      <c r="N3" s="19">
        <f>L3+M3</f>
        <v>66640000</v>
      </c>
      <c r="O3" s="45">
        <v>57000000</v>
      </c>
      <c r="P3" s="45">
        <f>O3*19%</f>
        <v>10830000</v>
      </c>
      <c r="Q3" s="19">
        <f>O3+P3</f>
        <v>67830000</v>
      </c>
    </row>
    <row r="4" spans="1:17" ht="30" customHeight="1" x14ac:dyDescent="0.25">
      <c r="A4" s="162" t="s">
        <v>20</v>
      </c>
      <c r="B4" s="162"/>
      <c r="C4" s="163">
        <f>AVERAGE(E3,H3,B3,K3,N3,Q3)</f>
        <v>63060258.331666671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</row>
    <row r="5" spans="1:17" x14ac:dyDescent="0.25">
      <c r="A5" s="162" t="s">
        <v>19</v>
      </c>
      <c r="B5" s="162"/>
      <c r="C5" s="163">
        <v>5</v>
      </c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</row>
    <row r="6" spans="1:17" x14ac:dyDescent="0.25">
      <c r="A6" s="183" t="s">
        <v>21</v>
      </c>
      <c r="B6" s="183"/>
      <c r="C6" s="194">
        <f>C4*C5</f>
        <v>315301291.65833336</v>
      </c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</row>
    <row r="7" spans="1:17" s="29" customFormat="1" x14ac:dyDescent="0.25">
      <c r="A7" s="28"/>
      <c r="I7" s="30"/>
    </row>
    <row r="8" spans="1:17" x14ac:dyDescent="0.25">
      <c r="A8" s="26" t="s">
        <v>15</v>
      </c>
      <c r="B8" s="26" t="s">
        <v>44</v>
      </c>
      <c r="C8" s="182" t="s">
        <v>16</v>
      </c>
      <c r="D8" s="182"/>
      <c r="E8" s="182"/>
      <c r="F8" s="182" t="s">
        <v>17</v>
      </c>
      <c r="G8" s="182"/>
      <c r="H8" s="182"/>
      <c r="I8" s="182" t="s">
        <v>46</v>
      </c>
      <c r="J8" s="182"/>
      <c r="K8" s="182"/>
      <c r="L8" s="182" t="s">
        <v>48</v>
      </c>
      <c r="M8" s="182"/>
      <c r="N8" s="182"/>
      <c r="O8" s="179" t="s">
        <v>49</v>
      </c>
      <c r="P8" s="179"/>
      <c r="Q8" s="179"/>
    </row>
    <row r="9" spans="1:17" x14ac:dyDescent="0.25">
      <c r="A9" s="13" t="s">
        <v>22</v>
      </c>
      <c r="B9" s="13" t="s">
        <v>45</v>
      </c>
      <c r="C9" s="13" t="s">
        <v>3</v>
      </c>
      <c r="D9" s="13" t="s">
        <v>4</v>
      </c>
      <c r="E9" s="13" t="s">
        <v>5</v>
      </c>
      <c r="F9" s="13" t="s">
        <v>3</v>
      </c>
      <c r="G9" s="13" t="s">
        <v>4</v>
      </c>
      <c r="H9" s="13" t="s">
        <v>5</v>
      </c>
      <c r="I9" s="13" t="s">
        <v>3</v>
      </c>
      <c r="J9" s="13" t="s">
        <v>4</v>
      </c>
      <c r="K9" s="13" t="s">
        <v>5</v>
      </c>
      <c r="L9" s="13" t="s">
        <v>3</v>
      </c>
      <c r="M9" s="13" t="s">
        <v>4</v>
      </c>
      <c r="N9" s="13" t="s">
        <v>5</v>
      </c>
      <c r="O9" s="44" t="s">
        <v>3</v>
      </c>
      <c r="P9" s="44" t="s">
        <v>4</v>
      </c>
      <c r="Q9" s="44" t="s">
        <v>5</v>
      </c>
    </row>
    <row r="10" spans="1:17" ht="60" x14ac:dyDescent="0.25">
      <c r="A10" s="2" t="s">
        <v>23</v>
      </c>
      <c r="B10" s="15">
        <v>104</v>
      </c>
      <c r="C10" s="21">
        <v>1529</v>
      </c>
      <c r="D10" s="20">
        <f>C10*19%</f>
        <v>290.51</v>
      </c>
      <c r="E10" s="9">
        <f>C10+D10</f>
        <v>1819.51</v>
      </c>
      <c r="F10" s="21">
        <v>109</v>
      </c>
      <c r="G10" s="20">
        <f>F10*19%</f>
        <v>20.71</v>
      </c>
      <c r="H10" s="9">
        <f>F10+G10</f>
        <v>129.71</v>
      </c>
      <c r="I10" s="20">
        <v>166</v>
      </c>
      <c r="J10" s="20">
        <f>I10*19%</f>
        <v>31.54</v>
      </c>
      <c r="K10" s="9">
        <f>I10+J10</f>
        <v>197.54</v>
      </c>
      <c r="L10" s="20">
        <v>97</v>
      </c>
      <c r="M10" s="20">
        <f>L10*19%</f>
        <v>18.43</v>
      </c>
      <c r="N10" s="9">
        <f>L10+M10</f>
        <v>115.43</v>
      </c>
      <c r="O10" s="20">
        <v>105</v>
      </c>
      <c r="P10" s="20">
        <f>O10*19%</f>
        <v>19.95</v>
      </c>
      <c r="Q10" s="9">
        <f>O10+P10</f>
        <v>124.95</v>
      </c>
    </row>
    <row r="11" spans="1:17" ht="30" customHeight="1" x14ac:dyDescent="0.25">
      <c r="A11" s="169" t="s">
        <v>24</v>
      </c>
      <c r="B11" s="169"/>
      <c r="C11" s="188">
        <f>AVERAGE(E10,H10,B10,K10,N10,Q10)</f>
        <v>415.19</v>
      </c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</row>
    <row r="12" spans="1:17" x14ac:dyDescent="0.25">
      <c r="A12" s="169" t="s">
        <v>25</v>
      </c>
      <c r="B12" s="169"/>
      <c r="C12" s="184">
        <v>14300</v>
      </c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</row>
    <row r="13" spans="1:17" x14ac:dyDescent="0.25">
      <c r="A13" s="169" t="s">
        <v>19</v>
      </c>
      <c r="B13" s="169"/>
      <c r="C13" s="184">
        <v>5</v>
      </c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</row>
    <row r="14" spans="1:17" x14ac:dyDescent="0.25">
      <c r="A14" s="183" t="s">
        <v>21</v>
      </c>
      <c r="B14" s="183"/>
      <c r="C14" s="186">
        <f>C12*C11*C13</f>
        <v>29686085</v>
      </c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</row>
    <row r="15" spans="1:17" x14ac:dyDescent="0.25">
      <c r="A15" s="31"/>
      <c r="B15" s="32"/>
      <c r="C15" s="33"/>
      <c r="D15" s="33"/>
      <c r="E15" s="33"/>
      <c r="F15" s="33"/>
      <c r="G15" s="33"/>
      <c r="H15" s="33"/>
      <c r="I15" s="34"/>
      <c r="J15" s="34"/>
      <c r="K15" s="34"/>
      <c r="L15" s="34"/>
      <c r="M15" s="34"/>
      <c r="N15" s="35"/>
    </row>
    <row r="16" spans="1:17" x14ac:dyDescent="0.25">
      <c r="A16" s="36"/>
      <c r="B16" s="11"/>
      <c r="C16" s="12"/>
      <c r="D16" s="12"/>
      <c r="E16" s="12"/>
      <c r="F16" s="12"/>
      <c r="G16" s="12"/>
      <c r="H16" s="12"/>
      <c r="I16" s="6"/>
      <c r="J16" s="6"/>
      <c r="K16" s="6"/>
      <c r="L16" s="6"/>
      <c r="M16" s="6"/>
      <c r="N16" s="37"/>
    </row>
    <row r="17" spans="1:17" x14ac:dyDescent="0.25">
      <c r="A17" s="38"/>
      <c r="B17" s="39"/>
      <c r="C17" s="40"/>
      <c r="D17" s="40"/>
      <c r="E17" s="40"/>
      <c r="F17" s="40"/>
      <c r="G17" s="40"/>
      <c r="H17" s="40"/>
      <c r="I17" s="41"/>
      <c r="J17" s="41"/>
      <c r="K17" s="41"/>
      <c r="L17" s="41"/>
      <c r="M17" s="41"/>
      <c r="N17" s="42"/>
    </row>
    <row r="18" spans="1:17" s="10" customFormat="1" x14ac:dyDescent="0.25">
      <c r="A18" s="26" t="s">
        <v>15</v>
      </c>
      <c r="B18" s="26" t="s">
        <v>44</v>
      </c>
      <c r="C18" s="182" t="s">
        <v>16</v>
      </c>
      <c r="D18" s="182"/>
      <c r="E18" s="182"/>
      <c r="F18" s="182" t="s">
        <v>17</v>
      </c>
      <c r="G18" s="182"/>
      <c r="H18" s="182"/>
      <c r="I18" s="182" t="s">
        <v>46</v>
      </c>
      <c r="J18" s="182"/>
      <c r="K18" s="182"/>
      <c r="L18" s="182" t="s">
        <v>48</v>
      </c>
      <c r="M18" s="182"/>
      <c r="N18" s="182"/>
      <c r="O18" s="179" t="s">
        <v>49</v>
      </c>
      <c r="P18" s="179"/>
      <c r="Q18" s="179"/>
    </row>
    <row r="19" spans="1:17" x14ac:dyDescent="0.25">
      <c r="A19" s="13" t="s">
        <v>27</v>
      </c>
      <c r="B19" s="13" t="s">
        <v>45</v>
      </c>
      <c r="C19" s="13" t="s">
        <v>3</v>
      </c>
      <c r="D19" s="13" t="s">
        <v>4</v>
      </c>
      <c r="E19" s="13" t="s">
        <v>5</v>
      </c>
      <c r="F19" s="13" t="s">
        <v>3</v>
      </c>
      <c r="G19" s="13" t="s">
        <v>4</v>
      </c>
      <c r="H19" s="13" t="s">
        <v>5</v>
      </c>
      <c r="I19" s="13" t="s">
        <v>3</v>
      </c>
      <c r="J19" s="13" t="s">
        <v>4</v>
      </c>
      <c r="K19" s="13" t="s">
        <v>5</v>
      </c>
      <c r="L19" s="13" t="s">
        <v>3</v>
      </c>
      <c r="M19" s="13" t="s">
        <v>4</v>
      </c>
      <c r="N19" s="13" t="s">
        <v>5</v>
      </c>
      <c r="O19" s="44" t="s">
        <v>3</v>
      </c>
      <c r="P19" s="44" t="s">
        <v>4</v>
      </c>
      <c r="Q19" s="44" t="s">
        <v>5</v>
      </c>
    </row>
    <row r="20" spans="1:17" x14ac:dyDescent="0.25">
      <c r="A20" s="190" t="s">
        <v>7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</row>
    <row r="21" spans="1:17" ht="16.5" x14ac:dyDescent="0.25">
      <c r="A21" s="3" t="s">
        <v>0</v>
      </c>
      <c r="B21" s="5">
        <v>8330</v>
      </c>
      <c r="C21" s="22">
        <v>4400</v>
      </c>
      <c r="D21" s="5"/>
      <c r="E21" s="5">
        <f>C21</f>
        <v>4400</v>
      </c>
      <c r="F21" s="22">
        <v>4401</v>
      </c>
      <c r="G21" s="22">
        <f>F21*19%</f>
        <v>836.19</v>
      </c>
      <c r="H21" s="5">
        <f>F21+G21</f>
        <v>5237.1900000000005</v>
      </c>
      <c r="I21" s="22">
        <v>4720</v>
      </c>
      <c r="J21" s="22">
        <f>I21*19%</f>
        <v>896.8</v>
      </c>
      <c r="K21" s="5">
        <f>I21+J21</f>
        <v>5616.8</v>
      </c>
      <c r="L21" s="22">
        <v>4500</v>
      </c>
      <c r="M21" s="22">
        <f>L21*19%</f>
        <v>855</v>
      </c>
      <c r="N21" s="5">
        <f>L21+M21</f>
        <v>5355</v>
      </c>
      <c r="O21" s="22">
        <v>5500</v>
      </c>
      <c r="P21" s="22">
        <f>O21*19%</f>
        <v>1045</v>
      </c>
      <c r="Q21" s="5">
        <f>O21+P21</f>
        <v>6545</v>
      </c>
    </row>
    <row r="22" spans="1:17" ht="16.5" x14ac:dyDescent="0.25">
      <c r="A22" s="4" t="s">
        <v>1</v>
      </c>
      <c r="B22" s="5">
        <v>8330</v>
      </c>
      <c r="C22" s="22">
        <v>9800</v>
      </c>
      <c r="D22" s="5"/>
      <c r="E22" s="5">
        <f>C22</f>
        <v>9800</v>
      </c>
      <c r="F22" s="22">
        <v>6914</v>
      </c>
      <c r="G22" s="22">
        <f>F22*19%</f>
        <v>1313.66</v>
      </c>
      <c r="H22" s="5">
        <f>F22+G22</f>
        <v>8227.66</v>
      </c>
      <c r="I22" s="22">
        <v>6905</v>
      </c>
      <c r="J22" s="22">
        <f>I22*19%</f>
        <v>1311.95</v>
      </c>
      <c r="K22" s="5">
        <f>I22+J22</f>
        <v>8216.9500000000007</v>
      </c>
      <c r="L22" s="22">
        <v>6800</v>
      </c>
      <c r="M22" s="22">
        <f>L22*19%</f>
        <v>1292</v>
      </c>
      <c r="N22" s="5">
        <f>L22+M22</f>
        <v>8092</v>
      </c>
      <c r="O22" s="22">
        <v>6900</v>
      </c>
      <c r="P22" s="22">
        <f>O22*19%</f>
        <v>1311</v>
      </c>
      <c r="Q22" s="5">
        <f>O22+P22</f>
        <v>8211</v>
      </c>
    </row>
    <row r="23" spans="1:17" ht="16.5" x14ac:dyDescent="0.25">
      <c r="A23" s="4" t="s">
        <v>2</v>
      </c>
      <c r="B23" s="5">
        <v>8330</v>
      </c>
      <c r="C23" s="22">
        <v>18900</v>
      </c>
      <c r="D23" s="5"/>
      <c r="E23" s="5">
        <f>C23</f>
        <v>18900</v>
      </c>
      <c r="F23" s="22">
        <v>13944</v>
      </c>
      <c r="G23" s="22">
        <f>F23*19%</f>
        <v>2649.36</v>
      </c>
      <c r="H23" s="5">
        <f>F23+G23</f>
        <v>16593.36</v>
      </c>
      <c r="I23" s="22">
        <v>11377</v>
      </c>
      <c r="J23" s="22">
        <f>I23*19%</f>
        <v>2161.63</v>
      </c>
      <c r="K23" s="5">
        <f>I23+J23</f>
        <v>13538.630000000001</v>
      </c>
      <c r="L23" s="22">
        <v>11900</v>
      </c>
      <c r="M23" s="22">
        <f>L23*19%</f>
        <v>2261</v>
      </c>
      <c r="N23" s="5">
        <f>L23+M23</f>
        <v>14161</v>
      </c>
      <c r="O23" s="22">
        <v>25200</v>
      </c>
      <c r="P23" s="22">
        <f>O23*19%</f>
        <v>4788</v>
      </c>
      <c r="Q23" s="5">
        <f>O23+P23</f>
        <v>29988</v>
      </c>
    </row>
    <row r="24" spans="1:17" x14ac:dyDescent="0.25">
      <c r="A24" s="192" t="s">
        <v>8</v>
      </c>
      <c r="B24" s="193"/>
      <c r="C24" s="193"/>
      <c r="D24" s="193"/>
      <c r="E24" s="193"/>
      <c r="F24" s="193"/>
      <c r="G24" s="193"/>
      <c r="H24" s="193"/>
      <c r="I24" s="193"/>
      <c r="J24" s="193"/>
      <c r="K24" s="193"/>
      <c r="L24" s="193"/>
      <c r="M24" s="193"/>
      <c r="N24" s="193"/>
      <c r="O24" s="193"/>
      <c r="P24" s="193"/>
      <c r="Q24" s="193"/>
    </row>
    <row r="25" spans="1:17" x14ac:dyDescent="0.25">
      <c r="A25" s="13"/>
      <c r="B25" s="13" t="s">
        <v>44</v>
      </c>
      <c r="C25" s="13" t="s">
        <v>11</v>
      </c>
      <c r="D25" s="13" t="s">
        <v>4</v>
      </c>
      <c r="E25" s="13" t="s">
        <v>12</v>
      </c>
      <c r="F25" s="13" t="s">
        <v>11</v>
      </c>
      <c r="G25" s="13" t="s">
        <v>4</v>
      </c>
      <c r="H25" s="13" t="s">
        <v>12</v>
      </c>
      <c r="I25" s="13" t="s">
        <v>11</v>
      </c>
      <c r="J25" s="13" t="s">
        <v>4</v>
      </c>
      <c r="K25" s="13" t="s">
        <v>12</v>
      </c>
      <c r="L25" s="13" t="s">
        <v>11</v>
      </c>
      <c r="M25" s="13" t="s">
        <v>4</v>
      </c>
      <c r="N25" s="13" t="s">
        <v>12</v>
      </c>
      <c r="O25" s="44" t="s">
        <v>11</v>
      </c>
      <c r="P25" s="44" t="s">
        <v>4</v>
      </c>
      <c r="Q25" s="44" t="s">
        <v>12</v>
      </c>
    </row>
    <row r="26" spans="1:17" x14ac:dyDescent="0.25">
      <c r="A26" s="1" t="s">
        <v>9</v>
      </c>
      <c r="B26" s="16">
        <v>1142</v>
      </c>
      <c r="C26" s="22">
        <v>1500</v>
      </c>
      <c r="D26" s="22">
        <f>C26*19%</f>
        <v>285</v>
      </c>
      <c r="E26" s="5">
        <f>C26+D26</f>
        <v>1785</v>
      </c>
      <c r="F26" s="22">
        <v>7145</v>
      </c>
      <c r="G26" s="22">
        <f>F26*19%</f>
        <v>1357.55</v>
      </c>
      <c r="H26" s="5">
        <f>F26+G26</f>
        <v>8502.5499999999993</v>
      </c>
      <c r="I26" s="23">
        <v>2818</v>
      </c>
      <c r="J26" s="24">
        <f>I26*19%</f>
        <v>535.41999999999996</v>
      </c>
      <c r="K26" s="18">
        <f>I26+J26</f>
        <v>3353.42</v>
      </c>
      <c r="L26" s="23">
        <v>6213</v>
      </c>
      <c r="M26" s="24">
        <f>L26*19%</f>
        <v>1180.47</v>
      </c>
      <c r="N26" s="18">
        <f>L26+M26</f>
        <v>7393.47</v>
      </c>
      <c r="O26" s="23">
        <v>6123</v>
      </c>
      <c r="P26" s="24">
        <f>O26*19%</f>
        <v>1163.3700000000001</v>
      </c>
      <c r="Q26" s="18">
        <f>O26+P26</f>
        <v>7286.37</v>
      </c>
    </row>
    <row r="27" spans="1:17" x14ac:dyDescent="0.25">
      <c r="A27" s="190" t="s">
        <v>10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</row>
    <row r="28" spans="1:17" x14ac:dyDescent="0.25">
      <c r="A28" s="13"/>
      <c r="B28" s="13"/>
      <c r="C28" s="13" t="s">
        <v>11</v>
      </c>
      <c r="D28" s="13" t="s">
        <v>4</v>
      </c>
      <c r="E28" s="13" t="s">
        <v>12</v>
      </c>
      <c r="F28" s="13" t="s">
        <v>11</v>
      </c>
      <c r="G28" s="13" t="s">
        <v>4</v>
      </c>
      <c r="H28" s="13" t="s">
        <v>12</v>
      </c>
      <c r="I28" s="13" t="s">
        <v>11</v>
      </c>
      <c r="J28" s="13" t="s">
        <v>4</v>
      </c>
      <c r="K28" s="13" t="s">
        <v>12</v>
      </c>
      <c r="L28" s="13" t="s">
        <v>11</v>
      </c>
      <c r="M28" s="13" t="s">
        <v>4</v>
      </c>
      <c r="N28" s="13" t="s">
        <v>12</v>
      </c>
      <c r="O28" s="44" t="s">
        <v>11</v>
      </c>
      <c r="P28" s="44" t="s">
        <v>4</v>
      </c>
      <c r="Q28" s="44" t="s">
        <v>12</v>
      </c>
    </row>
    <row r="29" spans="1:17" x14ac:dyDescent="0.25">
      <c r="A29" s="1" t="s">
        <v>47</v>
      </c>
      <c r="B29" s="16">
        <f>2647790*2</f>
        <v>5295580</v>
      </c>
      <c r="C29" s="22">
        <f>3268333*2</f>
        <v>6536666</v>
      </c>
      <c r="D29" s="22">
        <f>C29*19%</f>
        <v>1241966.54</v>
      </c>
      <c r="E29" s="5">
        <f>C29+D29</f>
        <v>7778632.54</v>
      </c>
      <c r="F29" s="22">
        <f>3725212*2</f>
        <v>7450424</v>
      </c>
      <c r="G29" s="22">
        <f>F29*19%</f>
        <v>1415580.56</v>
      </c>
      <c r="H29" s="5">
        <f>F29+G29</f>
        <v>8866004.5600000005</v>
      </c>
      <c r="I29" s="23">
        <v>3664465</v>
      </c>
      <c r="J29" s="24">
        <f>I29*19%</f>
        <v>696248.35</v>
      </c>
      <c r="K29" s="18">
        <f>I29+J29</f>
        <v>4360713.3499999996</v>
      </c>
      <c r="L29" s="23">
        <v>3725212</v>
      </c>
      <c r="M29" s="24">
        <f>L29*19%</f>
        <v>707790.28</v>
      </c>
      <c r="N29" s="18">
        <f>L29+M29</f>
        <v>4433002.28</v>
      </c>
      <c r="O29" s="23">
        <v>4500000</v>
      </c>
      <c r="P29" s="24">
        <f>O29*19%</f>
        <v>855000</v>
      </c>
      <c r="Q29" s="18">
        <f>O29+P29</f>
        <v>5355000</v>
      </c>
    </row>
    <row r="30" spans="1:17" x14ac:dyDescent="0.25">
      <c r="A30" s="46" t="s">
        <v>37</v>
      </c>
      <c r="B30" s="46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</row>
    <row r="31" spans="1:17" x14ac:dyDescent="0.25">
      <c r="A31" s="170" t="s">
        <v>28</v>
      </c>
      <c r="B31" s="170"/>
      <c r="C31" s="175">
        <f>AVERAGE(B29,E29,H29,K29,N29,Q29)</f>
        <v>6014822.1216666671</v>
      </c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</row>
    <row r="32" spans="1:17" x14ac:dyDescent="0.25">
      <c r="A32" s="170" t="s">
        <v>30</v>
      </c>
      <c r="B32" s="170"/>
      <c r="C32" s="175">
        <f>AVERAGE(B21,E21,H21,K21,N21,Q21)</f>
        <v>5913.9983333333339</v>
      </c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</row>
    <row r="33" spans="1:17" x14ac:dyDescent="0.25">
      <c r="A33" s="170" t="s">
        <v>31</v>
      </c>
      <c r="B33" s="170"/>
      <c r="C33" s="175">
        <f>AVERAGE(B22,E22,H22,K22,N22,N21)</f>
        <v>8003.6016666666665</v>
      </c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</row>
    <row r="34" spans="1:17" x14ac:dyDescent="0.25">
      <c r="A34" s="170" t="s">
        <v>32</v>
      </c>
      <c r="B34" s="170"/>
      <c r="C34" s="175">
        <f>AVERAGE(B23,E23,H23,K23,N23,Q23)</f>
        <v>16918.498333333333</v>
      </c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</row>
    <row r="35" spans="1:17" x14ac:dyDescent="0.25">
      <c r="A35" s="170" t="s">
        <v>29</v>
      </c>
      <c r="B35" s="170"/>
      <c r="C35" s="175">
        <f>AVERAGE(B26,E26,H26,K26,N26,Q26)</f>
        <v>4910.4683333333332</v>
      </c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</row>
    <row r="36" spans="1:17" x14ac:dyDescent="0.25">
      <c r="A36" s="170" t="s">
        <v>33</v>
      </c>
      <c r="B36" s="170"/>
      <c r="C36" s="175">
        <v>240</v>
      </c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</row>
    <row r="37" spans="1:17" x14ac:dyDescent="0.25">
      <c r="A37" s="170" t="s">
        <v>34</v>
      </c>
      <c r="B37" s="170"/>
      <c r="C37" s="175">
        <v>110</v>
      </c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</row>
    <row r="38" spans="1:17" x14ac:dyDescent="0.25">
      <c r="A38" s="170" t="s">
        <v>35</v>
      </c>
      <c r="B38" s="170"/>
      <c r="C38" s="175">
        <v>72</v>
      </c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</row>
    <row r="39" spans="1:17" x14ac:dyDescent="0.25">
      <c r="A39" s="170" t="s">
        <v>36</v>
      </c>
      <c r="B39" s="170"/>
      <c r="C39" s="175">
        <v>690</v>
      </c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</row>
    <row r="40" spans="1:17" x14ac:dyDescent="0.25">
      <c r="A40" s="176" t="s">
        <v>18</v>
      </c>
      <c r="B40" s="177"/>
      <c r="C40" s="180">
        <v>5</v>
      </c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</row>
    <row r="41" spans="1:17" x14ac:dyDescent="0.25">
      <c r="A41" s="170" t="s">
        <v>38</v>
      </c>
      <c r="B41" s="170"/>
      <c r="C41" s="195">
        <f>C40*C31</f>
        <v>30074110.608333334</v>
      </c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</row>
    <row r="42" spans="1:17" x14ac:dyDescent="0.25">
      <c r="A42" s="170" t="s">
        <v>39</v>
      </c>
      <c r="B42" s="170"/>
      <c r="C42" s="195">
        <f>(C32*C36)*5</f>
        <v>7096798</v>
      </c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</row>
    <row r="43" spans="1:17" x14ac:dyDescent="0.25">
      <c r="A43" s="170" t="s">
        <v>40</v>
      </c>
      <c r="B43" s="170"/>
      <c r="C43" s="195">
        <f>(C33*C37)*5</f>
        <v>4401980.916666667</v>
      </c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</row>
    <row r="44" spans="1:17" x14ac:dyDescent="0.25">
      <c r="A44" s="170" t="s">
        <v>41</v>
      </c>
      <c r="B44" s="170"/>
      <c r="C44" s="195">
        <f>(C34*C38)*5</f>
        <v>6090659.3999999994</v>
      </c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</row>
    <row r="45" spans="1:17" x14ac:dyDescent="0.25">
      <c r="A45" s="170" t="s">
        <v>42</v>
      </c>
      <c r="B45" s="170"/>
      <c r="C45" s="195">
        <f>(C35*C39)*5</f>
        <v>16941115.75</v>
      </c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</row>
    <row r="46" spans="1:17" x14ac:dyDescent="0.25">
      <c r="A46" s="170" t="s">
        <v>43</v>
      </c>
      <c r="B46" s="170"/>
      <c r="C46" s="195">
        <f>SUM(C41:H45)</f>
        <v>64604664.674999997</v>
      </c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</row>
    <row r="47" spans="1:17" x14ac:dyDescent="0.25">
      <c r="A47" s="176" t="s">
        <v>15</v>
      </c>
      <c r="B47" s="177"/>
      <c r="C47" s="179" t="s">
        <v>16</v>
      </c>
      <c r="D47" s="179"/>
      <c r="E47" s="179"/>
      <c r="F47" s="179" t="s">
        <v>17</v>
      </c>
      <c r="G47" s="179"/>
      <c r="H47" s="179"/>
      <c r="I47" s="179" t="s">
        <v>46</v>
      </c>
      <c r="J47" s="179"/>
      <c r="K47" s="179"/>
      <c r="L47" s="179" t="s">
        <v>48</v>
      </c>
      <c r="M47" s="179"/>
      <c r="N47" s="179"/>
      <c r="O47" s="197" t="s">
        <v>49</v>
      </c>
      <c r="P47" s="197"/>
      <c r="Q47" s="197"/>
    </row>
    <row r="48" spans="1:17" x14ac:dyDescent="0.25">
      <c r="A48" s="176" t="s">
        <v>26</v>
      </c>
      <c r="B48" s="177"/>
      <c r="C48" s="13" t="s">
        <v>3</v>
      </c>
      <c r="D48" s="13" t="s">
        <v>4</v>
      </c>
      <c r="E48" s="13" t="s">
        <v>5</v>
      </c>
      <c r="F48" s="13" t="s">
        <v>3</v>
      </c>
      <c r="G48" s="13" t="s">
        <v>4</v>
      </c>
      <c r="H48" s="13" t="s">
        <v>5</v>
      </c>
      <c r="I48" s="13" t="s">
        <v>3</v>
      </c>
      <c r="J48" s="13" t="s">
        <v>4</v>
      </c>
      <c r="K48" s="13" t="s">
        <v>5</v>
      </c>
      <c r="L48" s="13" t="s">
        <v>3</v>
      </c>
      <c r="M48" s="13" t="s">
        <v>4</v>
      </c>
      <c r="N48" s="13" t="s">
        <v>5</v>
      </c>
      <c r="O48" s="44" t="s">
        <v>3</v>
      </c>
      <c r="P48" s="44" t="s">
        <v>4</v>
      </c>
      <c r="Q48" s="44" t="s">
        <v>5</v>
      </c>
    </row>
    <row r="49" spans="1:17" ht="30" customHeight="1" x14ac:dyDescent="0.25">
      <c r="A49" s="178" t="s">
        <v>14</v>
      </c>
      <c r="B49" s="178"/>
      <c r="C49" s="22">
        <v>12514238</v>
      </c>
      <c r="D49" s="22">
        <f>C49*19%</f>
        <v>2377705.2200000002</v>
      </c>
      <c r="E49" s="5">
        <f>C49+D49</f>
        <v>14891943.220000001</v>
      </c>
      <c r="F49" s="22">
        <v>13800000</v>
      </c>
      <c r="G49" s="22">
        <f>F49*19%</f>
        <v>2622000</v>
      </c>
      <c r="H49" s="5">
        <f>F49+G49</f>
        <v>16422000</v>
      </c>
      <c r="I49" s="22">
        <v>1398150</v>
      </c>
      <c r="J49" s="22">
        <f>I49*19%</f>
        <v>265648.5</v>
      </c>
      <c r="K49" s="5">
        <f>I49+J49</f>
        <v>1663798.5</v>
      </c>
      <c r="L49" s="22">
        <v>11568000</v>
      </c>
      <c r="M49" s="22">
        <f>L49*19%</f>
        <v>2197920</v>
      </c>
      <c r="N49" s="5">
        <f>L49+M49</f>
        <v>13765920</v>
      </c>
      <c r="O49" s="22">
        <v>9500000</v>
      </c>
      <c r="P49" s="22">
        <f>O49*19%</f>
        <v>1805000</v>
      </c>
      <c r="Q49" s="5">
        <f>O49+P49</f>
        <v>11305000</v>
      </c>
    </row>
    <row r="50" spans="1:17" ht="30" customHeight="1" x14ac:dyDescent="0.25">
      <c r="A50" s="169" t="s">
        <v>20</v>
      </c>
      <c r="B50" s="169"/>
      <c r="C50" s="188">
        <f>AVERAGE(E49,H49,K49,N49,Q49)</f>
        <v>11609732.344000001</v>
      </c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</row>
    <row r="51" spans="1:17" x14ac:dyDescent="0.25">
      <c r="A51" s="169" t="s">
        <v>19</v>
      </c>
      <c r="B51" s="169"/>
      <c r="C51" s="184">
        <v>5</v>
      </c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</row>
    <row r="52" spans="1:17" x14ac:dyDescent="0.25">
      <c r="A52" s="8" t="s">
        <v>21</v>
      </c>
      <c r="B52" s="8"/>
      <c r="C52" s="186">
        <f>C50*C51</f>
        <v>58048661.719999999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</row>
    <row r="53" spans="1:17" x14ac:dyDescent="0.25">
      <c r="Q53" s="43"/>
    </row>
  </sheetData>
  <mergeCells count="77">
    <mergeCell ref="C50:Q50"/>
    <mergeCell ref="C51:Q51"/>
    <mergeCell ref="C52:Q52"/>
    <mergeCell ref="C43:Q43"/>
    <mergeCell ref="C44:Q44"/>
    <mergeCell ref="C45:Q45"/>
    <mergeCell ref="C46:Q46"/>
    <mergeCell ref="O47:Q47"/>
    <mergeCell ref="C36:Q36"/>
    <mergeCell ref="C37:Q37"/>
    <mergeCell ref="C38:Q38"/>
    <mergeCell ref="C41:Q41"/>
    <mergeCell ref="C42:Q42"/>
    <mergeCell ref="O1:Q1"/>
    <mergeCell ref="C4:Q4"/>
    <mergeCell ref="C5:Q5"/>
    <mergeCell ref="C6:Q6"/>
    <mergeCell ref="O8:Q8"/>
    <mergeCell ref="I8:K8"/>
    <mergeCell ref="L1:N1"/>
    <mergeCell ref="L8:N8"/>
    <mergeCell ref="I1:K1"/>
    <mergeCell ref="C1:E1"/>
    <mergeCell ref="F1:H1"/>
    <mergeCell ref="A20:Q20"/>
    <mergeCell ref="A24:Q24"/>
    <mergeCell ref="A27:Q27"/>
    <mergeCell ref="C31:Q31"/>
    <mergeCell ref="C32:Q32"/>
    <mergeCell ref="A31:B31"/>
    <mergeCell ref="A4:B4"/>
    <mergeCell ref="A5:B5"/>
    <mergeCell ref="C8:E8"/>
    <mergeCell ref="F8:H8"/>
    <mergeCell ref="A11:B11"/>
    <mergeCell ref="C11:Q11"/>
    <mergeCell ref="A6:B6"/>
    <mergeCell ref="I18:K18"/>
    <mergeCell ref="A12:B12"/>
    <mergeCell ref="A13:B13"/>
    <mergeCell ref="A14:B14"/>
    <mergeCell ref="C18:E18"/>
    <mergeCell ref="C12:Q12"/>
    <mergeCell ref="C13:Q13"/>
    <mergeCell ref="C14:Q14"/>
    <mergeCell ref="O18:Q18"/>
    <mergeCell ref="L18:N18"/>
    <mergeCell ref="F18:H18"/>
    <mergeCell ref="C33:Q33"/>
    <mergeCell ref="I47:K47"/>
    <mergeCell ref="A36:B36"/>
    <mergeCell ref="A37:B37"/>
    <mergeCell ref="A38:B38"/>
    <mergeCell ref="A39:B39"/>
    <mergeCell ref="F47:H47"/>
    <mergeCell ref="C47:E47"/>
    <mergeCell ref="L47:N47"/>
    <mergeCell ref="C39:Q39"/>
    <mergeCell ref="C40:Q40"/>
    <mergeCell ref="A35:B35"/>
    <mergeCell ref="A33:B33"/>
    <mergeCell ref="A34:B34"/>
    <mergeCell ref="C34:Q34"/>
    <mergeCell ref="C35:Q35"/>
    <mergeCell ref="A40:B40"/>
    <mergeCell ref="A47:B47"/>
    <mergeCell ref="A48:B48"/>
    <mergeCell ref="A49:B49"/>
    <mergeCell ref="A32:B32"/>
    <mergeCell ref="A50:B50"/>
    <mergeCell ref="A51:B51"/>
    <mergeCell ref="A41:B41"/>
    <mergeCell ref="A42:B42"/>
    <mergeCell ref="A43:B43"/>
    <mergeCell ref="A44:B44"/>
    <mergeCell ref="A45:B45"/>
    <mergeCell ref="A46:B4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53"/>
  <sheetViews>
    <sheetView topLeftCell="I1" workbookViewId="0">
      <selection activeCell="O1" sqref="O1:Q1"/>
    </sheetView>
  </sheetViews>
  <sheetFormatPr baseColWidth="10" defaultColWidth="11.42578125" defaultRowHeight="15" x14ac:dyDescent="0.25"/>
  <cols>
    <col min="1" max="1" width="46.28515625" bestFit="1" customWidth="1"/>
    <col min="2" max="2" width="19.42578125" customWidth="1"/>
    <col min="3" max="3" width="22.7109375" bestFit="1" customWidth="1"/>
    <col min="4" max="4" width="13.85546875" customWidth="1"/>
    <col min="5" max="5" width="22" bestFit="1" customWidth="1"/>
    <col min="6" max="6" width="22.7109375" bestFit="1" customWidth="1"/>
    <col min="7" max="7" width="13.85546875" customWidth="1"/>
    <col min="8" max="8" width="22" bestFit="1" customWidth="1"/>
    <col min="9" max="9" width="21.7109375" bestFit="1" customWidth="1"/>
    <col min="10" max="10" width="14" customWidth="1"/>
    <col min="11" max="11" width="21.5703125" bestFit="1" customWidth="1"/>
    <col min="12" max="12" width="21.7109375" bestFit="1" customWidth="1"/>
    <col min="14" max="15" width="21.5703125" bestFit="1" customWidth="1"/>
    <col min="16" max="16" width="11.5703125" bestFit="1" customWidth="1"/>
    <col min="17" max="17" width="21.42578125" bestFit="1" customWidth="1"/>
  </cols>
  <sheetData>
    <row r="1" spans="1:17" x14ac:dyDescent="0.25">
      <c r="A1" s="14" t="s">
        <v>15</v>
      </c>
      <c r="B1" s="14" t="s">
        <v>44</v>
      </c>
      <c r="C1" s="179" t="s">
        <v>16</v>
      </c>
      <c r="D1" s="179"/>
      <c r="E1" s="179"/>
      <c r="F1" s="179" t="s">
        <v>17</v>
      </c>
      <c r="G1" s="179"/>
      <c r="H1" s="179"/>
      <c r="I1" s="179" t="s">
        <v>46</v>
      </c>
      <c r="J1" s="179"/>
      <c r="K1" s="179"/>
      <c r="L1" s="179" t="s">
        <v>48</v>
      </c>
      <c r="M1" s="179"/>
      <c r="N1" s="179"/>
      <c r="O1" s="179" t="s">
        <v>49</v>
      </c>
      <c r="P1" s="179"/>
      <c r="Q1" s="179"/>
    </row>
    <row r="2" spans="1:17" x14ac:dyDescent="0.25">
      <c r="A2" s="14" t="s">
        <v>6</v>
      </c>
      <c r="B2" s="14" t="s">
        <v>45</v>
      </c>
      <c r="C2" s="14" t="s">
        <v>3</v>
      </c>
      <c r="D2" s="14" t="s">
        <v>4</v>
      </c>
      <c r="E2" s="14" t="s">
        <v>5</v>
      </c>
      <c r="F2" s="14" t="s">
        <v>3</v>
      </c>
      <c r="G2" s="14" t="s">
        <v>4</v>
      </c>
      <c r="H2" s="14" t="s">
        <v>5</v>
      </c>
      <c r="I2" s="14" t="s">
        <v>3</v>
      </c>
      <c r="J2" s="14" t="s">
        <v>4</v>
      </c>
      <c r="K2" s="14" t="s">
        <v>5</v>
      </c>
      <c r="L2" s="14" t="s">
        <v>3</v>
      </c>
      <c r="M2" s="14" t="s">
        <v>4</v>
      </c>
      <c r="N2" s="14" t="s">
        <v>5</v>
      </c>
      <c r="O2" s="44" t="s">
        <v>3</v>
      </c>
      <c r="P2" s="44" t="s">
        <v>4</v>
      </c>
      <c r="Q2" s="44" t="s">
        <v>5</v>
      </c>
    </row>
    <row r="3" spans="1:17" ht="45" x14ac:dyDescent="0.25">
      <c r="A3" s="7" t="s">
        <v>13</v>
      </c>
      <c r="B3" s="19">
        <v>42249000</v>
      </c>
      <c r="C3" s="17">
        <v>60802762</v>
      </c>
      <c r="D3" s="17">
        <f>C3*19%</f>
        <v>11552524.779999999</v>
      </c>
      <c r="E3" s="19">
        <f>C3+D3</f>
        <v>72355286.780000001</v>
      </c>
      <c r="F3" s="17">
        <v>65714286</v>
      </c>
      <c r="G3" s="17">
        <f>F3*19%</f>
        <v>12485714.34</v>
      </c>
      <c r="H3" s="19">
        <f>F3+G3</f>
        <v>78200000.340000004</v>
      </c>
      <c r="I3" s="17">
        <v>42930473</v>
      </c>
      <c r="J3" s="17">
        <f>I3*19%</f>
        <v>8156789.8700000001</v>
      </c>
      <c r="K3" s="19">
        <f>I3+J3</f>
        <v>51087262.869999997</v>
      </c>
      <c r="L3" s="17">
        <v>56000000</v>
      </c>
      <c r="M3" s="17">
        <f>L3*19%</f>
        <v>10640000</v>
      </c>
      <c r="N3" s="19">
        <f>L3+M3</f>
        <v>66640000</v>
      </c>
      <c r="O3" s="45">
        <v>57000000</v>
      </c>
      <c r="P3" s="45">
        <f>O3*19%</f>
        <v>10830000</v>
      </c>
      <c r="Q3" s="19">
        <f>O3+P3</f>
        <v>67830000</v>
      </c>
    </row>
    <row r="4" spans="1:17" ht="30" customHeight="1" x14ac:dyDescent="0.25">
      <c r="A4" s="162" t="s">
        <v>20</v>
      </c>
      <c r="B4" s="162"/>
      <c r="C4" s="188">
        <f>AVERAGE(E3,H3,B3,K3,N3)-_xlfn.STDEV.S(E3,H3,B3,K3,N3,Q3)</f>
        <v>48485477.265737914</v>
      </c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</row>
    <row r="5" spans="1:17" x14ac:dyDescent="0.25">
      <c r="A5" s="162" t="s">
        <v>19</v>
      </c>
      <c r="B5" s="162"/>
      <c r="C5" s="184">
        <v>5</v>
      </c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</row>
    <row r="6" spans="1:17" x14ac:dyDescent="0.25">
      <c r="A6" s="183" t="s">
        <v>21</v>
      </c>
      <c r="B6" s="183"/>
      <c r="C6" s="200">
        <f>C4*C5</f>
        <v>242427386.32868958</v>
      </c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7" s="29" customFormat="1" x14ac:dyDescent="0.25">
      <c r="A7" s="28"/>
      <c r="I7" s="30"/>
    </row>
    <row r="8" spans="1:17" x14ac:dyDescent="0.25">
      <c r="A8" s="27" t="s">
        <v>15</v>
      </c>
      <c r="B8" s="27" t="s">
        <v>44</v>
      </c>
      <c r="C8" s="182" t="s">
        <v>16</v>
      </c>
      <c r="D8" s="182"/>
      <c r="E8" s="182"/>
      <c r="F8" s="182" t="s">
        <v>17</v>
      </c>
      <c r="G8" s="182"/>
      <c r="H8" s="182"/>
      <c r="I8" s="182" t="s">
        <v>46</v>
      </c>
      <c r="J8" s="182"/>
      <c r="K8" s="182"/>
      <c r="L8" s="182" t="s">
        <v>48</v>
      </c>
      <c r="M8" s="182"/>
      <c r="N8" s="182"/>
      <c r="O8" s="179" t="s">
        <v>49</v>
      </c>
      <c r="P8" s="179"/>
      <c r="Q8" s="179"/>
    </row>
    <row r="9" spans="1:17" x14ac:dyDescent="0.25">
      <c r="A9" s="14" t="s">
        <v>22</v>
      </c>
      <c r="B9" s="14" t="s">
        <v>45</v>
      </c>
      <c r="C9" s="14" t="s">
        <v>3</v>
      </c>
      <c r="D9" s="14" t="s">
        <v>4</v>
      </c>
      <c r="E9" s="14" t="s">
        <v>5</v>
      </c>
      <c r="F9" s="14" t="s">
        <v>3</v>
      </c>
      <c r="G9" s="14" t="s">
        <v>4</v>
      </c>
      <c r="H9" s="14" t="s">
        <v>5</v>
      </c>
      <c r="I9" s="14" t="s">
        <v>3</v>
      </c>
      <c r="J9" s="14" t="s">
        <v>4</v>
      </c>
      <c r="K9" s="14" t="s">
        <v>5</v>
      </c>
      <c r="L9" s="14" t="s">
        <v>3</v>
      </c>
      <c r="M9" s="14" t="s">
        <v>4</v>
      </c>
      <c r="N9" s="14" t="s">
        <v>5</v>
      </c>
      <c r="O9" s="44" t="s">
        <v>3</v>
      </c>
      <c r="P9" s="44" t="s">
        <v>4</v>
      </c>
      <c r="Q9" s="44" t="s">
        <v>5</v>
      </c>
    </row>
    <row r="10" spans="1:17" ht="60" x14ac:dyDescent="0.25">
      <c r="A10" s="2" t="s">
        <v>23</v>
      </c>
      <c r="B10" s="25">
        <v>104</v>
      </c>
      <c r="C10" s="21">
        <v>1529</v>
      </c>
      <c r="D10" s="20">
        <f>C10*19%</f>
        <v>290.51</v>
      </c>
      <c r="E10" s="9">
        <f>C10+D10</f>
        <v>1819.51</v>
      </c>
      <c r="F10" s="21">
        <v>109</v>
      </c>
      <c r="G10" s="20">
        <f>F10*19%</f>
        <v>20.71</v>
      </c>
      <c r="H10" s="9">
        <f>F10+G10</f>
        <v>129.71</v>
      </c>
      <c r="I10" s="20">
        <v>166</v>
      </c>
      <c r="J10" s="20">
        <f>I10*19%</f>
        <v>31.54</v>
      </c>
      <c r="K10" s="9">
        <f>I10+J10</f>
        <v>197.54</v>
      </c>
      <c r="L10" s="20">
        <v>97</v>
      </c>
      <c r="M10" s="20">
        <f>L10*19%</f>
        <v>18.43</v>
      </c>
      <c r="N10" s="9">
        <f>L10+M10</f>
        <v>115.43</v>
      </c>
      <c r="O10" s="20">
        <v>105</v>
      </c>
      <c r="P10" s="20">
        <f>O10*19%</f>
        <v>19.95</v>
      </c>
      <c r="Q10" s="9">
        <f>O10+P10</f>
        <v>124.95</v>
      </c>
    </row>
    <row r="11" spans="1:17" ht="30" customHeight="1" x14ac:dyDescent="0.25">
      <c r="A11" s="169" t="s">
        <v>24</v>
      </c>
      <c r="B11" s="169"/>
      <c r="C11" s="188">
        <f>AVERAGE(E10,H10,B10,K10,N10)-_xlfn.STDEV.S(E10,H10,B10,K10,N10,Q10)</f>
        <v>-215.51733342399604</v>
      </c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</row>
    <row r="12" spans="1:17" x14ac:dyDescent="0.25">
      <c r="A12" s="169" t="s">
        <v>25</v>
      </c>
      <c r="B12" s="169"/>
      <c r="C12" s="184">
        <v>14300</v>
      </c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</row>
    <row r="13" spans="1:17" x14ac:dyDescent="0.25">
      <c r="A13" s="169" t="s">
        <v>19</v>
      </c>
      <c r="B13" s="169"/>
      <c r="C13" s="184">
        <v>5</v>
      </c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</row>
    <row r="14" spans="1:17" x14ac:dyDescent="0.25">
      <c r="A14" s="183" t="s">
        <v>21</v>
      </c>
      <c r="B14" s="183"/>
      <c r="C14" s="186">
        <f>C12*C11*C13</f>
        <v>-15409489.339815715</v>
      </c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</row>
    <row r="15" spans="1:17" x14ac:dyDescent="0.25">
      <c r="A15" s="31"/>
      <c r="B15" s="32"/>
      <c r="C15" s="33"/>
      <c r="D15" s="33"/>
      <c r="E15" s="33"/>
      <c r="F15" s="33"/>
      <c r="G15" s="33"/>
      <c r="H15" s="33"/>
      <c r="I15" s="34"/>
      <c r="J15" s="34"/>
      <c r="K15" s="34"/>
      <c r="L15" s="34"/>
      <c r="M15" s="34"/>
      <c r="N15" s="35"/>
    </row>
    <row r="16" spans="1:17" x14ac:dyDescent="0.25">
      <c r="A16" s="36"/>
      <c r="B16" s="11"/>
      <c r="C16" s="12"/>
      <c r="D16" s="12"/>
      <c r="E16" s="12"/>
      <c r="F16" s="12"/>
      <c r="G16" s="12"/>
      <c r="H16" s="12"/>
      <c r="I16" s="6"/>
      <c r="J16" s="6"/>
      <c r="K16" s="6"/>
      <c r="L16" s="6"/>
      <c r="M16" s="6"/>
      <c r="N16" s="37"/>
    </row>
    <row r="17" spans="1:17" x14ac:dyDescent="0.25">
      <c r="A17" s="38"/>
      <c r="B17" s="39"/>
      <c r="C17" s="40"/>
      <c r="D17" s="40"/>
      <c r="E17" s="40"/>
      <c r="F17" s="40"/>
      <c r="G17" s="40"/>
      <c r="H17" s="40"/>
      <c r="I17" s="41"/>
      <c r="J17" s="41"/>
      <c r="K17" s="41"/>
      <c r="L17" s="41"/>
      <c r="M17" s="41"/>
      <c r="N17" s="42"/>
    </row>
    <row r="18" spans="1:17" s="10" customFormat="1" x14ac:dyDescent="0.25">
      <c r="A18" s="27" t="s">
        <v>15</v>
      </c>
      <c r="B18" s="27" t="s">
        <v>44</v>
      </c>
      <c r="C18" s="182" t="s">
        <v>16</v>
      </c>
      <c r="D18" s="182"/>
      <c r="E18" s="182"/>
      <c r="F18" s="182" t="s">
        <v>17</v>
      </c>
      <c r="G18" s="182"/>
      <c r="H18" s="182"/>
      <c r="I18" s="182" t="s">
        <v>46</v>
      </c>
      <c r="J18" s="182"/>
      <c r="K18" s="182"/>
      <c r="L18" s="182" t="s">
        <v>48</v>
      </c>
      <c r="M18" s="182"/>
      <c r="N18" s="182"/>
      <c r="O18" s="179" t="s">
        <v>49</v>
      </c>
      <c r="P18" s="179"/>
      <c r="Q18" s="179"/>
    </row>
    <row r="19" spans="1:17" x14ac:dyDescent="0.25">
      <c r="A19" s="14" t="s">
        <v>27</v>
      </c>
      <c r="B19" s="14" t="s">
        <v>45</v>
      </c>
      <c r="C19" s="14" t="s">
        <v>3</v>
      </c>
      <c r="D19" s="14" t="s">
        <v>4</v>
      </c>
      <c r="E19" s="14" t="s">
        <v>5</v>
      </c>
      <c r="F19" s="14" t="s">
        <v>3</v>
      </c>
      <c r="G19" s="14" t="s">
        <v>4</v>
      </c>
      <c r="H19" s="14" t="s">
        <v>5</v>
      </c>
      <c r="I19" s="14" t="s">
        <v>3</v>
      </c>
      <c r="J19" s="14" t="s">
        <v>4</v>
      </c>
      <c r="K19" s="14" t="s">
        <v>5</v>
      </c>
      <c r="L19" s="14" t="s">
        <v>3</v>
      </c>
      <c r="M19" s="14" t="s">
        <v>4</v>
      </c>
      <c r="N19" s="14" t="s">
        <v>5</v>
      </c>
      <c r="O19" s="44" t="s">
        <v>3</v>
      </c>
      <c r="P19" s="44" t="s">
        <v>4</v>
      </c>
      <c r="Q19" s="44" t="s">
        <v>5</v>
      </c>
    </row>
    <row r="20" spans="1:17" x14ac:dyDescent="0.25">
      <c r="A20" s="190" t="s">
        <v>7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</row>
    <row r="21" spans="1:17" ht="16.5" x14ac:dyDescent="0.25">
      <c r="A21" s="3" t="s">
        <v>0</v>
      </c>
      <c r="B21" s="5">
        <v>8330</v>
      </c>
      <c r="C21" s="22">
        <v>4400</v>
      </c>
      <c r="D21" s="5"/>
      <c r="E21" s="5">
        <f>C21</f>
        <v>4400</v>
      </c>
      <c r="F21" s="22">
        <v>4401</v>
      </c>
      <c r="G21" s="22">
        <f>F21*19%</f>
        <v>836.19</v>
      </c>
      <c r="H21" s="5">
        <f>F21+G21</f>
        <v>5237.1900000000005</v>
      </c>
      <c r="I21" s="22">
        <v>4720</v>
      </c>
      <c r="J21" s="22">
        <f>I21*19%</f>
        <v>896.8</v>
      </c>
      <c r="K21" s="5">
        <f>I21+J21</f>
        <v>5616.8</v>
      </c>
      <c r="L21" s="22">
        <v>4500</v>
      </c>
      <c r="M21" s="22">
        <f>L21*19%</f>
        <v>855</v>
      </c>
      <c r="N21" s="5">
        <f>L21+M21</f>
        <v>5355</v>
      </c>
      <c r="O21" s="22">
        <v>5500</v>
      </c>
      <c r="P21" s="22">
        <f>O21*19%</f>
        <v>1045</v>
      </c>
      <c r="Q21" s="5">
        <f>O21+P21</f>
        <v>6545</v>
      </c>
    </row>
    <row r="22" spans="1:17" ht="16.5" x14ac:dyDescent="0.25">
      <c r="A22" s="4" t="s">
        <v>1</v>
      </c>
      <c r="B22" s="5">
        <v>8330</v>
      </c>
      <c r="C22" s="22">
        <v>9800</v>
      </c>
      <c r="D22" s="5"/>
      <c r="E22" s="5">
        <f>C22</f>
        <v>9800</v>
      </c>
      <c r="F22" s="22">
        <v>6914</v>
      </c>
      <c r="G22" s="22">
        <f>F22*19%</f>
        <v>1313.66</v>
      </c>
      <c r="H22" s="5">
        <f>F22+G22</f>
        <v>8227.66</v>
      </c>
      <c r="I22" s="22">
        <v>6905</v>
      </c>
      <c r="J22" s="22">
        <f>I22*19%</f>
        <v>1311.95</v>
      </c>
      <c r="K22" s="5">
        <f>I22+J22</f>
        <v>8216.9500000000007</v>
      </c>
      <c r="L22" s="22">
        <v>6800</v>
      </c>
      <c r="M22" s="22">
        <f>L22*19%</f>
        <v>1292</v>
      </c>
      <c r="N22" s="5">
        <f>L22+M22</f>
        <v>8092</v>
      </c>
      <c r="O22" s="22">
        <v>6900</v>
      </c>
      <c r="P22" s="22">
        <f>O22*19%</f>
        <v>1311</v>
      </c>
      <c r="Q22" s="5">
        <f>O22+P22</f>
        <v>8211</v>
      </c>
    </row>
    <row r="23" spans="1:17" ht="16.5" x14ac:dyDescent="0.25">
      <c r="A23" s="4" t="s">
        <v>2</v>
      </c>
      <c r="B23" s="5">
        <v>8330</v>
      </c>
      <c r="C23" s="22">
        <v>18900</v>
      </c>
      <c r="D23" s="5"/>
      <c r="E23" s="5">
        <f>C23</f>
        <v>18900</v>
      </c>
      <c r="F23" s="22">
        <v>13944</v>
      </c>
      <c r="G23" s="22">
        <f>F23*19%</f>
        <v>2649.36</v>
      </c>
      <c r="H23" s="5">
        <f>F23+G23</f>
        <v>16593.36</v>
      </c>
      <c r="I23" s="22">
        <v>11377</v>
      </c>
      <c r="J23" s="22">
        <f>I23*19%</f>
        <v>2161.63</v>
      </c>
      <c r="K23" s="5">
        <f>I23+J23</f>
        <v>13538.630000000001</v>
      </c>
      <c r="L23" s="22">
        <v>11900</v>
      </c>
      <c r="M23" s="22">
        <f>L23*19%</f>
        <v>2261</v>
      </c>
      <c r="N23" s="5">
        <f>L23+M23</f>
        <v>14161</v>
      </c>
      <c r="O23" s="22">
        <v>25200</v>
      </c>
      <c r="P23" s="22">
        <f>O23*19%</f>
        <v>4788</v>
      </c>
      <c r="Q23" s="5">
        <f>O23+P23</f>
        <v>29988</v>
      </c>
    </row>
    <row r="24" spans="1:17" x14ac:dyDescent="0.25">
      <c r="A24" s="190" t="s">
        <v>8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</row>
    <row r="25" spans="1:17" x14ac:dyDescent="0.25">
      <c r="A25" s="14"/>
      <c r="B25" s="14" t="s">
        <v>44</v>
      </c>
      <c r="C25" s="14" t="s">
        <v>11</v>
      </c>
      <c r="D25" s="14" t="s">
        <v>4</v>
      </c>
      <c r="E25" s="14" t="s">
        <v>12</v>
      </c>
      <c r="F25" s="14" t="s">
        <v>11</v>
      </c>
      <c r="G25" s="14" t="s">
        <v>4</v>
      </c>
      <c r="H25" s="14" t="s">
        <v>12</v>
      </c>
      <c r="I25" s="14" t="s">
        <v>11</v>
      </c>
      <c r="J25" s="14" t="s">
        <v>4</v>
      </c>
      <c r="K25" s="14" t="s">
        <v>12</v>
      </c>
      <c r="L25" s="14" t="s">
        <v>11</v>
      </c>
      <c r="M25" s="14" t="s">
        <v>4</v>
      </c>
      <c r="N25" s="14" t="s">
        <v>12</v>
      </c>
      <c r="O25" s="44" t="s">
        <v>11</v>
      </c>
      <c r="P25" s="44" t="s">
        <v>4</v>
      </c>
      <c r="Q25" s="44" t="s">
        <v>12</v>
      </c>
    </row>
    <row r="26" spans="1:17" x14ac:dyDescent="0.25">
      <c r="A26" s="1" t="s">
        <v>9</v>
      </c>
      <c r="B26" s="16">
        <v>1142</v>
      </c>
      <c r="C26" s="22">
        <v>1500</v>
      </c>
      <c r="D26" s="22">
        <f>C26*19%</f>
        <v>285</v>
      </c>
      <c r="E26" s="5">
        <f>C26+D26</f>
        <v>1785</v>
      </c>
      <c r="F26" s="22">
        <v>7145</v>
      </c>
      <c r="G26" s="22">
        <f>F26*19%</f>
        <v>1357.55</v>
      </c>
      <c r="H26" s="5">
        <f>F26+G26</f>
        <v>8502.5499999999993</v>
      </c>
      <c r="I26" s="23">
        <v>2818</v>
      </c>
      <c r="J26" s="24">
        <f>I26*19%</f>
        <v>535.41999999999996</v>
      </c>
      <c r="K26" s="18">
        <f>I26+J26</f>
        <v>3353.42</v>
      </c>
      <c r="L26" s="23">
        <v>6213</v>
      </c>
      <c r="M26" s="24">
        <f>L26*19%</f>
        <v>1180.47</v>
      </c>
      <c r="N26" s="18">
        <f>L26+M26</f>
        <v>7393.47</v>
      </c>
      <c r="O26" s="23">
        <v>6123</v>
      </c>
      <c r="P26" s="24">
        <f>O26*19%</f>
        <v>1163.3700000000001</v>
      </c>
      <c r="Q26" s="18">
        <f>O26+P26</f>
        <v>7286.37</v>
      </c>
    </row>
    <row r="27" spans="1:17" x14ac:dyDescent="0.25">
      <c r="A27" s="190" t="s">
        <v>10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</row>
    <row r="28" spans="1:17" x14ac:dyDescent="0.25">
      <c r="A28" s="14"/>
      <c r="B28" s="14"/>
      <c r="C28" s="14" t="s">
        <v>11</v>
      </c>
      <c r="D28" s="14" t="s">
        <v>4</v>
      </c>
      <c r="E28" s="14" t="s">
        <v>12</v>
      </c>
      <c r="F28" s="14" t="s">
        <v>11</v>
      </c>
      <c r="G28" s="14" t="s">
        <v>4</v>
      </c>
      <c r="H28" s="14" t="s">
        <v>12</v>
      </c>
      <c r="I28" s="14" t="s">
        <v>11</v>
      </c>
      <c r="J28" s="14" t="s">
        <v>4</v>
      </c>
      <c r="K28" s="14" t="s">
        <v>12</v>
      </c>
      <c r="L28" s="14" t="s">
        <v>11</v>
      </c>
      <c r="M28" s="14" t="s">
        <v>4</v>
      </c>
      <c r="N28" s="14" t="s">
        <v>12</v>
      </c>
      <c r="O28" s="44" t="s">
        <v>11</v>
      </c>
      <c r="P28" s="44" t="s">
        <v>4</v>
      </c>
      <c r="Q28" s="44" t="s">
        <v>12</v>
      </c>
    </row>
    <row r="29" spans="1:17" x14ac:dyDescent="0.25">
      <c r="A29" s="1" t="s">
        <v>47</v>
      </c>
      <c r="B29" s="16">
        <f>2647790*2</f>
        <v>5295580</v>
      </c>
      <c r="C29" s="22">
        <f>3268333*2</f>
        <v>6536666</v>
      </c>
      <c r="D29" s="22">
        <f>C29*19%</f>
        <v>1241966.54</v>
      </c>
      <c r="E29" s="5">
        <f>C29+D29</f>
        <v>7778632.54</v>
      </c>
      <c r="F29" s="22">
        <f>3725212*2</f>
        <v>7450424</v>
      </c>
      <c r="G29" s="22">
        <f>F29*19%</f>
        <v>1415580.56</v>
      </c>
      <c r="H29" s="5">
        <f>F29+G29</f>
        <v>8866004.5600000005</v>
      </c>
      <c r="I29" s="23">
        <v>3664465</v>
      </c>
      <c r="J29" s="24">
        <f>I29*19%</f>
        <v>696248.35</v>
      </c>
      <c r="K29" s="18">
        <f>I29+J29</f>
        <v>4360713.3499999996</v>
      </c>
      <c r="L29" s="23">
        <v>3725212</v>
      </c>
      <c r="M29" s="24">
        <f>L29*19%</f>
        <v>707790.28</v>
      </c>
      <c r="N29" s="18">
        <f>L29+M29</f>
        <v>4433002.28</v>
      </c>
      <c r="O29" s="23">
        <v>4500000</v>
      </c>
      <c r="P29" s="24">
        <f>O29*19%</f>
        <v>855000</v>
      </c>
      <c r="Q29" s="18">
        <f>O29+P29</f>
        <v>5355000</v>
      </c>
    </row>
    <row r="30" spans="1:17" x14ac:dyDescent="0.25">
      <c r="A30" s="170" t="s">
        <v>37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</row>
    <row r="31" spans="1:17" x14ac:dyDescent="0.25">
      <c r="A31" s="170" t="s">
        <v>28</v>
      </c>
      <c r="B31" s="170"/>
      <c r="C31" s="195">
        <f>AVERAGE(B29,E29,H29,K29,N29,Q29)-_xlfn.STDEV.S(B29,E29,H29,K29,N29,Q29)</f>
        <v>4147676.0218503308</v>
      </c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</row>
    <row r="32" spans="1:17" x14ac:dyDescent="0.25">
      <c r="A32" s="170" t="s">
        <v>30</v>
      </c>
      <c r="B32" s="170"/>
      <c r="C32" s="195">
        <f>AVERAGE(B21,E21,H21,K21,N21,Q21)-_xlfn.STDEV.S(B21,E21,H21,K21,N21,Q21)</f>
        <v>4543.8674187063198</v>
      </c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</row>
    <row r="33" spans="1:17" x14ac:dyDescent="0.25">
      <c r="A33" s="170" t="s">
        <v>31</v>
      </c>
      <c r="B33" s="170"/>
      <c r="C33" s="195">
        <f>AVERAGE(B22,E22,H22,K22,N22,Q22)-_xlfn.STDEV.S(B22,E22,H22,K22,N22,Q22)</f>
        <v>7828.345215476611</v>
      </c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</row>
    <row r="34" spans="1:17" x14ac:dyDescent="0.25">
      <c r="A34" s="170" t="s">
        <v>32</v>
      </c>
      <c r="B34" s="170"/>
      <c r="C34" s="195">
        <f>AVERAGE(B23,E23,H23,K23,N23,Q23)-_xlfn.STDEV.S(B23,E23,H23,K23,N23,Q23)</f>
        <v>9602.3033080967434</v>
      </c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</row>
    <row r="35" spans="1:17" x14ac:dyDescent="0.25">
      <c r="A35" s="170" t="s">
        <v>29</v>
      </c>
      <c r="B35" s="170"/>
      <c r="C35" s="195">
        <f>AVERAGE(B26,E26,H26,K26,N26,Q26)-_xlfn.STDEV.S(B26,E26,H26,K26,N26,Q26)</f>
        <v>1713.3583226929936</v>
      </c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</row>
    <row r="36" spans="1:17" x14ac:dyDescent="0.25">
      <c r="A36" s="170" t="s">
        <v>33</v>
      </c>
      <c r="B36" s="170"/>
      <c r="C36" s="195">
        <v>240</v>
      </c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</row>
    <row r="37" spans="1:17" x14ac:dyDescent="0.25">
      <c r="A37" s="170" t="s">
        <v>34</v>
      </c>
      <c r="B37" s="170"/>
      <c r="C37" s="195">
        <v>110</v>
      </c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</row>
    <row r="38" spans="1:17" x14ac:dyDescent="0.25">
      <c r="A38" s="170" t="s">
        <v>35</v>
      </c>
      <c r="B38" s="170"/>
      <c r="C38" s="195">
        <v>72</v>
      </c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</row>
    <row r="39" spans="1:17" x14ac:dyDescent="0.25">
      <c r="A39" s="170" t="s">
        <v>36</v>
      </c>
      <c r="B39" s="170"/>
      <c r="C39" s="195">
        <v>690</v>
      </c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</row>
    <row r="40" spans="1:17" x14ac:dyDescent="0.25">
      <c r="A40" s="176" t="s">
        <v>18</v>
      </c>
      <c r="B40" s="177"/>
      <c r="C40" s="198">
        <v>5</v>
      </c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</row>
    <row r="41" spans="1:17" x14ac:dyDescent="0.25">
      <c r="A41" s="170" t="s">
        <v>38</v>
      </c>
      <c r="B41" s="170"/>
      <c r="C41" s="195">
        <f>C40*C31</f>
        <v>20738380.109251656</v>
      </c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</row>
    <row r="42" spans="1:17" x14ac:dyDescent="0.25">
      <c r="A42" s="170" t="s">
        <v>39</v>
      </c>
      <c r="B42" s="170"/>
      <c r="C42" s="195">
        <f>(C32*C36)*5</f>
        <v>5452640.9024475841</v>
      </c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</row>
    <row r="43" spans="1:17" x14ac:dyDescent="0.25">
      <c r="A43" s="170" t="s">
        <v>40</v>
      </c>
      <c r="B43" s="170"/>
      <c r="C43" s="195">
        <f>(C33*C37)*5</f>
        <v>4305589.8685121359</v>
      </c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</row>
    <row r="44" spans="1:17" x14ac:dyDescent="0.25">
      <c r="A44" s="170" t="s">
        <v>41</v>
      </c>
      <c r="B44" s="170"/>
      <c r="C44" s="195">
        <f>(C34*C38)*5</f>
        <v>3456829.1909148274</v>
      </c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</row>
    <row r="45" spans="1:17" x14ac:dyDescent="0.25">
      <c r="A45" s="170" t="s">
        <v>42</v>
      </c>
      <c r="B45" s="170"/>
      <c r="C45" s="195">
        <f>(C35*C39)*5</f>
        <v>5911086.2132908273</v>
      </c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</row>
    <row r="46" spans="1:17" x14ac:dyDescent="0.25">
      <c r="A46" s="170" t="s">
        <v>43</v>
      </c>
      <c r="B46" s="170"/>
      <c r="C46" s="195">
        <f>SUM(C41:H45)</f>
        <v>39864526.284417026</v>
      </c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</row>
    <row r="47" spans="1:17" x14ac:dyDescent="0.25">
      <c r="A47" s="176" t="s">
        <v>15</v>
      </c>
      <c r="B47" s="177"/>
      <c r="C47" s="179" t="s">
        <v>16</v>
      </c>
      <c r="D47" s="179"/>
      <c r="E47" s="179"/>
      <c r="F47" s="179" t="s">
        <v>17</v>
      </c>
      <c r="G47" s="179"/>
      <c r="H47" s="179"/>
      <c r="I47" s="179" t="s">
        <v>46</v>
      </c>
      <c r="J47" s="179"/>
      <c r="K47" s="179"/>
      <c r="L47" s="179" t="s">
        <v>48</v>
      </c>
      <c r="M47" s="179"/>
      <c r="N47" s="179"/>
      <c r="O47" s="197" t="s">
        <v>49</v>
      </c>
      <c r="P47" s="197"/>
      <c r="Q47" s="197"/>
    </row>
    <row r="48" spans="1:17" x14ac:dyDescent="0.25">
      <c r="A48" s="176" t="s">
        <v>26</v>
      </c>
      <c r="B48" s="177"/>
      <c r="C48" s="14" t="s">
        <v>3</v>
      </c>
      <c r="D48" s="14" t="s">
        <v>4</v>
      </c>
      <c r="E48" s="14" t="s">
        <v>5</v>
      </c>
      <c r="F48" s="14" t="s">
        <v>3</v>
      </c>
      <c r="G48" s="14" t="s">
        <v>4</v>
      </c>
      <c r="H48" s="14" t="s">
        <v>5</v>
      </c>
      <c r="I48" s="14" t="s">
        <v>3</v>
      </c>
      <c r="J48" s="14" t="s">
        <v>4</v>
      </c>
      <c r="K48" s="14" t="s">
        <v>5</v>
      </c>
      <c r="L48" s="14" t="s">
        <v>3</v>
      </c>
      <c r="M48" s="14" t="s">
        <v>4</v>
      </c>
      <c r="N48" s="14" t="s">
        <v>5</v>
      </c>
      <c r="O48" s="44" t="s">
        <v>3</v>
      </c>
      <c r="P48" s="44" t="s">
        <v>4</v>
      </c>
      <c r="Q48" s="44" t="s">
        <v>5</v>
      </c>
    </row>
    <row r="49" spans="1:17" ht="30" customHeight="1" x14ac:dyDescent="0.25">
      <c r="A49" s="178" t="s">
        <v>14</v>
      </c>
      <c r="B49" s="178"/>
      <c r="C49" s="22">
        <v>12514238</v>
      </c>
      <c r="D49" s="22">
        <f>C49*19%</f>
        <v>2377705.2200000002</v>
      </c>
      <c r="E49" s="5">
        <f>C49+D49</f>
        <v>14891943.220000001</v>
      </c>
      <c r="F49" s="22">
        <v>13800000</v>
      </c>
      <c r="G49" s="22">
        <f>F49*19%</f>
        <v>2622000</v>
      </c>
      <c r="H49" s="5">
        <f>F49+G49</f>
        <v>16422000</v>
      </c>
      <c r="I49" s="22">
        <v>1398150</v>
      </c>
      <c r="J49" s="22">
        <f>I49*19%</f>
        <v>265648.5</v>
      </c>
      <c r="K49" s="5">
        <f>I49+J49</f>
        <v>1663798.5</v>
      </c>
      <c r="L49" s="22">
        <v>11568000</v>
      </c>
      <c r="M49" s="22">
        <f>L49*19%</f>
        <v>2197920</v>
      </c>
      <c r="N49" s="5">
        <f>L49+M49</f>
        <v>13765920</v>
      </c>
      <c r="O49" s="22">
        <v>9500000</v>
      </c>
      <c r="P49" s="22">
        <f>O49*19%</f>
        <v>1805000</v>
      </c>
      <c r="Q49" s="5">
        <f>O49+P49</f>
        <v>11305000</v>
      </c>
    </row>
    <row r="50" spans="1:17" ht="30" customHeight="1" x14ac:dyDescent="0.25">
      <c r="A50" s="169" t="s">
        <v>20</v>
      </c>
      <c r="B50" s="169"/>
      <c r="C50" s="188">
        <f>AVERAGE(E49,H49,K49,N49,Q49)-_xlfn.STDEV.S(E49,H49,K49,N49,Q49)</f>
        <v>5744699.6231597401</v>
      </c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</row>
    <row r="51" spans="1:17" x14ac:dyDescent="0.25">
      <c r="A51" s="169" t="s">
        <v>19</v>
      </c>
      <c r="B51" s="169"/>
      <c r="C51" s="184">
        <v>5</v>
      </c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</row>
    <row r="52" spans="1:17" x14ac:dyDescent="0.25">
      <c r="A52" s="8" t="s">
        <v>21</v>
      </c>
      <c r="B52" s="8"/>
      <c r="C52" s="186">
        <f>C50*C51</f>
        <v>28723498.115798701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</row>
    <row r="53" spans="1:17" x14ac:dyDescent="0.25">
      <c r="O53" s="43"/>
      <c r="P53" s="43"/>
    </row>
  </sheetData>
  <mergeCells count="78">
    <mergeCell ref="C50:Q50"/>
    <mergeCell ref="C51:Q51"/>
    <mergeCell ref="C52:Q52"/>
    <mergeCell ref="O1:Q1"/>
    <mergeCell ref="C4:Q4"/>
    <mergeCell ref="C5:Q5"/>
    <mergeCell ref="C6:Q6"/>
    <mergeCell ref="O8:Q8"/>
    <mergeCell ref="C44:Q44"/>
    <mergeCell ref="C45:Q45"/>
    <mergeCell ref="C46:Q46"/>
    <mergeCell ref="A30:N30"/>
    <mergeCell ref="A31:B31"/>
    <mergeCell ref="A20:Q20"/>
    <mergeCell ref="A24:Q24"/>
    <mergeCell ref="C47:E47"/>
    <mergeCell ref="F47:H47"/>
    <mergeCell ref="I47:K47"/>
    <mergeCell ref="L47:N47"/>
    <mergeCell ref="O47:Q47"/>
    <mergeCell ref="A48:B48"/>
    <mergeCell ref="A49:B49"/>
    <mergeCell ref="A50:B50"/>
    <mergeCell ref="A51:B51"/>
    <mergeCell ref="A44:B44"/>
    <mergeCell ref="A45:B45"/>
    <mergeCell ref="A46:B46"/>
    <mergeCell ref="A47:B47"/>
    <mergeCell ref="A41:B41"/>
    <mergeCell ref="A42:B42"/>
    <mergeCell ref="A43:B43"/>
    <mergeCell ref="C41:Q41"/>
    <mergeCell ref="C42:Q42"/>
    <mergeCell ref="C43:Q43"/>
    <mergeCell ref="A38:B38"/>
    <mergeCell ref="A39:B39"/>
    <mergeCell ref="A40:B40"/>
    <mergeCell ref="C38:Q38"/>
    <mergeCell ref="C39:Q39"/>
    <mergeCell ref="C40:Q40"/>
    <mergeCell ref="A35:B35"/>
    <mergeCell ref="A36:B36"/>
    <mergeCell ref="A37:B37"/>
    <mergeCell ref="C35:Q35"/>
    <mergeCell ref="C36:Q36"/>
    <mergeCell ref="C37:Q37"/>
    <mergeCell ref="A32:B32"/>
    <mergeCell ref="A33:B33"/>
    <mergeCell ref="A34:B34"/>
    <mergeCell ref="C32:Q32"/>
    <mergeCell ref="C33:Q33"/>
    <mergeCell ref="C34:Q34"/>
    <mergeCell ref="A27:Q27"/>
    <mergeCell ref="C31:Q31"/>
    <mergeCell ref="A14:B14"/>
    <mergeCell ref="C18:E18"/>
    <mergeCell ref="F18:H18"/>
    <mergeCell ref="I18:K18"/>
    <mergeCell ref="L18:N18"/>
    <mergeCell ref="C14:Q14"/>
    <mergeCell ref="O18:Q18"/>
    <mergeCell ref="A11:B11"/>
    <mergeCell ref="A12:B12"/>
    <mergeCell ref="A13:B13"/>
    <mergeCell ref="C11:Q11"/>
    <mergeCell ref="C12:Q12"/>
    <mergeCell ref="C13:Q13"/>
    <mergeCell ref="A4:B4"/>
    <mergeCell ref="L8:N8"/>
    <mergeCell ref="C1:E1"/>
    <mergeCell ref="F1:H1"/>
    <mergeCell ref="I1:K1"/>
    <mergeCell ref="L1:N1"/>
    <mergeCell ref="A5:B5"/>
    <mergeCell ref="A6:B6"/>
    <mergeCell ref="C8:E8"/>
    <mergeCell ref="F8:H8"/>
    <mergeCell ref="I8:K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7"/>
  <sheetViews>
    <sheetView workbookViewId="0">
      <selection activeCell="L3" sqref="L3"/>
    </sheetView>
  </sheetViews>
  <sheetFormatPr baseColWidth="10" defaultRowHeight="15" x14ac:dyDescent="0.25"/>
  <cols>
    <col min="1" max="1" width="32.5703125" customWidth="1"/>
    <col min="5" max="5" width="12" bestFit="1" customWidth="1"/>
    <col min="6" max="6" width="15" customWidth="1"/>
    <col min="11" max="11" width="12.5703125" bestFit="1" customWidth="1"/>
    <col min="16" max="16" width="12.42578125" customWidth="1"/>
  </cols>
  <sheetData>
    <row r="1" spans="1:17" x14ac:dyDescent="0.25">
      <c r="A1" s="85" t="s">
        <v>15</v>
      </c>
      <c r="B1" s="202" t="s">
        <v>51</v>
      </c>
      <c r="C1" s="203"/>
      <c r="D1" s="203"/>
      <c r="E1" s="203"/>
      <c r="F1" s="204"/>
      <c r="G1" s="202" t="s">
        <v>50</v>
      </c>
      <c r="H1" s="203"/>
      <c r="I1" s="203"/>
      <c r="J1" s="203"/>
      <c r="K1" s="204"/>
      <c r="L1" s="205" t="s">
        <v>60</v>
      </c>
      <c r="M1" s="206"/>
      <c r="N1" s="206"/>
      <c r="O1" s="206"/>
      <c r="P1" s="207"/>
    </row>
    <row r="2" spans="1:17" ht="45" x14ac:dyDescent="0.25">
      <c r="A2" s="84" t="s">
        <v>56</v>
      </c>
      <c r="B2" s="84" t="s">
        <v>3</v>
      </c>
      <c r="C2" s="84" t="s">
        <v>4</v>
      </c>
      <c r="D2" s="84" t="s">
        <v>5</v>
      </c>
      <c r="E2" s="84" t="s">
        <v>61</v>
      </c>
      <c r="F2" s="84" t="s">
        <v>62</v>
      </c>
      <c r="G2" s="84" t="s">
        <v>3</v>
      </c>
      <c r="H2" s="84" t="s">
        <v>4</v>
      </c>
      <c r="I2" s="84" t="s">
        <v>5</v>
      </c>
      <c r="J2" s="84" t="s">
        <v>61</v>
      </c>
      <c r="K2" s="84" t="s">
        <v>62</v>
      </c>
      <c r="L2" s="84" t="s">
        <v>3</v>
      </c>
      <c r="M2" s="84" t="s">
        <v>4</v>
      </c>
      <c r="N2" s="84" t="s">
        <v>5</v>
      </c>
      <c r="O2" s="84" t="s">
        <v>61</v>
      </c>
      <c r="P2" s="84" t="s">
        <v>62</v>
      </c>
    </row>
    <row r="3" spans="1:17" ht="30" x14ac:dyDescent="0.25">
      <c r="A3" s="72" t="s">
        <v>74</v>
      </c>
      <c r="B3" s="89">
        <f>504202</f>
        <v>504202</v>
      </c>
      <c r="C3" s="89">
        <f>B3*19%</f>
        <v>95798.38</v>
      </c>
      <c r="D3" s="89">
        <f>B3+C3</f>
        <v>600000.38</v>
      </c>
      <c r="E3" s="94">
        <v>9</v>
      </c>
      <c r="F3" s="93">
        <f>D3*E3</f>
        <v>5400003.4199999999</v>
      </c>
      <c r="G3" s="80">
        <f>202440</f>
        <v>202440</v>
      </c>
      <c r="H3" s="81">
        <f>G3*19%</f>
        <v>38463.599999999999</v>
      </c>
      <c r="I3" s="81">
        <f>G3+H3</f>
        <v>240903.6</v>
      </c>
      <c r="J3" s="94">
        <v>9</v>
      </c>
      <c r="K3" s="93">
        <f>I3*J3</f>
        <v>2168132.4</v>
      </c>
      <c r="L3" s="80">
        <f>2400000</f>
        <v>2400000</v>
      </c>
      <c r="M3" s="83">
        <f>L3*19%</f>
        <v>456000</v>
      </c>
      <c r="N3" s="83">
        <f>L3+M3</f>
        <v>2856000</v>
      </c>
      <c r="O3" s="94">
        <v>9</v>
      </c>
      <c r="P3" s="93">
        <f>N3*O3</f>
        <v>25704000</v>
      </c>
      <c r="Q3" s="104"/>
    </row>
    <row r="4" spans="1:17" ht="30" x14ac:dyDescent="0.25">
      <c r="A4" s="72" t="s">
        <v>75</v>
      </c>
      <c r="B4" s="90">
        <f>1008403</f>
        <v>1008403</v>
      </c>
      <c r="C4" s="89">
        <f>B4*19%</f>
        <v>191596.57</v>
      </c>
      <c r="D4" s="89">
        <f>B4+C4</f>
        <v>1199999.57</v>
      </c>
      <c r="E4" s="95">
        <v>9</v>
      </c>
      <c r="F4" s="93">
        <f>E4*D4</f>
        <v>10799996.130000001</v>
      </c>
      <c r="G4" s="80">
        <f>767874</f>
        <v>767874</v>
      </c>
      <c r="H4" s="81">
        <f>G4*19%</f>
        <v>145896.06</v>
      </c>
      <c r="I4" s="81">
        <f>G4+H4</f>
        <v>913770.06</v>
      </c>
      <c r="J4" s="95">
        <v>9</v>
      </c>
      <c r="K4" s="93">
        <f>J4*I4</f>
        <v>8223930.540000001</v>
      </c>
      <c r="L4" s="80">
        <f>2400000</f>
        <v>2400000</v>
      </c>
      <c r="M4" s="83">
        <f>L4*19%</f>
        <v>456000</v>
      </c>
      <c r="N4" s="83">
        <f>L4+M4</f>
        <v>2856000</v>
      </c>
      <c r="O4" s="95">
        <v>9</v>
      </c>
      <c r="P4" s="93">
        <f>O4*N4</f>
        <v>25704000</v>
      </c>
      <c r="Q4" s="104"/>
    </row>
    <row r="5" spans="1:17" ht="30" x14ac:dyDescent="0.25">
      <c r="A5" s="72" t="s">
        <v>76</v>
      </c>
      <c r="B5" s="83">
        <v>1512605</v>
      </c>
      <c r="C5" s="83">
        <f>B5*19%</f>
        <v>287394.95</v>
      </c>
      <c r="D5" s="83">
        <f>B5+C5</f>
        <v>1799999.95</v>
      </c>
      <c r="E5" s="95">
        <v>9</v>
      </c>
      <c r="F5" s="91">
        <f>E5*D5</f>
        <v>16199999.549999999</v>
      </c>
      <c r="G5" s="83">
        <v>949372</v>
      </c>
      <c r="H5" s="83">
        <f>G5*19%</f>
        <v>180380.68</v>
      </c>
      <c r="I5" s="83">
        <f>G5+H5</f>
        <v>1129752.68</v>
      </c>
      <c r="J5" s="95">
        <v>9</v>
      </c>
      <c r="K5" s="91">
        <f>J5*I5</f>
        <v>10167774.119999999</v>
      </c>
      <c r="L5" s="80">
        <f>2400000</f>
        <v>2400000</v>
      </c>
      <c r="M5" s="83">
        <f>L5*19%</f>
        <v>456000</v>
      </c>
      <c r="N5" s="83">
        <f>L5+M5</f>
        <v>2856000</v>
      </c>
      <c r="O5" s="95">
        <v>9</v>
      </c>
      <c r="P5" s="91">
        <f>O5*N5</f>
        <v>25704000</v>
      </c>
      <c r="Q5" s="104"/>
    </row>
    <row r="6" spans="1:17" x14ac:dyDescent="0.25">
      <c r="A6" s="96" t="s">
        <v>64</v>
      </c>
      <c r="B6" s="208"/>
      <c r="C6" s="209"/>
      <c r="D6" s="209"/>
      <c r="E6" s="210"/>
      <c r="F6" s="97">
        <f>SUM(F3:F5)</f>
        <v>32399999.100000001</v>
      </c>
      <c r="G6" s="208"/>
      <c r="H6" s="209"/>
      <c r="I6" s="209"/>
      <c r="J6" s="210"/>
      <c r="K6" s="97">
        <f>SUM(K3:K5)</f>
        <v>20559837.060000002</v>
      </c>
      <c r="L6" s="208"/>
      <c r="M6" s="209"/>
      <c r="N6" s="209"/>
      <c r="O6" s="209"/>
      <c r="P6" s="92">
        <f>SUM(P3:P5)</f>
        <v>77112000</v>
      </c>
      <c r="Q6" s="104"/>
    </row>
    <row r="7" spans="1:17" ht="30.75" customHeight="1" x14ac:dyDescent="0.25">
      <c r="A7" s="86" t="s">
        <v>21</v>
      </c>
      <c r="B7" s="211">
        <f>HARMEAN(F6,K6,P6)</f>
        <v>32442650.509325195</v>
      </c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103">
        <f>B7</f>
        <v>32442650.509325195</v>
      </c>
    </row>
    <row r="8" spans="1:17" x14ac:dyDescent="0.25">
      <c r="F8" s="67"/>
      <c r="Q8" s="104"/>
    </row>
    <row r="9" spans="1:17" x14ac:dyDescent="0.25">
      <c r="Q9" s="104"/>
    </row>
    <row r="10" spans="1:17" x14ac:dyDescent="0.25">
      <c r="A10" s="85" t="s">
        <v>15</v>
      </c>
      <c r="B10" s="202" t="s">
        <v>51</v>
      </c>
      <c r="C10" s="203"/>
      <c r="D10" s="203"/>
      <c r="E10" s="203"/>
      <c r="F10" s="204"/>
      <c r="G10" s="202" t="s">
        <v>50</v>
      </c>
      <c r="H10" s="203"/>
      <c r="I10" s="203"/>
      <c r="J10" s="203"/>
      <c r="K10" s="204"/>
      <c r="L10" s="205" t="s">
        <v>60</v>
      </c>
      <c r="M10" s="206"/>
      <c r="N10" s="206"/>
      <c r="O10" s="206"/>
      <c r="P10" s="207"/>
      <c r="Q10" s="104"/>
    </row>
    <row r="11" spans="1:17" ht="45" x14ac:dyDescent="0.25">
      <c r="A11" s="84" t="s">
        <v>56</v>
      </c>
      <c r="B11" s="84" t="s">
        <v>3</v>
      </c>
      <c r="C11" s="84" t="s">
        <v>4</v>
      </c>
      <c r="D11" s="84" t="s">
        <v>5</v>
      </c>
      <c r="E11" s="84" t="s">
        <v>65</v>
      </c>
      <c r="F11" s="84" t="s">
        <v>66</v>
      </c>
      <c r="G11" s="84" t="s">
        <v>3</v>
      </c>
      <c r="H11" s="84" t="s">
        <v>4</v>
      </c>
      <c r="I11" s="84" t="s">
        <v>5</v>
      </c>
      <c r="J11" s="84" t="s">
        <v>65</v>
      </c>
      <c r="K11" s="84" t="s">
        <v>66</v>
      </c>
      <c r="L11" s="84" t="s">
        <v>3</v>
      </c>
      <c r="M11" s="84" t="s">
        <v>4</v>
      </c>
      <c r="N11" s="84" t="s">
        <v>5</v>
      </c>
      <c r="O11" s="84" t="s">
        <v>65</v>
      </c>
      <c r="P11" s="84" t="s">
        <v>66</v>
      </c>
      <c r="Q11" s="104"/>
    </row>
    <row r="12" spans="1:17" ht="30" x14ac:dyDescent="0.25">
      <c r="A12" s="72" t="s">
        <v>74</v>
      </c>
      <c r="B12" s="89">
        <f>359664</f>
        <v>359664</v>
      </c>
      <c r="C12" s="89">
        <f>B12*19%</f>
        <v>68336.160000000003</v>
      </c>
      <c r="D12" s="89">
        <f>B12+C12</f>
        <v>428000.16000000003</v>
      </c>
      <c r="E12" s="94">
        <v>12</v>
      </c>
      <c r="F12" s="93">
        <f>D12*E12</f>
        <v>5136001.92</v>
      </c>
      <c r="G12" s="80">
        <f>209930.28</f>
        <v>209930.28</v>
      </c>
      <c r="H12" s="81">
        <f>G12*19%</f>
        <v>39886.753199999999</v>
      </c>
      <c r="I12" s="81">
        <f>G12+H12</f>
        <v>249817.03320000001</v>
      </c>
      <c r="J12" s="94">
        <v>12</v>
      </c>
      <c r="K12" s="93">
        <f>I12*J12</f>
        <v>2997804.3984000003</v>
      </c>
      <c r="L12" s="80">
        <f>2544000</f>
        <v>2544000</v>
      </c>
      <c r="M12" s="83">
        <f>L12*19%</f>
        <v>483360</v>
      </c>
      <c r="N12" s="83">
        <f>L12+M12</f>
        <v>3027360</v>
      </c>
      <c r="O12" s="94">
        <v>12</v>
      </c>
      <c r="P12" s="93">
        <f>N12*O12</f>
        <v>36328320</v>
      </c>
      <c r="Q12" s="104"/>
    </row>
    <row r="13" spans="1:17" ht="30" x14ac:dyDescent="0.25">
      <c r="A13" s="72" t="s">
        <v>75</v>
      </c>
      <c r="B13" s="90">
        <f>899160</f>
        <v>899160</v>
      </c>
      <c r="C13" s="89">
        <f>B13*19%</f>
        <v>170840.4</v>
      </c>
      <c r="D13" s="89">
        <f>B13+C13</f>
        <v>1070000.3999999999</v>
      </c>
      <c r="E13" s="95">
        <v>12</v>
      </c>
      <c r="F13" s="93">
        <f>E13*D13</f>
        <v>12840004.799999999</v>
      </c>
      <c r="G13" s="80">
        <f>796285.338</f>
        <v>796285.33799999999</v>
      </c>
      <c r="H13" s="81">
        <f>G13*19%</f>
        <v>151294.21421999999</v>
      </c>
      <c r="I13" s="81">
        <f>G13+H13</f>
        <v>947579.55221999995</v>
      </c>
      <c r="J13" s="95">
        <v>12</v>
      </c>
      <c r="K13" s="93">
        <f>J13*I13</f>
        <v>11370954.626639999</v>
      </c>
      <c r="L13" s="80">
        <f>2544000</f>
        <v>2544000</v>
      </c>
      <c r="M13" s="83">
        <f>L13*19%</f>
        <v>483360</v>
      </c>
      <c r="N13" s="83">
        <f>L13+M13</f>
        <v>3027360</v>
      </c>
      <c r="O13" s="95">
        <v>12</v>
      </c>
      <c r="P13" s="93">
        <f>O13*N13</f>
        <v>36328320</v>
      </c>
      <c r="Q13" s="104"/>
    </row>
    <row r="14" spans="1:17" ht="30" x14ac:dyDescent="0.25">
      <c r="A14" s="72" t="s">
        <v>76</v>
      </c>
      <c r="B14" s="83">
        <v>1258824</v>
      </c>
      <c r="C14" s="83">
        <f>B14*19%</f>
        <v>239176.56</v>
      </c>
      <c r="D14" s="83">
        <f>B14+C14</f>
        <v>1498000.56</v>
      </c>
      <c r="E14" s="95">
        <v>12</v>
      </c>
      <c r="F14" s="91">
        <f>E14*D14</f>
        <v>17976006.719999999</v>
      </c>
      <c r="G14" s="83">
        <v>984498.76399999997</v>
      </c>
      <c r="H14" s="83">
        <f>G14*19%</f>
        <v>187054.76516000001</v>
      </c>
      <c r="I14" s="83">
        <f>G14+H14</f>
        <v>1171553.5291599999</v>
      </c>
      <c r="J14" s="95">
        <v>12</v>
      </c>
      <c r="K14" s="91">
        <f>J14*I14</f>
        <v>14058642.349919999</v>
      </c>
      <c r="L14" s="80">
        <v>2544000</v>
      </c>
      <c r="M14" s="83">
        <f>L14*19%</f>
        <v>483360</v>
      </c>
      <c r="N14" s="83">
        <f>L14+M14</f>
        <v>3027360</v>
      </c>
      <c r="O14" s="95">
        <v>12</v>
      </c>
      <c r="P14" s="91">
        <f>O14*N14</f>
        <v>36328320</v>
      </c>
      <c r="Q14" s="104"/>
    </row>
    <row r="15" spans="1:17" x14ac:dyDescent="0.25">
      <c r="A15" s="96" t="s">
        <v>64</v>
      </c>
      <c r="B15" s="208"/>
      <c r="C15" s="209"/>
      <c r="D15" s="209"/>
      <c r="E15" s="210"/>
      <c r="F15" s="97">
        <f>SUM(F12:F14)</f>
        <v>35952013.439999998</v>
      </c>
      <c r="G15" s="208"/>
      <c r="H15" s="209"/>
      <c r="I15" s="209"/>
      <c r="J15" s="210"/>
      <c r="K15" s="97">
        <f>SUM(K12:K14)</f>
        <v>28427401.374959998</v>
      </c>
      <c r="L15" s="208"/>
      <c r="M15" s="209"/>
      <c r="N15" s="209"/>
      <c r="O15" s="209"/>
      <c r="P15" s="92">
        <f>SUM(P12:P14)</f>
        <v>108984960</v>
      </c>
      <c r="Q15" s="104"/>
    </row>
    <row r="16" spans="1:17" ht="30" x14ac:dyDescent="0.25">
      <c r="A16" s="86" t="s">
        <v>21</v>
      </c>
      <c r="B16" s="211">
        <f>HARMEAN(F15,K15,P15)</f>
        <v>41569809.54908175</v>
      </c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103">
        <f>B16</f>
        <v>41569809.54908175</v>
      </c>
    </row>
    <row r="17" spans="1:17" x14ac:dyDescent="0.25">
      <c r="Q17" s="104"/>
    </row>
    <row r="18" spans="1:17" x14ac:dyDescent="0.25">
      <c r="Q18" s="104"/>
    </row>
    <row r="19" spans="1:17" x14ac:dyDescent="0.25">
      <c r="A19" s="85" t="s">
        <v>15</v>
      </c>
      <c r="B19" s="202" t="s">
        <v>51</v>
      </c>
      <c r="C19" s="203"/>
      <c r="D19" s="203"/>
      <c r="E19" s="203"/>
      <c r="F19" s="204"/>
      <c r="G19" s="202" t="s">
        <v>50</v>
      </c>
      <c r="H19" s="203"/>
      <c r="I19" s="203"/>
      <c r="J19" s="203"/>
      <c r="K19" s="204"/>
      <c r="L19" s="205" t="s">
        <v>60</v>
      </c>
      <c r="M19" s="206"/>
      <c r="N19" s="206"/>
      <c r="O19" s="206"/>
      <c r="P19" s="207"/>
      <c r="Q19" s="104"/>
    </row>
    <row r="20" spans="1:17" ht="45" x14ac:dyDescent="0.25">
      <c r="A20" s="84" t="s">
        <v>56</v>
      </c>
      <c r="B20" s="84" t="s">
        <v>3</v>
      </c>
      <c r="C20" s="84" t="s">
        <v>4</v>
      </c>
      <c r="D20" s="84" t="s">
        <v>5</v>
      </c>
      <c r="E20" s="84" t="s">
        <v>65</v>
      </c>
      <c r="F20" s="84" t="s">
        <v>67</v>
      </c>
      <c r="G20" s="84" t="s">
        <v>3</v>
      </c>
      <c r="H20" s="84" t="s">
        <v>4</v>
      </c>
      <c r="I20" s="84" t="s">
        <v>5</v>
      </c>
      <c r="J20" s="84" t="s">
        <v>65</v>
      </c>
      <c r="K20" s="84" t="s">
        <v>67</v>
      </c>
      <c r="L20" s="84" t="s">
        <v>3</v>
      </c>
      <c r="M20" s="84" t="s">
        <v>4</v>
      </c>
      <c r="N20" s="84" t="s">
        <v>5</v>
      </c>
      <c r="O20" s="84" t="s">
        <v>65</v>
      </c>
      <c r="P20" s="84" t="s">
        <v>67</v>
      </c>
      <c r="Q20" s="104"/>
    </row>
    <row r="21" spans="1:17" ht="30" x14ac:dyDescent="0.25">
      <c r="A21" s="72" t="s">
        <v>74</v>
      </c>
      <c r="B21" s="89">
        <f>384840</f>
        <v>384840</v>
      </c>
      <c r="C21" s="89">
        <f>B21*19%</f>
        <v>73119.600000000006</v>
      </c>
      <c r="D21" s="89">
        <f>B21+C21</f>
        <v>457959.6</v>
      </c>
      <c r="E21" s="94">
        <v>12</v>
      </c>
      <c r="F21" s="93">
        <f>D21*E21</f>
        <v>5495515.1999999993</v>
      </c>
      <c r="G21" s="80">
        <f>217697.70036</f>
        <v>217697.70035999999</v>
      </c>
      <c r="H21" s="81">
        <f>G21*19%</f>
        <v>41362.563068399999</v>
      </c>
      <c r="I21" s="81">
        <f>G21+H21</f>
        <v>259060.26342839998</v>
      </c>
      <c r="J21" s="94">
        <v>12</v>
      </c>
      <c r="K21" s="93">
        <f>I21*J21</f>
        <v>3108723.1611407995</v>
      </c>
      <c r="L21" s="80">
        <f>2696640</f>
        <v>2696640</v>
      </c>
      <c r="M21" s="83">
        <f>L21*19%</f>
        <v>512361.60000000003</v>
      </c>
      <c r="N21" s="83">
        <f>L21+M21</f>
        <v>3209001.6</v>
      </c>
      <c r="O21" s="94">
        <v>12</v>
      </c>
      <c r="P21" s="93">
        <f>N21*O21</f>
        <v>38508019.200000003</v>
      </c>
      <c r="Q21" s="104"/>
    </row>
    <row r="22" spans="1:17" ht="30" x14ac:dyDescent="0.25">
      <c r="A22" s="72" t="s">
        <v>75</v>
      </c>
      <c r="B22" s="90">
        <f>962101</f>
        <v>962101</v>
      </c>
      <c r="C22" s="89">
        <f>B22*19%</f>
        <v>182799.19</v>
      </c>
      <c r="D22" s="89">
        <f>B22+C22</f>
        <v>1144900.19</v>
      </c>
      <c r="E22" s="95">
        <v>12</v>
      </c>
      <c r="F22" s="93">
        <f>E22*D22</f>
        <v>13738802.279999999</v>
      </c>
      <c r="G22" s="80">
        <f>825747.895506</f>
        <v>825747.89550600003</v>
      </c>
      <c r="H22" s="81">
        <f>G22*19%</f>
        <v>156892.10014614</v>
      </c>
      <c r="I22" s="81">
        <f>G22+H22</f>
        <v>982639.99565214</v>
      </c>
      <c r="J22" s="95">
        <v>12</v>
      </c>
      <c r="K22" s="93">
        <f>J22*I22</f>
        <v>11791679.94782568</v>
      </c>
      <c r="L22" s="80">
        <f>2696640</f>
        <v>2696640</v>
      </c>
      <c r="M22" s="83">
        <f>L22*19%</f>
        <v>512361.60000000003</v>
      </c>
      <c r="N22" s="83">
        <f>L22+M22</f>
        <v>3209001.6</v>
      </c>
      <c r="O22" s="95">
        <v>12</v>
      </c>
      <c r="P22" s="93">
        <f>O22*N22</f>
        <v>38508019.200000003</v>
      </c>
      <c r="Q22" s="104"/>
    </row>
    <row r="23" spans="1:17" ht="30" x14ac:dyDescent="0.25">
      <c r="A23" s="72" t="s">
        <v>76</v>
      </c>
      <c r="B23" s="83">
        <v>1346941</v>
      </c>
      <c r="C23" s="83">
        <f>B23*19%</f>
        <v>255918.79</v>
      </c>
      <c r="D23" s="83">
        <f>B23+C23</f>
        <v>1602859.79</v>
      </c>
      <c r="E23" s="95">
        <v>12</v>
      </c>
      <c r="F23" s="91">
        <f>E23*D23</f>
        <v>19234317.48</v>
      </c>
      <c r="G23" s="83">
        <v>1020925.2182680001</v>
      </c>
      <c r="H23" s="83">
        <f>G23*19%</f>
        <v>193975.79147092003</v>
      </c>
      <c r="I23" s="83">
        <f>G23+H23</f>
        <v>1214901.00973892</v>
      </c>
      <c r="J23" s="95">
        <v>12</v>
      </c>
      <c r="K23" s="91">
        <f>J23*I23</f>
        <v>14578812.116867039</v>
      </c>
      <c r="L23" s="80">
        <f>2696640</f>
        <v>2696640</v>
      </c>
      <c r="M23" s="83">
        <f>L23*19%</f>
        <v>512361.60000000003</v>
      </c>
      <c r="N23" s="83">
        <f>L23+M23</f>
        <v>3209001.6</v>
      </c>
      <c r="O23" s="95">
        <v>12</v>
      </c>
      <c r="P23" s="91">
        <f>O23*N23</f>
        <v>38508019.200000003</v>
      </c>
      <c r="Q23" s="104"/>
    </row>
    <row r="24" spans="1:17" x14ac:dyDescent="0.25">
      <c r="A24" s="96" t="s">
        <v>64</v>
      </c>
      <c r="B24" s="208"/>
      <c r="C24" s="209"/>
      <c r="D24" s="209"/>
      <c r="E24" s="210"/>
      <c r="F24" s="97">
        <f>SUM(F21:F23)</f>
        <v>38468634.959999993</v>
      </c>
      <c r="G24" s="208"/>
      <c r="H24" s="209"/>
      <c r="I24" s="209"/>
      <c r="J24" s="210"/>
      <c r="K24" s="97">
        <f>SUM(K21:K23)</f>
        <v>29479215.22583352</v>
      </c>
      <c r="L24" s="208"/>
      <c r="M24" s="209"/>
      <c r="N24" s="209"/>
      <c r="O24" s="209"/>
      <c r="P24" s="92">
        <f>SUM(P21:P23)</f>
        <v>115524057.60000001</v>
      </c>
      <c r="Q24" s="104"/>
    </row>
    <row r="25" spans="1:17" ht="30" x14ac:dyDescent="0.25">
      <c r="A25" s="86" t="s">
        <v>21</v>
      </c>
      <c r="B25" s="211">
        <f>HARMEAN(F24,K24,P24)</f>
        <v>43748605.116659723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103">
        <f>B25</f>
        <v>43748605.116659723</v>
      </c>
    </row>
    <row r="26" spans="1:17" x14ac:dyDescent="0.25">
      <c r="Q26" s="104"/>
    </row>
    <row r="27" spans="1:17" x14ac:dyDescent="0.25">
      <c r="Q27" s="104"/>
    </row>
  </sheetData>
  <mergeCells count="21">
    <mergeCell ref="B25:P25"/>
    <mergeCell ref="B16:P16"/>
    <mergeCell ref="B19:F19"/>
    <mergeCell ref="G19:K19"/>
    <mergeCell ref="L19:P19"/>
    <mergeCell ref="B24:E24"/>
    <mergeCell ref="G24:J24"/>
    <mergeCell ref="L24:O24"/>
    <mergeCell ref="B7:P7"/>
    <mergeCell ref="B10:F10"/>
    <mergeCell ref="G10:K10"/>
    <mergeCell ref="L10:P10"/>
    <mergeCell ref="B15:E15"/>
    <mergeCell ref="G15:J15"/>
    <mergeCell ref="L15:O15"/>
    <mergeCell ref="B1:F1"/>
    <mergeCell ref="G1:K1"/>
    <mergeCell ref="L1:P1"/>
    <mergeCell ref="B6:E6"/>
    <mergeCell ref="G6:J6"/>
    <mergeCell ref="L6:O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5"/>
  <sheetViews>
    <sheetView topLeftCell="B10" workbookViewId="0">
      <selection activeCell="L17" sqref="L17"/>
    </sheetView>
  </sheetViews>
  <sheetFormatPr baseColWidth="10" defaultRowHeight="15" x14ac:dyDescent="0.25"/>
  <cols>
    <col min="1" max="1" width="32.5703125" customWidth="1"/>
    <col min="5" max="5" width="12" bestFit="1" customWidth="1"/>
    <col min="6" max="6" width="15" customWidth="1"/>
    <col min="11" max="11" width="12.5703125" bestFit="1" customWidth="1"/>
    <col min="16" max="16" width="12.42578125" customWidth="1"/>
    <col min="17" max="17" width="11.85546875" bestFit="1" customWidth="1"/>
  </cols>
  <sheetData>
    <row r="1" spans="1:18" x14ac:dyDescent="0.25">
      <c r="A1" s="85" t="s">
        <v>15</v>
      </c>
      <c r="B1" s="202" t="s">
        <v>51</v>
      </c>
      <c r="C1" s="203"/>
      <c r="D1" s="203"/>
      <c r="E1" s="203"/>
      <c r="F1" s="204"/>
      <c r="G1" s="202" t="s">
        <v>50</v>
      </c>
      <c r="H1" s="203"/>
      <c r="I1" s="203"/>
      <c r="J1" s="203"/>
      <c r="K1" s="204"/>
      <c r="L1" s="205" t="s">
        <v>60</v>
      </c>
      <c r="M1" s="206"/>
      <c r="N1" s="206"/>
      <c r="O1" s="206"/>
      <c r="P1" s="207"/>
    </row>
    <row r="2" spans="1:18" ht="60" x14ac:dyDescent="0.25">
      <c r="A2" s="84" t="s">
        <v>56</v>
      </c>
      <c r="B2" s="84" t="s">
        <v>3</v>
      </c>
      <c r="C2" s="84" t="s">
        <v>4</v>
      </c>
      <c r="D2" s="84" t="s">
        <v>5</v>
      </c>
      <c r="E2" s="84" t="s">
        <v>68</v>
      </c>
      <c r="F2" s="84" t="s">
        <v>69</v>
      </c>
      <c r="G2" s="84" t="s">
        <v>3</v>
      </c>
      <c r="H2" s="84" t="s">
        <v>4</v>
      </c>
      <c r="I2" s="84" t="s">
        <v>5</v>
      </c>
      <c r="J2" s="84" t="s">
        <v>68</v>
      </c>
      <c r="K2" s="84" t="s">
        <v>69</v>
      </c>
      <c r="L2" s="84" t="s">
        <v>3</v>
      </c>
      <c r="M2" s="84" t="s">
        <v>4</v>
      </c>
      <c r="N2" s="84" t="s">
        <v>5</v>
      </c>
      <c r="O2" s="84" t="s">
        <v>68</v>
      </c>
      <c r="P2" s="84" t="s">
        <v>69</v>
      </c>
      <c r="Q2" s="104"/>
    </row>
    <row r="3" spans="1:18" ht="75" x14ac:dyDescent="0.25">
      <c r="A3" s="72" t="s">
        <v>23</v>
      </c>
      <c r="B3" s="89">
        <v>168</v>
      </c>
      <c r="C3" s="89">
        <f>B3*19%</f>
        <v>31.92</v>
      </c>
      <c r="D3" s="89">
        <f>B3+C3</f>
        <v>199.92000000000002</v>
      </c>
      <c r="E3" s="94">
        <v>15910</v>
      </c>
      <c r="F3" s="93">
        <f>D3*E3</f>
        <v>3180727.2</v>
      </c>
      <c r="G3" s="80">
        <v>188</v>
      </c>
      <c r="H3" s="81">
        <f>G3*19%</f>
        <v>35.72</v>
      </c>
      <c r="I3" s="81">
        <f>G3+H3</f>
        <v>223.72</v>
      </c>
      <c r="J3" s="94">
        <v>15910</v>
      </c>
      <c r="K3" s="93">
        <f>I3*J3</f>
        <v>3559385.2</v>
      </c>
      <c r="L3" s="80">
        <v>2500</v>
      </c>
      <c r="M3" s="83">
        <f>L3*19%</f>
        <v>475</v>
      </c>
      <c r="N3" s="83">
        <f>L3+M3</f>
        <v>2975</v>
      </c>
      <c r="O3" s="94">
        <v>15910</v>
      </c>
      <c r="P3" s="93">
        <f>N3*O3</f>
        <v>47332250</v>
      </c>
      <c r="Q3" s="104" t="e">
        <f>me</f>
        <v>#NAME?</v>
      </c>
      <c r="R3" s="67"/>
    </row>
    <row r="4" spans="1:18" x14ac:dyDescent="0.25">
      <c r="A4" s="7" t="s">
        <v>73</v>
      </c>
      <c r="B4" s="208">
        <v>9</v>
      </c>
      <c r="C4" s="209"/>
      <c r="D4" s="209"/>
      <c r="E4" s="210"/>
      <c r="F4" s="91">
        <f>F3*B4</f>
        <v>28626544.800000001</v>
      </c>
      <c r="G4" s="208">
        <v>9</v>
      </c>
      <c r="H4" s="209"/>
      <c r="I4" s="209"/>
      <c r="J4" s="210"/>
      <c r="K4" s="91">
        <f>K3*G4</f>
        <v>32034466.800000001</v>
      </c>
      <c r="L4" s="208">
        <v>9</v>
      </c>
      <c r="M4" s="209"/>
      <c r="N4" s="209"/>
      <c r="O4" s="210"/>
      <c r="P4" s="91">
        <f>P3*L4</f>
        <v>425990250</v>
      </c>
      <c r="Q4" s="104"/>
    </row>
    <row r="5" spans="1:18" ht="30.75" customHeight="1" x14ac:dyDescent="0.25">
      <c r="A5" s="86" t="s">
        <v>21</v>
      </c>
      <c r="B5" s="211">
        <f>HARMEAN(F4,K4,P4)</f>
        <v>43797882.958037473</v>
      </c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103">
        <f>B5</f>
        <v>43797882.958037473</v>
      </c>
    </row>
    <row r="6" spans="1:18" x14ac:dyDescent="0.25">
      <c r="F6" s="67"/>
      <c r="Q6" s="104"/>
    </row>
    <row r="7" spans="1:18" x14ac:dyDescent="0.25">
      <c r="Q7" s="104"/>
    </row>
    <row r="8" spans="1:18" x14ac:dyDescent="0.25">
      <c r="A8" s="85" t="s">
        <v>15</v>
      </c>
      <c r="B8" s="202" t="s">
        <v>51</v>
      </c>
      <c r="C8" s="203"/>
      <c r="D8" s="203"/>
      <c r="E8" s="203"/>
      <c r="F8" s="204"/>
      <c r="G8" s="202" t="s">
        <v>50</v>
      </c>
      <c r="H8" s="203"/>
      <c r="I8" s="203"/>
      <c r="J8" s="203"/>
      <c r="K8" s="204"/>
      <c r="L8" s="205" t="s">
        <v>60</v>
      </c>
      <c r="M8" s="206"/>
      <c r="N8" s="206"/>
      <c r="O8" s="206"/>
      <c r="P8" s="207"/>
      <c r="Q8" s="104"/>
    </row>
    <row r="9" spans="1:18" ht="60" x14ac:dyDescent="0.25">
      <c r="A9" s="84" t="s">
        <v>56</v>
      </c>
      <c r="B9" s="84" t="s">
        <v>3</v>
      </c>
      <c r="C9" s="84" t="s">
        <v>4</v>
      </c>
      <c r="D9" s="84" t="s">
        <v>5</v>
      </c>
      <c r="E9" s="84" t="s">
        <v>68</v>
      </c>
      <c r="F9" s="84" t="s">
        <v>71</v>
      </c>
      <c r="G9" s="84" t="s">
        <v>3</v>
      </c>
      <c r="H9" s="84" t="s">
        <v>4</v>
      </c>
      <c r="I9" s="84" t="s">
        <v>5</v>
      </c>
      <c r="J9" s="84" t="s">
        <v>68</v>
      </c>
      <c r="K9" s="84" t="s">
        <v>71</v>
      </c>
      <c r="L9" s="84" t="s">
        <v>3</v>
      </c>
      <c r="M9" s="84" t="s">
        <v>4</v>
      </c>
      <c r="N9" s="84" t="s">
        <v>5</v>
      </c>
      <c r="O9" s="84" t="s">
        <v>68</v>
      </c>
      <c r="P9" s="84" t="s">
        <v>71</v>
      </c>
      <c r="Q9" s="104"/>
    </row>
    <row r="10" spans="1:18" ht="75" x14ac:dyDescent="0.25">
      <c r="A10" s="72" t="s">
        <v>23</v>
      </c>
      <c r="B10" s="89">
        <v>180</v>
      </c>
      <c r="C10" s="89">
        <f>B10*19%</f>
        <v>34.200000000000003</v>
      </c>
      <c r="D10" s="89">
        <f>B10+C10</f>
        <v>214.2</v>
      </c>
      <c r="E10" s="94">
        <v>13250</v>
      </c>
      <c r="F10" s="93">
        <f>D10*E10</f>
        <v>2838150</v>
      </c>
      <c r="G10" s="80">
        <v>195</v>
      </c>
      <c r="H10" s="81">
        <f>G10*19%</f>
        <v>37.049999999999997</v>
      </c>
      <c r="I10" s="81">
        <f>G10+H10</f>
        <v>232.05</v>
      </c>
      <c r="J10" s="94">
        <v>13250</v>
      </c>
      <c r="K10" s="93">
        <f>I10*J10</f>
        <v>3074662.5</v>
      </c>
      <c r="L10" s="80">
        <v>2650</v>
      </c>
      <c r="M10" s="83">
        <f>L10*19%</f>
        <v>503.5</v>
      </c>
      <c r="N10" s="83">
        <f>L10+M10</f>
        <v>3153.5</v>
      </c>
      <c r="O10" s="94">
        <v>13250</v>
      </c>
      <c r="P10" s="93">
        <f>N10*O10</f>
        <v>41783875</v>
      </c>
      <c r="Q10" s="104"/>
    </row>
    <row r="11" spans="1:18" x14ac:dyDescent="0.25">
      <c r="A11" s="7" t="s">
        <v>70</v>
      </c>
      <c r="B11" s="208">
        <v>12</v>
      </c>
      <c r="C11" s="209"/>
      <c r="D11" s="209"/>
      <c r="E11" s="210"/>
      <c r="F11" s="91">
        <f>F10*B11</f>
        <v>34057800</v>
      </c>
      <c r="G11" s="208">
        <v>12</v>
      </c>
      <c r="H11" s="209"/>
      <c r="I11" s="209"/>
      <c r="J11" s="210"/>
      <c r="K11" s="91">
        <f>K10*G11</f>
        <v>36895950</v>
      </c>
      <c r="L11" s="208">
        <v>12</v>
      </c>
      <c r="M11" s="209"/>
      <c r="N11" s="209"/>
      <c r="O11" s="210"/>
      <c r="P11" s="91">
        <f>P10*L11</f>
        <v>501406500</v>
      </c>
      <c r="Q11" s="104"/>
    </row>
    <row r="12" spans="1:18" ht="30" x14ac:dyDescent="0.25">
      <c r="A12" s="86" t="s">
        <v>21</v>
      </c>
      <c r="B12" s="211">
        <f>HARMEAN(F11,K11,P11)</f>
        <v>51317591.923020847</v>
      </c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103">
        <f>B12</f>
        <v>51317591.923020847</v>
      </c>
    </row>
    <row r="13" spans="1:18" x14ac:dyDescent="0.25">
      <c r="Q13" s="104"/>
    </row>
    <row r="14" spans="1:18" x14ac:dyDescent="0.25">
      <c r="Q14" s="104"/>
    </row>
    <row r="15" spans="1:18" x14ac:dyDescent="0.25">
      <c r="A15" s="85" t="s">
        <v>15</v>
      </c>
      <c r="B15" s="202" t="s">
        <v>51</v>
      </c>
      <c r="C15" s="203"/>
      <c r="D15" s="203"/>
      <c r="E15" s="203"/>
      <c r="F15" s="204"/>
      <c r="G15" s="202" t="s">
        <v>50</v>
      </c>
      <c r="H15" s="203"/>
      <c r="I15" s="203"/>
      <c r="J15" s="203"/>
      <c r="K15" s="204"/>
      <c r="L15" s="205" t="s">
        <v>60</v>
      </c>
      <c r="M15" s="206"/>
      <c r="N15" s="206"/>
      <c r="O15" s="206"/>
      <c r="P15" s="207"/>
      <c r="Q15" s="104"/>
    </row>
    <row r="16" spans="1:18" ht="60" x14ac:dyDescent="0.25">
      <c r="A16" s="84" t="s">
        <v>56</v>
      </c>
      <c r="B16" s="84" t="s">
        <v>3</v>
      </c>
      <c r="C16" s="84" t="s">
        <v>4</v>
      </c>
      <c r="D16" s="84" t="s">
        <v>5</v>
      </c>
      <c r="E16" s="84" t="s">
        <v>68</v>
      </c>
      <c r="F16" s="84" t="s">
        <v>72</v>
      </c>
      <c r="G16" s="84" t="s">
        <v>3</v>
      </c>
      <c r="H16" s="84" t="s">
        <v>4</v>
      </c>
      <c r="I16" s="84" t="s">
        <v>5</v>
      </c>
      <c r="J16" s="84" t="s">
        <v>68</v>
      </c>
      <c r="K16" s="84" t="s">
        <v>72</v>
      </c>
      <c r="L16" s="84" t="s">
        <v>3</v>
      </c>
      <c r="M16" s="84" t="s">
        <v>4</v>
      </c>
      <c r="N16" s="84" t="s">
        <v>5</v>
      </c>
      <c r="O16" s="84" t="s">
        <v>68</v>
      </c>
      <c r="P16" s="84" t="s">
        <v>72</v>
      </c>
      <c r="Q16" s="104"/>
    </row>
    <row r="17" spans="1:17" ht="75" x14ac:dyDescent="0.25">
      <c r="A17" s="72" t="s">
        <v>23</v>
      </c>
      <c r="B17" s="89">
        <v>194</v>
      </c>
      <c r="C17" s="89">
        <f>B17*19%</f>
        <v>36.86</v>
      </c>
      <c r="D17" s="89">
        <f>B17+C17</f>
        <v>230.86</v>
      </c>
      <c r="E17" s="94">
        <v>12650</v>
      </c>
      <c r="F17" s="93">
        <f>D17*E17</f>
        <v>2920379</v>
      </c>
      <c r="G17" s="80">
        <v>202</v>
      </c>
      <c r="H17" s="81">
        <f>G17*19%</f>
        <v>38.380000000000003</v>
      </c>
      <c r="I17" s="81">
        <f>G17+H17</f>
        <v>240.38</v>
      </c>
      <c r="J17" s="94">
        <v>12650</v>
      </c>
      <c r="K17" s="93">
        <f>I17*J17</f>
        <v>3040807</v>
      </c>
      <c r="L17" s="80">
        <v>2809</v>
      </c>
      <c r="M17" s="83">
        <f>L17*19%</f>
        <v>533.71</v>
      </c>
      <c r="N17" s="83">
        <f>L17+M17</f>
        <v>3342.71</v>
      </c>
      <c r="O17" s="94">
        <v>12650</v>
      </c>
      <c r="P17" s="93">
        <f>N17*O17</f>
        <v>42285281.5</v>
      </c>
      <c r="Q17" s="104"/>
    </row>
    <row r="18" spans="1:17" x14ac:dyDescent="0.25">
      <c r="A18" s="7" t="s">
        <v>70</v>
      </c>
      <c r="B18" s="208">
        <v>12</v>
      </c>
      <c r="C18" s="209"/>
      <c r="D18" s="209"/>
      <c r="E18" s="210"/>
      <c r="F18" s="91">
        <f>F17*B18</f>
        <v>35044548</v>
      </c>
      <c r="G18" s="208">
        <v>12</v>
      </c>
      <c r="H18" s="209"/>
      <c r="I18" s="209"/>
      <c r="J18" s="210"/>
      <c r="K18" s="91">
        <f>K17*G18</f>
        <v>36489684</v>
      </c>
      <c r="L18" s="208">
        <v>12</v>
      </c>
      <c r="M18" s="209"/>
      <c r="N18" s="209"/>
      <c r="O18" s="210"/>
      <c r="P18" s="91">
        <f>P17*L18</f>
        <v>507423378</v>
      </c>
      <c r="Q18" s="104"/>
    </row>
    <row r="19" spans="1:17" ht="30" x14ac:dyDescent="0.25">
      <c r="A19" s="86" t="s">
        <v>21</v>
      </c>
      <c r="B19" s="211">
        <f>HARMEAN(F18,K18,P18)</f>
        <v>51803758.763123155</v>
      </c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103">
        <f>B19</f>
        <v>51803758.763123155</v>
      </c>
    </row>
    <row r="20" spans="1:17" x14ac:dyDescent="0.25">
      <c r="Q20" s="104"/>
    </row>
    <row r="21" spans="1:17" x14ac:dyDescent="0.25">
      <c r="Q21" s="104"/>
    </row>
    <row r="22" spans="1:17" x14ac:dyDescent="0.25">
      <c r="Q22" s="104"/>
    </row>
    <row r="23" spans="1:17" x14ac:dyDescent="0.25">
      <c r="Q23" s="104"/>
    </row>
    <row r="24" spans="1:17" x14ac:dyDescent="0.25">
      <c r="Q24" s="104"/>
    </row>
    <row r="25" spans="1:17" x14ac:dyDescent="0.25">
      <c r="Q25" s="104"/>
    </row>
  </sheetData>
  <mergeCells count="21">
    <mergeCell ref="B19:P19"/>
    <mergeCell ref="B18:E18"/>
    <mergeCell ref="B5:P5"/>
    <mergeCell ref="B8:F8"/>
    <mergeCell ref="G8:K8"/>
    <mergeCell ref="L8:P8"/>
    <mergeCell ref="B11:E11"/>
    <mergeCell ref="G11:J11"/>
    <mergeCell ref="L11:O11"/>
    <mergeCell ref="G18:J18"/>
    <mergeCell ref="L18:O18"/>
    <mergeCell ref="B12:P12"/>
    <mergeCell ref="B15:F15"/>
    <mergeCell ref="G15:K15"/>
    <mergeCell ref="L15:P15"/>
    <mergeCell ref="B1:F1"/>
    <mergeCell ref="G1:K1"/>
    <mergeCell ref="L1:P1"/>
    <mergeCell ref="B4:E4"/>
    <mergeCell ref="G4:J4"/>
    <mergeCell ref="L4:O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S31"/>
  <sheetViews>
    <sheetView topLeftCell="B22" workbookViewId="0">
      <selection activeCell="G24" sqref="G24:G28"/>
    </sheetView>
  </sheetViews>
  <sheetFormatPr baseColWidth="10" defaultRowHeight="15" x14ac:dyDescent="0.25"/>
  <cols>
    <col min="1" max="1" width="32.5703125" customWidth="1"/>
    <col min="5" max="5" width="12" bestFit="1" customWidth="1"/>
    <col min="6" max="6" width="15" customWidth="1"/>
    <col min="11" max="11" width="14.140625" bestFit="1" customWidth="1"/>
    <col min="16" max="16" width="12.42578125" customWidth="1"/>
    <col min="17" max="17" width="12.5703125" bestFit="1" customWidth="1"/>
  </cols>
  <sheetData>
    <row r="2" spans="1:17" x14ac:dyDescent="0.25">
      <c r="A2" s="85" t="s">
        <v>15</v>
      </c>
      <c r="B2" s="202" t="s">
        <v>51</v>
      </c>
      <c r="C2" s="203"/>
      <c r="D2" s="203"/>
      <c r="E2" s="203"/>
      <c r="F2" s="204"/>
      <c r="G2" s="202" t="s">
        <v>50</v>
      </c>
      <c r="H2" s="203"/>
      <c r="I2" s="203"/>
      <c r="J2" s="203"/>
      <c r="K2" s="204"/>
      <c r="L2" s="205" t="s">
        <v>60</v>
      </c>
      <c r="M2" s="206"/>
      <c r="N2" s="206"/>
      <c r="O2" s="206"/>
      <c r="P2" s="207"/>
    </row>
    <row r="3" spans="1:17" ht="60" x14ac:dyDescent="0.25">
      <c r="A3" s="84" t="s">
        <v>56</v>
      </c>
      <c r="B3" s="84" t="s">
        <v>3</v>
      </c>
      <c r="C3" s="84" t="s">
        <v>4</v>
      </c>
      <c r="D3" s="84" t="s">
        <v>5</v>
      </c>
      <c r="E3" s="84" t="s">
        <v>68</v>
      </c>
      <c r="F3" s="84" t="s">
        <v>69</v>
      </c>
      <c r="G3" s="84" t="s">
        <v>3</v>
      </c>
      <c r="H3" s="84" t="s">
        <v>4</v>
      </c>
      <c r="I3" s="84" t="s">
        <v>5</v>
      </c>
      <c r="J3" s="84" t="s">
        <v>68</v>
      </c>
      <c r="K3" s="84" t="s">
        <v>69</v>
      </c>
      <c r="L3" s="84" t="s">
        <v>3</v>
      </c>
      <c r="M3" s="84" t="s">
        <v>4</v>
      </c>
      <c r="N3" s="84" t="s">
        <v>5</v>
      </c>
      <c r="O3" s="84" t="s">
        <v>68</v>
      </c>
      <c r="P3" s="84" t="s">
        <v>69</v>
      </c>
    </row>
    <row r="4" spans="1:17" x14ac:dyDescent="0.25">
      <c r="A4" s="72" t="s">
        <v>77</v>
      </c>
      <c r="B4" s="89">
        <v>4665</v>
      </c>
      <c r="C4" s="89">
        <f>B4*19%</f>
        <v>886.35</v>
      </c>
      <c r="D4" s="89">
        <f>B4+C4</f>
        <v>5551.35</v>
      </c>
      <c r="E4" s="94">
        <v>1</v>
      </c>
      <c r="F4" s="93">
        <f>D4*E4</f>
        <v>5551.35</v>
      </c>
      <c r="G4" s="80">
        <v>7386</v>
      </c>
      <c r="H4" s="81"/>
      <c r="I4" s="81">
        <f>G4+H4</f>
        <v>7386</v>
      </c>
      <c r="J4" s="94">
        <v>1</v>
      </c>
      <c r="K4" s="93">
        <f>I4*J4</f>
        <v>7386</v>
      </c>
      <c r="L4" s="80">
        <v>4210</v>
      </c>
      <c r="M4" s="83">
        <f>L4*19%</f>
        <v>799.9</v>
      </c>
      <c r="N4" s="83">
        <f>L4+M4</f>
        <v>5009.8999999999996</v>
      </c>
      <c r="O4" s="94">
        <v>1</v>
      </c>
      <c r="P4" s="93">
        <f>N4*O4</f>
        <v>5009.8999999999996</v>
      </c>
    </row>
    <row r="5" spans="1:17" x14ac:dyDescent="0.25">
      <c r="A5" s="72" t="s">
        <v>78</v>
      </c>
      <c r="B5" s="89">
        <v>7329</v>
      </c>
      <c r="C5" s="89">
        <f t="shared" ref="C5:C8" si="0">B5*19%</f>
        <v>1392.51</v>
      </c>
      <c r="D5" s="89">
        <f t="shared" ref="D5:D8" si="1">B5+C5</f>
        <v>8721.51</v>
      </c>
      <c r="E5" s="94">
        <v>1</v>
      </c>
      <c r="F5" s="93">
        <f>D5*E5</f>
        <v>8721.51</v>
      </c>
      <c r="G5" s="100">
        <v>9670</v>
      </c>
      <c r="H5" s="81"/>
      <c r="I5" s="81">
        <f>G5+H5</f>
        <v>9670</v>
      </c>
      <c r="J5" s="99">
        <v>1</v>
      </c>
      <c r="K5" s="93">
        <f>I5*J5</f>
        <v>9670</v>
      </c>
      <c r="L5" s="80">
        <v>6350</v>
      </c>
      <c r="M5" s="83">
        <f t="shared" ref="M5:M8" si="2">L5*19%</f>
        <v>1206.5</v>
      </c>
      <c r="N5" s="83">
        <f t="shared" ref="N5:N8" si="3">L5+M5</f>
        <v>7556.5</v>
      </c>
      <c r="O5" s="94">
        <v>1</v>
      </c>
      <c r="P5" s="93">
        <f>N5*O5</f>
        <v>7556.5</v>
      </c>
    </row>
    <row r="6" spans="1:17" x14ac:dyDescent="0.25">
      <c r="A6" s="72" t="s">
        <v>79</v>
      </c>
      <c r="B6" s="89">
        <v>14834</v>
      </c>
      <c r="C6" s="89">
        <f t="shared" si="0"/>
        <v>2818.46</v>
      </c>
      <c r="D6" s="89">
        <f t="shared" si="1"/>
        <v>17652.46</v>
      </c>
      <c r="E6" s="94">
        <v>1</v>
      </c>
      <c r="F6" s="93">
        <f>D6*E6</f>
        <v>17652.46</v>
      </c>
      <c r="G6" s="100">
        <v>15813</v>
      </c>
      <c r="H6" s="81"/>
      <c r="I6" s="81">
        <f>G6+H6</f>
        <v>15813</v>
      </c>
      <c r="J6" s="99">
        <v>1</v>
      </c>
      <c r="K6" s="93">
        <f>I6*J6</f>
        <v>15813</v>
      </c>
      <c r="L6" s="80">
        <v>8850</v>
      </c>
      <c r="M6" s="83">
        <f t="shared" si="2"/>
        <v>1681.5</v>
      </c>
      <c r="N6" s="83">
        <f t="shared" si="3"/>
        <v>10531.5</v>
      </c>
      <c r="O6" s="94">
        <v>1</v>
      </c>
      <c r="P6" s="93">
        <f>N6*O6</f>
        <v>10531.5</v>
      </c>
    </row>
    <row r="7" spans="1:17" x14ac:dyDescent="0.25">
      <c r="A7" s="72" t="s">
        <v>9</v>
      </c>
      <c r="B7" s="101">
        <v>7645</v>
      </c>
      <c r="C7" s="89">
        <f t="shared" si="0"/>
        <v>1452.55</v>
      </c>
      <c r="D7" s="89">
        <f t="shared" si="1"/>
        <v>9097.5499999999993</v>
      </c>
      <c r="E7" s="94">
        <v>1900</v>
      </c>
      <c r="F7" s="93">
        <f>E7*D7</f>
        <v>17285345</v>
      </c>
      <c r="G7" s="100">
        <v>2729</v>
      </c>
      <c r="H7" s="81">
        <f>G7*19%</f>
        <v>518.51</v>
      </c>
      <c r="I7" s="81">
        <f>G7+H7</f>
        <v>3247.51</v>
      </c>
      <c r="J7" s="94">
        <v>1900</v>
      </c>
      <c r="K7" s="93">
        <f>J7*G7</f>
        <v>5185100</v>
      </c>
      <c r="L7" s="80">
        <v>2500</v>
      </c>
      <c r="M7" s="83">
        <f t="shared" si="2"/>
        <v>475</v>
      </c>
      <c r="N7" s="83">
        <f t="shared" si="3"/>
        <v>2975</v>
      </c>
      <c r="O7" s="94">
        <v>1900</v>
      </c>
      <c r="P7" s="93">
        <f>O7*N7</f>
        <v>5652500</v>
      </c>
      <c r="Q7" s="50"/>
    </row>
    <row r="8" spans="1:17" x14ac:dyDescent="0.25">
      <c r="A8" s="72" t="s">
        <v>80</v>
      </c>
      <c r="B8" s="89">
        <v>4500000</v>
      </c>
      <c r="C8" s="89">
        <f t="shared" si="0"/>
        <v>855000</v>
      </c>
      <c r="D8" s="89">
        <f t="shared" si="1"/>
        <v>5355000</v>
      </c>
      <c r="E8" s="94" t="s">
        <v>81</v>
      </c>
      <c r="F8" s="93">
        <f>D8</f>
        <v>5355000</v>
      </c>
      <c r="G8" s="100">
        <v>5416000</v>
      </c>
      <c r="H8" s="81">
        <f>G8*19%</f>
        <v>1029040</v>
      </c>
      <c r="I8" s="81">
        <f>G8+H8</f>
        <v>6445040</v>
      </c>
      <c r="J8" s="99" t="s">
        <v>81</v>
      </c>
      <c r="K8" s="93">
        <f>I8</f>
        <v>6445040</v>
      </c>
      <c r="L8" s="80">
        <v>5400000</v>
      </c>
      <c r="M8" s="83">
        <f t="shared" si="2"/>
        <v>1026000</v>
      </c>
      <c r="N8" s="83">
        <f t="shared" si="3"/>
        <v>6426000</v>
      </c>
      <c r="O8" s="94" t="s">
        <v>81</v>
      </c>
      <c r="P8" s="93">
        <f>N8</f>
        <v>6426000</v>
      </c>
    </row>
    <row r="9" spans="1:17" x14ac:dyDescent="0.25">
      <c r="A9" s="7" t="s">
        <v>70</v>
      </c>
      <c r="B9" s="208">
        <v>9</v>
      </c>
      <c r="C9" s="209"/>
      <c r="D9" s="209"/>
      <c r="E9" s="210"/>
      <c r="F9" s="91">
        <f>SUM(F4:F8)*9</f>
        <v>204050432.88</v>
      </c>
      <c r="G9" s="208">
        <v>9</v>
      </c>
      <c r="H9" s="209"/>
      <c r="I9" s="209"/>
      <c r="J9" s="210"/>
      <c r="K9" s="91">
        <f>SUM(K4:K8)*9</f>
        <v>104967081</v>
      </c>
      <c r="L9" s="208">
        <v>9</v>
      </c>
      <c r="M9" s="209"/>
      <c r="N9" s="209"/>
      <c r="O9" s="210"/>
      <c r="P9" s="91">
        <f>SUM(P4:P8)*9</f>
        <v>108914381.10000001</v>
      </c>
      <c r="Q9" s="104"/>
    </row>
    <row r="10" spans="1:17" ht="30" x14ac:dyDescent="0.25">
      <c r="A10" s="86" t="s">
        <v>21</v>
      </c>
      <c r="B10" s="212">
        <f>HARMEAN(D7,I7,N7)</f>
        <v>3978.8727927705777</v>
      </c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4"/>
      <c r="Q10" s="103">
        <f>B10</f>
        <v>3978.8727927705777</v>
      </c>
    </row>
    <row r="11" spans="1:17" x14ac:dyDescent="0.25">
      <c r="Q11" s="104"/>
    </row>
    <row r="12" spans="1:17" x14ac:dyDescent="0.25">
      <c r="A12" s="85" t="s">
        <v>15</v>
      </c>
      <c r="B12" s="202" t="s">
        <v>51</v>
      </c>
      <c r="C12" s="203"/>
      <c r="D12" s="203"/>
      <c r="E12" s="203"/>
      <c r="F12" s="204"/>
      <c r="G12" s="202" t="s">
        <v>50</v>
      </c>
      <c r="H12" s="203"/>
      <c r="I12" s="203"/>
      <c r="J12" s="203"/>
      <c r="K12" s="204"/>
      <c r="L12" s="205" t="s">
        <v>82</v>
      </c>
      <c r="M12" s="206"/>
      <c r="N12" s="206"/>
      <c r="O12" s="206"/>
      <c r="P12" s="207"/>
      <c r="Q12" s="104"/>
    </row>
    <row r="13" spans="1:17" ht="60" x14ac:dyDescent="0.25">
      <c r="A13" s="84" t="s">
        <v>56</v>
      </c>
      <c r="B13" s="84" t="s">
        <v>3</v>
      </c>
      <c r="C13" s="84" t="s">
        <v>4</v>
      </c>
      <c r="D13" s="84" t="s">
        <v>5</v>
      </c>
      <c r="E13" s="84" t="s">
        <v>68</v>
      </c>
      <c r="F13" s="84" t="s">
        <v>71</v>
      </c>
      <c r="G13" s="84" t="s">
        <v>3</v>
      </c>
      <c r="H13" s="84" t="s">
        <v>4</v>
      </c>
      <c r="I13" s="84" t="s">
        <v>5</v>
      </c>
      <c r="J13" s="84" t="s">
        <v>68</v>
      </c>
      <c r="K13" s="84" t="s">
        <v>71</v>
      </c>
      <c r="L13" s="84" t="s">
        <v>3</v>
      </c>
      <c r="M13" s="84" t="s">
        <v>4</v>
      </c>
      <c r="N13" s="84" t="s">
        <v>5</v>
      </c>
      <c r="O13" s="84" t="s">
        <v>68</v>
      </c>
      <c r="P13" s="84" t="s">
        <v>71</v>
      </c>
      <c r="Q13" s="104"/>
    </row>
    <row r="14" spans="1:17" x14ac:dyDescent="0.25">
      <c r="A14" s="72" t="s">
        <v>77</v>
      </c>
      <c r="B14" s="89">
        <v>4992</v>
      </c>
      <c r="C14" s="89">
        <f>B14*19%</f>
        <v>948.48</v>
      </c>
      <c r="D14" s="89">
        <f>B14+C14</f>
        <v>5940.48</v>
      </c>
      <c r="E14" s="94">
        <v>1</v>
      </c>
      <c r="F14" s="93">
        <f>D14*E14</f>
        <v>5940.48</v>
      </c>
      <c r="G14" s="80">
        <v>7659.2819999999992</v>
      </c>
      <c r="H14" s="81"/>
      <c r="I14" s="81">
        <f>G14+H14</f>
        <v>7659.2819999999992</v>
      </c>
      <c r="J14" s="94">
        <v>1</v>
      </c>
      <c r="K14" s="93">
        <v>1</v>
      </c>
      <c r="L14" s="80">
        <v>4462</v>
      </c>
      <c r="M14" s="83">
        <f>L14*19%</f>
        <v>847.78</v>
      </c>
      <c r="N14" s="83">
        <f>L14+M14</f>
        <v>5309.78</v>
      </c>
      <c r="O14" s="94">
        <v>1</v>
      </c>
      <c r="P14" s="93">
        <f>N14*O14</f>
        <v>5309.78</v>
      </c>
      <c r="Q14" s="104"/>
    </row>
    <row r="15" spans="1:17" x14ac:dyDescent="0.25">
      <c r="A15" s="72" t="s">
        <v>78</v>
      </c>
      <c r="B15" s="98">
        <v>7842</v>
      </c>
      <c r="C15" s="89">
        <f t="shared" ref="C15:C18" si="4">B15*19%</f>
        <v>1489.98</v>
      </c>
      <c r="D15" s="89">
        <f t="shared" ref="D15:D18" si="5">B15+C15</f>
        <v>9331.98</v>
      </c>
      <c r="E15" s="99">
        <v>1</v>
      </c>
      <c r="F15" s="93">
        <f t="shared" ref="F15:F17" si="6">D15*E15</f>
        <v>9331.98</v>
      </c>
      <c r="G15" s="100">
        <v>10027.789999999999</v>
      </c>
      <c r="H15" s="81"/>
      <c r="I15" s="81">
        <f t="shared" ref="I15:I18" si="7">G15+H15</f>
        <v>10027.789999999999</v>
      </c>
      <c r="J15" s="99">
        <v>1</v>
      </c>
      <c r="K15" s="93">
        <v>1</v>
      </c>
      <c r="L15" s="100">
        <v>6731</v>
      </c>
      <c r="M15" s="83">
        <f t="shared" ref="M15:M18" si="8">L15*19%</f>
        <v>1278.8900000000001</v>
      </c>
      <c r="N15" s="83">
        <f t="shared" ref="N15:N18" si="9">L15+M15</f>
        <v>8009.89</v>
      </c>
      <c r="O15" s="99">
        <v>1</v>
      </c>
      <c r="P15" s="93">
        <f t="shared" ref="P15:P17" si="10">N15*O15</f>
        <v>8009.89</v>
      </c>
      <c r="Q15" s="104"/>
    </row>
    <row r="16" spans="1:17" x14ac:dyDescent="0.25">
      <c r="A16" s="72" t="s">
        <v>79</v>
      </c>
      <c r="B16" s="98">
        <v>15872</v>
      </c>
      <c r="C16" s="89">
        <f t="shared" si="4"/>
        <v>3015.68</v>
      </c>
      <c r="D16" s="89">
        <f t="shared" si="5"/>
        <v>18887.68</v>
      </c>
      <c r="E16" s="99">
        <v>1</v>
      </c>
      <c r="F16" s="93">
        <f t="shared" si="6"/>
        <v>18887.68</v>
      </c>
      <c r="G16" s="100">
        <v>16398.080999999998</v>
      </c>
      <c r="H16" s="81"/>
      <c r="I16" s="81">
        <f t="shared" si="7"/>
        <v>16398.080999999998</v>
      </c>
      <c r="J16" s="99">
        <v>1</v>
      </c>
      <c r="K16" s="93">
        <v>1</v>
      </c>
      <c r="L16" s="100">
        <v>9381</v>
      </c>
      <c r="M16" s="83">
        <f t="shared" si="8"/>
        <v>1782.39</v>
      </c>
      <c r="N16" s="83">
        <f t="shared" si="9"/>
        <v>11163.39</v>
      </c>
      <c r="O16" s="99">
        <v>1</v>
      </c>
      <c r="P16" s="93">
        <f t="shared" si="10"/>
        <v>11163.39</v>
      </c>
      <c r="Q16" s="104"/>
    </row>
    <row r="17" spans="1:19" x14ac:dyDescent="0.25">
      <c r="A17" s="72" t="s">
        <v>9</v>
      </c>
      <c r="B17" s="98">
        <v>8180</v>
      </c>
      <c r="C17" s="89">
        <f t="shared" si="4"/>
        <v>1554.2</v>
      </c>
      <c r="D17" s="89">
        <f t="shared" si="5"/>
        <v>9734.2000000000007</v>
      </c>
      <c r="E17" s="99">
        <v>1567</v>
      </c>
      <c r="F17" s="93">
        <f t="shared" si="6"/>
        <v>15253491.4</v>
      </c>
      <c r="G17" s="100">
        <v>2830</v>
      </c>
      <c r="H17" s="81">
        <f t="shared" ref="H17:H18" si="11">G17*19%</f>
        <v>537.70000000000005</v>
      </c>
      <c r="I17" s="81">
        <f t="shared" si="7"/>
        <v>3367.7</v>
      </c>
      <c r="J17" s="99">
        <v>1567</v>
      </c>
      <c r="K17" s="93">
        <v>1</v>
      </c>
      <c r="L17" s="100">
        <v>2650</v>
      </c>
      <c r="M17" s="83">
        <f t="shared" si="8"/>
        <v>503.5</v>
      </c>
      <c r="N17" s="87">
        <f t="shared" si="9"/>
        <v>3153.5</v>
      </c>
      <c r="O17" s="99">
        <v>1567</v>
      </c>
      <c r="P17" s="93">
        <f t="shared" si="10"/>
        <v>4941534.5</v>
      </c>
      <c r="Q17" s="104"/>
      <c r="S17" s="111"/>
    </row>
    <row r="18" spans="1:19" x14ac:dyDescent="0.25">
      <c r="A18" s="72" t="s">
        <v>80</v>
      </c>
      <c r="B18" s="89">
        <v>4815000</v>
      </c>
      <c r="C18" s="89">
        <f t="shared" si="4"/>
        <v>914850</v>
      </c>
      <c r="D18" s="89">
        <f t="shared" si="5"/>
        <v>5729850</v>
      </c>
      <c r="E18" s="99" t="s">
        <v>81</v>
      </c>
      <c r="F18" s="93">
        <f>D18</f>
        <v>5729850</v>
      </c>
      <c r="G18" s="100">
        <v>5686800</v>
      </c>
      <c r="H18" s="81">
        <f t="shared" si="11"/>
        <v>1080492</v>
      </c>
      <c r="I18" s="81">
        <f t="shared" si="7"/>
        <v>6767292</v>
      </c>
      <c r="J18" s="99" t="s">
        <v>81</v>
      </c>
      <c r="K18" s="93">
        <f>I18</f>
        <v>6767292</v>
      </c>
      <c r="L18" s="100">
        <v>5724000</v>
      </c>
      <c r="M18" s="83">
        <f t="shared" si="8"/>
        <v>1087560</v>
      </c>
      <c r="N18" s="83">
        <f t="shared" si="9"/>
        <v>6811560</v>
      </c>
      <c r="O18" s="99" t="s">
        <v>81</v>
      </c>
      <c r="P18" s="93">
        <f>N18</f>
        <v>6811560</v>
      </c>
      <c r="Q18" s="104"/>
    </row>
    <row r="19" spans="1:19" x14ac:dyDescent="0.25">
      <c r="A19" s="7" t="s">
        <v>70</v>
      </c>
      <c r="B19" s="208">
        <v>12</v>
      </c>
      <c r="C19" s="209"/>
      <c r="D19" s="209"/>
      <c r="E19" s="210"/>
      <c r="F19" s="91">
        <f>SUM(F14:F18)*B19</f>
        <v>252210018.47999999</v>
      </c>
      <c r="G19" s="208">
        <v>12</v>
      </c>
      <c r="H19" s="209"/>
      <c r="I19" s="209"/>
      <c r="J19" s="210"/>
      <c r="K19" s="91">
        <f>SUM(K14:K18)*G19</f>
        <v>81207552</v>
      </c>
      <c r="L19" s="208">
        <v>12</v>
      </c>
      <c r="M19" s="209"/>
      <c r="N19" s="209"/>
      <c r="O19" s="210"/>
      <c r="P19" s="91">
        <f>SUM(P14:P18)*L19</f>
        <v>141330930.71999997</v>
      </c>
      <c r="Q19" s="104"/>
    </row>
    <row r="20" spans="1:19" ht="30" x14ac:dyDescent="0.25">
      <c r="A20" s="86" t="s">
        <v>21</v>
      </c>
      <c r="B20" s="212">
        <f>HARMEAN(F19,K19,P19)</f>
        <v>128453982.02224652</v>
      </c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4"/>
      <c r="Q20" s="103">
        <f>B20</f>
        <v>128453982.02224652</v>
      </c>
    </row>
    <row r="21" spans="1:19" x14ac:dyDescent="0.25">
      <c r="Q21" s="104"/>
    </row>
    <row r="22" spans="1:19" x14ac:dyDescent="0.25">
      <c r="A22" s="85" t="s">
        <v>15</v>
      </c>
      <c r="B22" s="202" t="s">
        <v>51</v>
      </c>
      <c r="C22" s="203"/>
      <c r="D22" s="203"/>
      <c r="E22" s="203"/>
      <c r="F22" s="204"/>
      <c r="G22" s="202" t="s">
        <v>50</v>
      </c>
      <c r="H22" s="203"/>
      <c r="I22" s="203"/>
      <c r="J22" s="203"/>
      <c r="K22" s="204"/>
      <c r="L22" s="205" t="s">
        <v>60</v>
      </c>
      <c r="M22" s="206"/>
      <c r="N22" s="206"/>
      <c r="O22" s="206"/>
      <c r="P22" s="207"/>
      <c r="Q22" s="104"/>
    </row>
    <row r="23" spans="1:19" ht="60" x14ac:dyDescent="0.25">
      <c r="A23" s="84" t="s">
        <v>56</v>
      </c>
      <c r="B23" s="84" t="s">
        <v>3</v>
      </c>
      <c r="C23" s="84" t="s">
        <v>4</v>
      </c>
      <c r="D23" s="84" t="s">
        <v>5</v>
      </c>
      <c r="E23" s="84" t="s">
        <v>68</v>
      </c>
      <c r="F23" s="84" t="s">
        <v>72</v>
      </c>
      <c r="G23" s="84" t="s">
        <v>3</v>
      </c>
      <c r="H23" s="84" t="s">
        <v>4</v>
      </c>
      <c r="I23" s="84" t="s">
        <v>5</v>
      </c>
      <c r="J23" s="84" t="s">
        <v>68</v>
      </c>
      <c r="K23" s="84" t="s">
        <v>72</v>
      </c>
      <c r="L23" s="84" t="s">
        <v>3</v>
      </c>
      <c r="M23" s="84" t="s">
        <v>4</v>
      </c>
      <c r="N23" s="84" t="s">
        <v>5</v>
      </c>
      <c r="O23" s="84" t="s">
        <v>68</v>
      </c>
      <c r="P23" s="84" t="s">
        <v>72</v>
      </c>
      <c r="Q23" s="104"/>
    </row>
    <row r="24" spans="1:19" x14ac:dyDescent="0.25">
      <c r="A24" s="72" t="s">
        <v>77</v>
      </c>
      <c r="B24" s="89">
        <v>5377</v>
      </c>
      <c r="C24" s="89">
        <f>B24*19%</f>
        <v>1021.63</v>
      </c>
      <c r="D24" s="89">
        <f>B24+C24</f>
        <v>6398.63</v>
      </c>
      <c r="E24" s="94">
        <v>1</v>
      </c>
      <c r="F24" s="93">
        <f>D24*E24</f>
        <v>6398.63</v>
      </c>
      <c r="G24" s="80">
        <v>7659.2819999999992</v>
      </c>
      <c r="H24" s="81"/>
      <c r="I24" s="81">
        <f>G24+H24</f>
        <v>7659.2819999999992</v>
      </c>
      <c r="J24" s="94">
        <v>1</v>
      </c>
      <c r="K24" s="93">
        <f>I24*J24</f>
        <v>7659.2819999999992</v>
      </c>
      <c r="L24" s="80">
        <v>4730</v>
      </c>
      <c r="M24" s="83">
        <f>L24*19%</f>
        <v>898.7</v>
      </c>
      <c r="N24" s="83">
        <f>L24+M24</f>
        <v>5628.7</v>
      </c>
      <c r="O24" s="94">
        <v>1</v>
      </c>
      <c r="P24" s="93">
        <f>N24*O24</f>
        <v>5628.7</v>
      </c>
      <c r="Q24" s="104"/>
    </row>
    <row r="25" spans="1:19" x14ac:dyDescent="0.25">
      <c r="A25" s="72" t="s">
        <v>78</v>
      </c>
      <c r="B25" s="98">
        <v>8448</v>
      </c>
      <c r="C25" s="89">
        <f t="shared" ref="C25:C28" si="12">B25*19%</f>
        <v>1605.1200000000001</v>
      </c>
      <c r="D25" s="89">
        <f t="shared" ref="D25:D28" si="13">B25+C25</f>
        <v>10053.120000000001</v>
      </c>
      <c r="E25" s="99">
        <v>1</v>
      </c>
      <c r="F25" s="93">
        <f t="shared" ref="F25:F27" si="14">D25*E25</f>
        <v>10053.120000000001</v>
      </c>
      <c r="G25" s="100">
        <v>10027.789999999999</v>
      </c>
      <c r="H25" s="81"/>
      <c r="I25" s="81">
        <f t="shared" ref="I25:I28" si="15">G25+H25</f>
        <v>10027.789999999999</v>
      </c>
      <c r="J25" s="99">
        <v>1</v>
      </c>
      <c r="K25" s="93">
        <f t="shared" ref="K25:K27" si="16">I25*J25</f>
        <v>10027.789999999999</v>
      </c>
      <c r="L25" s="100">
        <v>7134</v>
      </c>
      <c r="M25" s="83">
        <f t="shared" ref="M25:M28" si="17">L25*19%</f>
        <v>1355.46</v>
      </c>
      <c r="N25" s="83">
        <f t="shared" ref="N25:N28" si="18">L25+M25</f>
        <v>8489.4599999999991</v>
      </c>
      <c r="O25" s="99">
        <v>1</v>
      </c>
      <c r="P25" s="93">
        <f t="shared" ref="P25:P27" si="19">N25*O25</f>
        <v>8489.4599999999991</v>
      </c>
      <c r="Q25" s="104"/>
    </row>
    <row r="26" spans="1:19" x14ac:dyDescent="0.25">
      <c r="A26" s="72" t="s">
        <v>79</v>
      </c>
      <c r="B26" s="98">
        <v>17099</v>
      </c>
      <c r="C26" s="89">
        <f t="shared" si="12"/>
        <v>3248.81</v>
      </c>
      <c r="D26" s="89">
        <f t="shared" si="13"/>
        <v>20347.810000000001</v>
      </c>
      <c r="E26" s="99">
        <v>1</v>
      </c>
      <c r="F26" s="93">
        <f t="shared" si="14"/>
        <v>20347.810000000001</v>
      </c>
      <c r="G26" s="100">
        <v>16398.080999999998</v>
      </c>
      <c r="H26" s="81"/>
      <c r="I26" s="81">
        <f t="shared" si="15"/>
        <v>16398.080999999998</v>
      </c>
      <c r="J26" s="99">
        <v>1</v>
      </c>
      <c r="K26" s="93">
        <f t="shared" si="16"/>
        <v>16398.080999999998</v>
      </c>
      <c r="L26" s="100">
        <v>9943</v>
      </c>
      <c r="M26" s="83">
        <f t="shared" si="17"/>
        <v>1889.17</v>
      </c>
      <c r="N26" s="83">
        <f t="shared" si="18"/>
        <v>11832.17</v>
      </c>
      <c r="O26" s="99">
        <v>1</v>
      </c>
      <c r="P26" s="93">
        <f t="shared" si="19"/>
        <v>11832.17</v>
      </c>
      <c r="Q26" s="104"/>
    </row>
    <row r="27" spans="1:19" x14ac:dyDescent="0.25">
      <c r="A27" s="72" t="s">
        <v>9</v>
      </c>
      <c r="B27" s="98">
        <v>8813</v>
      </c>
      <c r="C27" s="89">
        <f t="shared" si="12"/>
        <v>1674.47</v>
      </c>
      <c r="D27" s="89">
        <f t="shared" si="13"/>
        <v>10487.47</v>
      </c>
      <c r="E27" s="99">
        <v>1458</v>
      </c>
      <c r="F27" s="93">
        <f t="shared" si="14"/>
        <v>15290731.26</v>
      </c>
      <c r="G27" s="100">
        <v>2935</v>
      </c>
      <c r="H27" s="81">
        <f t="shared" ref="H27:H28" si="20">G27*19%</f>
        <v>557.65</v>
      </c>
      <c r="I27" s="81">
        <f t="shared" si="15"/>
        <v>3492.65</v>
      </c>
      <c r="J27" s="99">
        <v>1458</v>
      </c>
      <c r="K27" s="93">
        <f t="shared" si="16"/>
        <v>5092283.7</v>
      </c>
      <c r="L27" s="100">
        <v>2809</v>
      </c>
      <c r="M27" s="83">
        <f t="shared" si="17"/>
        <v>533.71</v>
      </c>
      <c r="N27" s="83">
        <f t="shared" si="18"/>
        <v>3342.71</v>
      </c>
      <c r="O27" s="99">
        <v>1458</v>
      </c>
      <c r="P27" s="93">
        <f t="shared" si="19"/>
        <v>4873671.18</v>
      </c>
      <c r="Q27" s="104"/>
    </row>
    <row r="28" spans="1:19" x14ac:dyDescent="0.25">
      <c r="A28" s="72" t="s">
        <v>80</v>
      </c>
      <c r="B28" s="98">
        <v>5187200</v>
      </c>
      <c r="C28" s="89">
        <f t="shared" si="12"/>
        <v>985568</v>
      </c>
      <c r="D28" s="89">
        <f t="shared" si="13"/>
        <v>6172768</v>
      </c>
      <c r="E28" s="99" t="s">
        <v>81</v>
      </c>
      <c r="F28" s="93">
        <f>D28</f>
        <v>6172768</v>
      </c>
      <c r="G28" s="100">
        <v>5971140</v>
      </c>
      <c r="H28" s="81">
        <f t="shared" si="20"/>
        <v>1134516.6000000001</v>
      </c>
      <c r="I28" s="81">
        <f t="shared" si="15"/>
        <v>7105656.5999999996</v>
      </c>
      <c r="J28" s="99" t="s">
        <v>81</v>
      </c>
      <c r="K28" s="93">
        <f>I28</f>
        <v>7105656.5999999996</v>
      </c>
      <c r="L28" s="100">
        <v>6067440</v>
      </c>
      <c r="M28" s="83">
        <f t="shared" si="17"/>
        <v>1152813.6000000001</v>
      </c>
      <c r="N28" s="83">
        <f t="shared" si="18"/>
        <v>7220253.5999999996</v>
      </c>
      <c r="O28" s="99" t="s">
        <v>81</v>
      </c>
      <c r="P28" s="93">
        <f>N28</f>
        <v>7220253.5999999996</v>
      </c>
      <c r="Q28" s="104"/>
    </row>
    <row r="29" spans="1:19" x14ac:dyDescent="0.25">
      <c r="A29" s="7" t="s">
        <v>70</v>
      </c>
      <c r="B29" s="208">
        <v>12</v>
      </c>
      <c r="C29" s="209"/>
      <c r="D29" s="209"/>
      <c r="E29" s="210"/>
      <c r="F29" s="91">
        <f>SUM(F24:F28)*B29</f>
        <v>258003585.84</v>
      </c>
      <c r="G29" s="208">
        <v>12</v>
      </c>
      <c r="H29" s="209"/>
      <c r="I29" s="209"/>
      <c r="J29" s="210"/>
      <c r="K29" s="91">
        <f>SUM(K24:K28)*G29</f>
        <v>146784305.43599999</v>
      </c>
      <c r="L29" s="208">
        <v>12</v>
      </c>
      <c r="M29" s="209"/>
      <c r="N29" s="209"/>
      <c r="O29" s="210"/>
      <c r="P29" s="91">
        <f>SUM(P24:P28)*L29</f>
        <v>145438501.31999999</v>
      </c>
      <c r="Q29" s="104"/>
    </row>
    <row r="30" spans="1:19" ht="30" x14ac:dyDescent="0.25">
      <c r="A30" s="86" t="s">
        <v>21</v>
      </c>
      <c r="B30" s="212">
        <f>HARMEAN(F29,K29,P29)</f>
        <v>170800114.85817349</v>
      </c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4"/>
      <c r="Q30" s="103">
        <f>B30</f>
        <v>170800114.85817349</v>
      </c>
    </row>
    <row r="31" spans="1:19" x14ac:dyDescent="0.25">
      <c r="Q31" s="104"/>
    </row>
  </sheetData>
  <mergeCells count="21">
    <mergeCell ref="B30:P30"/>
    <mergeCell ref="B20:P20"/>
    <mergeCell ref="B22:F22"/>
    <mergeCell ref="G22:K22"/>
    <mergeCell ref="L22:P22"/>
    <mergeCell ref="B29:E29"/>
    <mergeCell ref="G29:J29"/>
    <mergeCell ref="L29:O29"/>
    <mergeCell ref="B2:F2"/>
    <mergeCell ref="G2:K2"/>
    <mergeCell ref="L2:P2"/>
    <mergeCell ref="B19:E19"/>
    <mergeCell ref="G19:J19"/>
    <mergeCell ref="L19:O19"/>
    <mergeCell ref="B10:P10"/>
    <mergeCell ref="L9:O9"/>
    <mergeCell ref="G9:J9"/>
    <mergeCell ref="B9:E9"/>
    <mergeCell ref="B12:F12"/>
    <mergeCell ref="G12:K12"/>
    <mergeCell ref="L12:P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0"/>
  <sheetViews>
    <sheetView topLeftCell="J1" workbookViewId="0">
      <selection activeCell="W3" sqref="W3:W5"/>
    </sheetView>
  </sheetViews>
  <sheetFormatPr baseColWidth="10" defaultRowHeight="15" x14ac:dyDescent="0.25"/>
  <cols>
    <col min="1" max="2" width="32.5703125" customWidth="1"/>
    <col min="3" max="3" width="15.28515625" customWidth="1"/>
    <col min="4" max="4" width="13.85546875" customWidth="1"/>
    <col min="6" max="6" width="12" bestFit="1" customWidth="1"/>
    <col min="7" max="7" width="15" customWidth="1"/>
    <col min="12" max="12" width="12.5703125" bestFit="1" customWidth="1"/>
    <col min="17" max="17" width="12.42578125" customWidth="1"/>
    <col min="18" max="18" width="12.5703125" bestFit="1" customWidth="1"/>
    <col min="22" max="22" width="14.85546875" customWidth="1"/>
    <col min="23" max="23" width="15.140625" bestFit="1" customWidth="1"/>
    <col min="27" max="27" width="14.7109375" customWidth="1"/>
  </cols>
  <sheetData>
    <row r="1" spans="1:28" x14ac:dyDescent="0.25">
      <c r="A1" s="85" t="s">
        <v>15</v>
      </c>
      <c r="B1" s="109"/>
      <c r="C1" s="202" t="s">
        <v>51</v>
      </c>
      <c r="D1" s="203"/>
      <c r="E1" s="203"/>
      <c r="F1" s="203"/>
      <c r="G1" s="204"/>
      <c r="H1" s="202" t="s">
        <v>50</v>
      </c>
      <c r="I1" s="203"/>
      <c r="J1" s="203"/>
      <c r="K1" s="203"/>
      <c r="L1" s="204"/>
      <c r="M1" s="205" t="s">
        <v>82</v>
      </c>
      <c r="N1" s="206"/>
      <c r="O1" s="206"/>
      <c r="P1" s="206"/>
      <c r="Q1" s="207"/>
      <c r="R1" s="205" t="s">
        <v>96</v>
      </c>
      <c r="S1" s="206"/>
      <c r="T1" s="206"/>
      <c r="U1" s="206"/>
      <c r="V1" s="207"/>
      <c r="W1" s="205" t="s">
        <v>97</v>
      </c>
      <c r="X1" s="206"/>
      <c r="Y1" s="206"/>
      <c r="Z1" s="206"/>
      <c r="AA1" s="207"/>
    </row>
    <row r="2" spans="1:28" ht="45" x14ac:dyDescent="0.25">
      <c r="A2" s="84" t="s">
        <v>56</v>
      </c>
      <c r="B2" s="106" t="s">
        <v>98</v>
      </c>
      <c r="C2" s="84" t="s">
        <v>3</v>
      </c>
      <c r="D2" s="84" t="s">
        <v>4</v>
      </c>
      <c r="E2" s="84" t="s">
        <v>5</v>
      </c>
      <c r="F2" s="84" t="s">
        <v>61</v>
      </c>
      <c r="G2" s="84" t="s">
        <v>62</v>
      </c>
      <c r="H2" s="84" t="s">
        <v>3</v>
      </c>
      <c r="I2" s="84" t="s">
        <v>4</v>
      </c>
      <c r="J2" s="84" t="s">
        <v>5</v>
      </c>
      <c r="K2" s="84" t="s">
        <v>61</v>
      </c>
      <c r="L2" s="84" t="s">
        <v>62</v>
      </c>
      <c r="M2" s="84" t="s">
        <v>3</v>
      </c>
      <c r="N2" s="84" t="s">
        <v>4</v>
      </c>
      <c r="O2" s="84" t="s">
        <v>5</v>
      </c>
      <c r="P2" s="84" t="s">
        <v>61</v>
      </c>
      <c r="Q2" s="84" t="s">
        <v>62</v>
      </c>
      <c r="R2" s="88" t="s">
        <v>3</v>
      </c>
      <c r="S2" s="88" t="s">
        <v>4</v>
      </c>
      <c r="T2" s="88" t="s">
        <v>5</v>
      </c>
      <c r="U2" s="88" t="s">
        <v>61</v>
      </c>
      <c r="V2" s="88" t="s">
        <v>62</v>
      </c>
      <c r="W2" s="88" t="s">
        <v>3</v>
      </c>
      <c r="X2" s="88" t="s">
        <v>4</v>
      </c>
      <c r="Y2" s="88" t="s">
        <v>5</v>
      </c>
      <c r="Z2" s="88" t="s">
        <v>61</v>
      </c>
      <c r="AA2" s="88" t="s">
        <v>62</v>
      </c>
    </row>
    <row r="3" spans="1:28" ht="30" x14ac:dyDescent="0.25">
      <c r="A3" s="72" t="s">
        <v>53</v>
      </c>
      <c r="B3" s="215">
        <v>55867229</v>
      </c>
      <c r="C3" s="89">
        <v>6650000</v>
      </c>
      <c r="D3" s="89">
        <f>C3*19%</f>
        <v>1263500</v>
      </c>
      <c r="E3" s="89">
        <f>C3+D3</f>
        <v>7913500</v>
      </c>
      <c r="F3" s="94">
        <v>9</v>
      </c>
      <c r="G3" s="93">
        <f>E3*F3</f>
        <v>71221500</v>
      </c>
      <c r="H3" s="80">
        <v>9280891.0891089104</v>
      </c>
      <c r="I3" s="81">
        <f>H3*19%</f>
        <v>1763369.3069306931</v>
      </c>
      <c r="J3" s="81">
        <f>H3+I3</f>
        <v>11044260.396039603</v>
      </c>
      <c r="K3" s="94">
        <v>9</v>
      </c>
      <c r="L3" s="93">
        <f>J3*K3</f>
        <v>99398343.564356431</v>
      </c>
      <c r="M3" s="80">
        <v>8900000</v>
      </c>
      <c r="N3" s="105">
        <f>M3*19%</f>
        <v>1691000</v>
      </c>
      <c r="O3" s="105">
        <f>M3+N3</f>
        <v>10591000</v>
      </c>
      <c r="P3" s="94">
        <v>9</v>
      </c>
      <c r="Q3" s="93">
        <f>O3*P3</f>
        <v>95319000</v>
      </c>
      <c r="R3" s="80">
        <v>6000000</v>
      </c>
      <c r="S3" s="105">
        <f>R3*19%</f>
        <v>1140000</v>
      </c>
      <c r="T3" s="105">
        <f>R3+S3</f>
        <v>7140000</v>
      </c>
      <c r="U3" s="94">
        <v>9</v>
      </c>
      <c r="V3" s="93">
        <f>T3*U3</f>
        <v>64260000</v>
      </c>
      <c r="W3" s="80">
        <v>4470000</v>
      </c>
      <c r="X3" s="105">
        <f>W3*19%</f>
        <v>849300</v>
      </c>
      <c r="Y3" s="105">
        <f>W3+X3</f>
        <v>5319300</v>
      </c>
      <c r="Z3" s="94">
        <v>9</v>
      </c>
      <c r="AA3" s="93">
        <f>Y3*Z3</f>
        <v>47873700</v>
      </c>
    </row>
    <row r="4" spans="1:28" x14ac:dyDescent="0.25">
      <c r="A4" s="72" t="s">
        <v>54</v>
      </c>
      <c r="B4" s="216"/>
      <c r="C4" s="89">
        <f>3800000*2</f>
        <v>7600000</v>
      </c>
      <c r="D4" s="89">
        <f>C4*19%</f>
        <v>1444000</v>
      </c>
      <c r="E4" s="89">
        <f>C4+D4</f>
        <v>9044000</v>
      </c>
      <c r="F4" s="95">
        <v>9</v>
      </c>
      <c r="G4" s="93">
        <f>F4*E4</f>
        <v>81396000</v>
      </c>
      <c r="H4" s="80">
        <f>3480334.15841584</f>
        <v>3480334.15841584</v>
      </c>
      <c r="I4" s="81">
        <f>H4*19%</f>
        <v>661263.49009900959</v>
      </c>
      <c r="J4" s="81">
        <f>H4+I4</f>
        <v>4141597.6485148496</v>
      </c>
      <c r="K4" s="95">
        <v>9</v>
      </c>
      <c r="L4" s="93">
        <f>K4*J4</f>
        <v>37274378.836633645</v>
      </c>
      <c r="M4" s="80">
        <f>4100000</f>
        <v>4100000</v>
      </c>
      <c r="N4" s="105">
        <f>M4*19%</f>
        <v>779000</v>
      </c>
      <c r="O4" s="105">
        <f>M4+N4</f>
        <v>4879000</v>
      </c>
      <c r="P4" s="95">
        <v>9</v>
      </c>
      <c r="Q4" s="93">
        <f>P4*O4</f>
        <v>43911000</v>
      </c>
      <c r="R4" s="80">
        <f>2500000</f>
        <v>2500000</v>
      </c>
      <c r="S4" s="105">
        <f>R4*19%</f>
        <v>475000</v>
      </c>
      <c r="T4" s="105">
        <f>R4+S4</f>
        <v>2975000</v>
      </c>
      <c r="U4" s="95">
        <v>9</v>
      </c>
      <c r="V4" s="93">
        <f>U4*T4</f>
        <v>26775000</v>
      </c>
      <c r="W4" s="80">
        <f>3390000</f>
        <v>3390000</v>
      </c>
      <c r="X4" s="105">
        <f>W4*19%</f>
        <v>644100</v>
      </c>
      <c r="Y4" s="105">
        <f>W4+X4</f>
        <v>4034100</v>
      </c>
      <c r="Z4" s="95">
        <v>9</v>
      </c>
      <c r="AA4" s="93">
        <f>Z4*Y4</f>
        <v>36306900</v>
      </c>
    </row>
    <row r="5" spans="1:28" x14ac:dyDescent="0.25">
      <c r="A5" s="7" t="s">
        <v>63</v>
      </c>
      <c r="B5" s="217"/>
      <c r="C5" s="105">
        <f>2850000*7</f>
        <v>19950000</v>
      </c>
      <c r="D5" s="105">
        <f>C5*19%</f>
        <v>3790500</v>
      </c>
      <c r="E5" s="105">
        <f>C5+D5</f>
        <v>23740500</v>
      </c>
      <c r="F5" s="95">
        <v>9</v>
      </c>
      <c r="G5" s="91">
        <f>F5*E5</f>
        <v>213664500</v>
      </c>
      <c r="H5" s="105">
        <f>2552245.04950495</f>
        <v>2552245.0495049502</v>
      </c>
      <c r="I5" s="105">
        <f>H5*19%</f>
        <v>484926.55940594053</v>
      </c>
      <c r="J5" s="105">
        <f>H5+I5</f>
        <v>3037171.6089108908</v>
      </c>
      <c r="K5" s="95">
        <v>9</v>
      </c>
      <c r="L5" s="91">
        <f>K5*J5</f>
        <v>27334544.480198018</v>
      </c>
      <c r="M5" s="105">
        <f>2100000</f>
        <v>2100000</v>
      </c>
      <c r="N5" s="105">
        <f>M5*19%</f>
        <v>399000</v>
      </c>
      <c r="O5" s="105">
        <f>M5+N5</f>
        <v>2499000</v>
      </c>
      <c r="P5" s="95">
        <v>9</v>
      </c>
      <c r="Q5" s="91">
        <f>P5*O5</f>
        <v>22491000</v>
      </c>
      <c r="R5" s="105">
        <f>1900000</f>
        <v>1900000</v>
      </c>
      <c r="S5" s="105">
        <f>R5*19%</f>
        <v>361000</v>
      </c>
      <c r="T5" s="105">
        <f>R5+S5</f>
        <v>2261000</v>
      </c>
      <c r="U5" s="95">
        <v>9</v>
      </c>
      <c r="V5" s="91">
        <f>U5*T5</f>
        <v>20349000</v>
      </c>
      <c r="W5" s="105">
        <f>2400000</f>
        <v>2400000</v>
      </c>
      <c r="X5" s="105">
        <f>W5*19%</f>
        <v>456000</v>
      </c>
      <c r="Y5" s="105">
        <f>W5+X5</f>
        <v>2856000</v>
      </c>
      <c r="Z5" s="95">
        <v>9</v>
      </c>
      <c r="AA5" s="91">
        <f>Z5*Y5</f>
        <v>25704000</v>
      </c>
    </row>
    <row r="6" spans="1:28" x14ac:dyDescent="0.25">
      <c r="A6" s="116"/>
      <c r="B6" s="115"/>
      <c r="C6" s="107"/>
      <c r="D6" s="107"/>
      <c r="E6" s="107"/>
      <c r="F6" s="117"/>
      <c r="G6" s="118">
        <f>SUM(G3:G5)</f>
        <v>366282000</v>
      </c>
      <c r="H6" s="118"/>
      <c r="I6" s="118"/>
      <c r="J6" s="118"/>
      <c r="K6" s="119"/>
      <c r="L6" s="118">
        <f>SUM(L3:L5)</f>
        <v>164007266.88118809</v>
      </c>
      <c r="M6" s="118"/>
      <c r="N6" s="118"/>
      <c r="O6" s="118"/>
      <c r="P6" s="119"/>
      <c r="Q6" s="118">
        <f>SUM(Q3:Q5)</f>
        <v>161721000</v>
      </c>
      <c r="R6" s="118"/>
      <c r="S6" s="118"/>
      <c r="T6" s="118"/>
      <c r="U6" s="119"/>
      <c r="V6" s="118">
        <f>SUM(V3:V5)</f>
        <v>111384000</v>
      </c>
      <c r="W6" s="118"/>
      <c r="X6" s="118"/>
      <c r="Y6" s="118"/>
      <c r="Z6" s="119"/>
      <c r="AA6" s="118">
        <f>SUM(AA3:AA5)</f>
        <v>109884600</v>
      </c>
      <c r="AB6" s="10"/>
    </row>
    <row r="7" spans="1:28" x14ac:dyDescent="0.25">
      <c r="R7" s="104"/>
    </row>
    <row r="8" spans="1:28" x14ac:dyDescent="0.25">
      <c r="A8" s="85" t="s">
        <v>15</v>
      </c>
      <c r="B8" s="109"/>
      <c r="C8" s="202" t="s">
        <v>51</v>
      </c>
      <c r="D8" s="203"/>
      <c r="E8" s="203"/>
      <c r="F8" s="203"/>
      <c r="G8" s="204"/>
      <c r="H8" s="202" t="s">
        <v>50</v>
      </c>
      <c r="I8" s="203"/>
      <c r="J8" s="203"/>
      <c r="K8" s="203"/>
      <c r="L8" s="204"/>
      <c r="M8" s="205" t="s">
        <v>60</v>
      </c>
      <c r="N8" s="206"/>
      <c r="O8" s="206"/>
      <c r="P8" s="206"/>
      <c r="Q8" s="207"/>
      <c r="R8" s="205" t="s">
        <v>60</v>
      </c>
      <c r="S8" s="206"/>
      <c r="T8" s="206"/>
      <c r="U8" s="206"/>
      <c r="V8" s="207"/>
    </row>
    <row r="9" spans="1:28" ht="45" x14ac:dyDescent="0.25">
      <c r="A9" s="84" t="s">
        <v>56</v>
      </c>
      <c r="B9" s="106"/>
      <c r="C9" s="84" t="s">
        <v>3</v>
      </c>
      <c r="D9" s="84" t="s">
        <v>4</v>
      </c>
      <c r="E9" s="84" t="s">
        <v>5</v>
      </c>
      <c r="F9" s="84" t="s">
        <v>65</v>
      </c>
      <c r="G9" s="84" t="s">
        <v>66</v>
      </c>
      <c r="H9" s="84" t="s">
        <v>3</v>
      </c>
      <c r="I9" s="84" t="s">
        <v>4</v>
      </c>
      <c r="J9" s="84" t="s">
        <v>5</v>
      </c>
      <c r="K9" s="84" t="s">
        <v>65</v>
      </c>
      <c r="L9" s="84" t="s">
        <v>66</v>
      </c>
      <c r="M9" s="84" t="s">
        <v>3</v>
      </c>
      <c r="N9" s="84" t="s">
        <v>4</v>
      </c>
      <c r="O9" s="84" t="s">
        <v>5</v>
      </c>
      <c r="P9" s="84" t="s">
        <v>65</v>
      </c>
      <c r="Q9" s="84" t="s">
        <v>66</v>
      </c>
      <c r="R9" s="88" t="s">
        <v>3</v>
      </c>
      <c r="S9" s="88" t="s">
        <v>4</v>
      </c>
      <c r="T9" s="88" t="s">
        <v>5</v>
      </c>
      <c r="U9" s="88" t="s">
        <v>65</v>
      </c>
      <c r="V9" s="88" t="s">
        <v>66</v>
      </c>
    </row>
    <row r="10" spans="1:28" ht="30" x14ac:dyDescent="0.25">
      <c r="A10" s="72" t="s">
        <v>53</v>
      </c>
      <c r="B10" s="72"/>
      <c r="C10" s="89">
        <v>7115500</v>
      </c>
      <c r="D10" s="89">
        <f>C10*19%</f>
        <v>1351945</v>
      </c>
      <c r="E10" s="89">
        <f>C10+D10</f>
        <v>8467445</v>
      </c>
      <c r="F10" s="94">
        <v>12</v>
      </c>
      <c r="G10" s="93">
        <f>E10*F10</f>
        <v>101609340</v>
      </c>
      <c r="H10" s="80">
        <v>9791340.0990098994</v>
      </c>
      <c r="I10" s="81">
        <f>H10*19%</f>
        <v>1860354.6188118809</v>
      </c>
      <c r="J10" s="81">
        <f>H10+I10</f>
        <v>11651694.717821781</v>
      </c>
      <c r="K10" s="94">
        <v>12</v>
      </c>
      <c r="L10" s="93">
        <f>J10*K10</f>
        <v>139820336.61386138</v>
      </c>
      <c r="M10" s="80">
        <v>9434000</v>
      </c>
      <c r="N10" s="83">
        <f>M10*19%</f>
        <v>1792460</v>
      </c>
      <c r="O10" s="83">
        <f>M10+N10</f>
        <v>11226460</v>
      </c>
      <c r="P10" s="94">
        <v>12</v>
      </c>
      <c r="Q10" s="93">
        <f>O10*P10</f>
        <v>134717520</v>
      </c>
      <c r="R10" s="80">
        <v>9434000</v>
      </c>
      <c r="S10" s="87">
        <f>R10*19%</f>
        <v>1792460</v>
      </c>
      <c r="T10" s="87">
        <f>R10+S10</f>
        <v>11226460</v>
      </c>
      <c r="U10" s="94">
        <v>12</v>
      </c>
      <c r="V10" s="93">
        <f>T10*U10</f>
        <v>134717520</v>
      </c>
    </row>
    <row r="11" spans="1:28" x14ac:dyDescent="0.25">
      <c r="A11" s="72" t="s">
        <v>54</v>
      </c>
      <c r="B11" s="112"/>
      <c r="C11" s="90">
        <f>4066000*2</f>
        <v>8132000</v>
      </c>
      <c r="D11" s="89">
        <f>C11*19%</f>
        <v>1545080</v>
      </c>
      <c r="E11" s="89">
        <f>C11+D11</f>
        <v>9677080</v>
      </c>
      <c r="F11" s="95">
        <v>12</v>
      </c>
      <c r="G11" s="93">
        <f>F11*E11</f>
        <v>116124960</v>
      </c>
      <c r="H11" s="80">
        <f>3671752.53712871</f>
        <v>3671752.5371287102</v>
      </c>
      <c r="I11" s="81">
        <f>H11*19%</f>
        <v>697632.98205445497</v>
      </c>
      <c r="J11" s="81">
        <f>H11+I11</f>
        <v>4369385.5191831654</v>
      </c>
      <c r="K11" s="95">
        <v>12</v>
      </c>
      <c r="L11" s="93">
        <f>K11*J11</f>
        <v>52432626.230197981</v>
      </c>
      <c r="M11" s="80">
        <f>4346000</f>
        <v>4346000</v>
      </c>
      <c r="N11" s="83">
        <f>M11*19%</f>
        <v>825740</v>
      </c>
      <c r="O11" s="83">
        <f>M11+N11</f>
        <v>5171740</v>
      </c>
      <c r="P11" s="95">
        <v>12</v>
      </c>
      <c r="Q11" s="93">
        <f>P11*O11</f>
        <v>62060880</v>
      </c>
      <c r="R11" s="80">
        <f>4346000</f>
        <v>4346000</v>
      </c>
      <c r="S11" s="87">
        <f>R11*19%</f>
        <v>825740</v>
      </c>
      <c r="T11" s="87">
        <f>R11+S11</f>
        <v>5171740</v>
      </c>
      <c r="U11" s="95">
        <v>12</v>
      </c>
      <c r="V11" s="93">
        <f>U11*T11</f>
        <v>62060880</v>
      </c>
    </row>
    <row r="12" spans="1:28" x14ac:dyDescent="0.25">
      <c r="A12" s="7" t="s">
        <v>63</v>
      </c>
      <c r="B12" s="7"/>
      <c r="C12" s="83">
        <f>3049500</f>
        <v>3049500</v>
      </c>
      <c r="D12" s="83">
        <f>C12*19%</f>
        <v>579405</v>
      </c>
      <c r="E12" s="83">
        <f>C12+D12</f>
        <v>3628905</v>
      </c>
      <c r="F12" s="95">
        <v>12</v>
      </c>
      <c r="G12" s="91">
        <f>F12*E12</f>
        <v>43546860</v>
      </c>
      <c r="H12" s="83">
        <f>2692618.52722772</f>
        <v>2692618.5272277198</v>
      </c>
      <c r="I12" s="83">
        <f>H12*19%</f>
        <v>511597.52017326676</v>
      </c>
      <c r="J12" s="83">
        <f>H12+I12</f>
        <v>3204216.0474009868</v>
      </c>
      <c r="K12" s="95">
        <v>12</v>
      </c>
      <c r="L12" s="91">
        <f>K12*J12</f>
        <v>38450592.568811841</v>
      </c>
      <c r="M12" s="83">
        <f>2226000</f>
        <v>2226000</v>
      </c>
      <c r="N12" s="83">
        <f>M12*19%</f>
        <v>422940</v>
      </c>
      <c r="O12" s="83">
        <f>M12+N12</f>
        <v>2648940</v>
      </c>
      <c r="P12" s="95">
        <v>12</v>
      </c>
      <c r="Q12" s="91">
        <f>P12*O12</f>
        <v>31787280</v>
      </c>
      <c r="R12" s="87">
        <f>2226000</f>
        <v>2226000</v>
      </c>
      <c r="S12" s="87">
        <f>R12*19%</f>
        <v>422940</v>
      </c>
      <c r="T12" s="87">
        <f>R12+S12</f>
        <v>2648940</v>
      </c>
      <c r="U12" s="95">
        <v>12</v>
      </c>
      <c r="V12" s="91">
        <f>U12*T12</f>
        <v>31787280</v>
      </c>
    </row>
    <row r="13" spans="1:28" x14ac:dyDescent="0.25">
      <c r="A13" s="96" t="s">
        <v>64</v>
      </c>
      <c r="B13" s="113"/>
      <c r="C13" s="208"/>
      <c r="D13" s="209"/>
      <c r="E13" s="209"/>
      <c r="F13" s="210"/>
      <c r="G13" s="97">
        <f>SUM(G10:G12)</f>
        <v>261281160</v>
      </c>
      <c r="H13" s="208"/>
      <c r="I13" s="209"/>
      <c r="J13" s="209"/>
      <c r="K13" s="210"/>
      <c r="L13" s="97">
        <f>SUM(L10:L12)</f>
        <v>230703555.41287118</v>
      </c>
      <c r="M13" s="208"/>
      <c r="N13" s="209"/>
      <c r="O13" s="209"/>
      <c r="P13" s="209"/>
      <c r="Q13" s="92">
        <f>SUM(Q10:Q12)</f>
        <v>228565680</v>
      </c>
      <c r="R13" s="208"/>
      <c r="S13" s="209"/>
      <c r="T13" s="209"/>
      <c r="U13" s="209"/>
      <c r="V13" s="92">
        <f>SUM(V10:V12)</f>
        <v>228565680</v>
      </c>
    </row>
    <row r="14" spans="1:28" ht="30" x14ac:dyDescent="0.25">
      <c r="A14" s="86" t="s">
        <v>21</v>
      </c>
      <c r="B14" s="108"/>
      <c r="C14" s="211">
        <f>HARMEAN(G13,L13,Q13)</f>
        <v>239292237.50105578</v>
      </c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103">
        <f>C14</f>
        <v>239292237.50105578</v>
      </c>
    </row>
    <row r="15" spans="1:28" x14ac:dyDescent="0.25">
      <c r="R15" s="104"/>
    </row>
    <row r="16" spans="1:28" x14ac:dyDescent="0.25">
      <c r="R16" s="104"/>
    </row>
    <row r="17" spans="1:22" x14ac:dyDescent="0.25">
      <c r="A17" s="85" t="s">
        <v>15</v>
      </c>
      <c r="B17" s="109"/>
      <c r="C17" s="202" t="s">
        <v>51</v>
      </c>
      <c r="D17" s="203"/>
      <c r="E17" s="203"/>
      <c r="F17" s="203"/>
      <c r="G17" s="204"/>
      <c r="H17" s="202" t="s">
        <v>50</v>
      </c>
      <c r="I17" s="203"/>
      <c r="J17" s="203"/>
      <c r="K17" s="203"/>
      <c r="L17" s="204"/>
      <c r="M17" s="205" t="s">
        <v>60</v>
      </c>
      <c r="N17" s="206"/>
      <c r="O17" s="206"/>
      <c r="P17" s="206"/>
      <c r="Q17" s="207"/>
      <c r="R17" s="205" t="s">
        <v>60</v>
      </c>
      <c r="S17" s="206"/>
      <c r="T17" s="206"/>
      <c r="U17" s="206"/>
      <c r="V17" s="207"/>
    </row>
    <row r="18" spans="1:22" ht="45" x14ac:dyDescent="0.25">
      <c r="A18" s="84" t="s">
        <v>56</v>
      </c>
      <c r="B18" s="106"/>
      <c r="C18" s="84" t="s">
        <v>3</v>
      </c>
      <c r="D18" s="84" t="s">
        <v>4</v>
      </c>
      <c r="E18" s="84" t="s">
        <v>5</v>
      </c>
      <c r="F18" s="84" t="s">
        <v>65</v>
      </c>
      <c r="G18" s="84" t="s">
        <v>67</v>
      </c>
      <c r="H18" s="84" t="s">
        <v>3</v>
      </c>
      <c r="I18" s="84" t="s">
        <v>4</v>
      </c>
      <c r="J18" s="84" t="s">
        <v>5</v>
      </c>
      <c r="K18" s="84" t="s">
        <v>65</v>
      </c>
      <c r="L18" s="84" t="s">
        <v>67</v>
      </c>
      <c r="M18" s="84" t="s">
        <v>3</v>
      </c>
      <c r="N18" s="84" t="s">
        <v>4</v>
      </c>
      <c r="O18" s="84" t="s">
        <v>5</v>
      </c>
      <c r="P18" s="84" t="s">
        <v>65</v>
      </c>
      <c r="Q18" s="84" t="s">
        <v>67</v>
      </c>
      <c r="R18" s="88" t="s">
        <v>3</v>
      </c>
      <c r="S18" s="88" t="s">
        <v>4</v>
      </c>
      <c r="T18" s="88" t="s">
        <v>5</v>
      </c>
      <c r="U18" s="88" t="s">
        <v>65</v>
      </c>
      <c r="V18" s="88" t="s">
        <v>66</v>
      </c>
    </row>
    <row r="19" spans="1:22" ht="30" x14ac:dyDescent="0.25">
      <c r="A19" s="72" t="s">
        <v>53</v>
      </c>
      <c r="B19" s="72"/>
      <c r="C19" s="89">
        <v>7613585</v>
      </c>
      <c r="D19" s="89">
        <f>C19*19%</f>
        <v>1446581.15</v>
      </c>
      <c r="E19" s="89">
        <f>C19+D19</f>
        <v>9060166.1500000004</v>
      </c>
      <c r="F19" s="94">
        <v>12</v>
      </c>
      <c r="G19" s="93">
        <f>E19*F19</f>
        <v>108721993.80000001</v>
      </c>
      <c r="H19" s="80">
        <v>10329863.804455442</v>
      </c>
      <c r="I19" s="81">
        <f>H19*19%</f>
        <v>1962674.122846534</v>
      </c>
      <c r="J19" s="81">
        <f>H19+I19</f>
        <v>12292537.927301977</v>
      </c>
      <c r="K19" s="94">
        <v>12</v>
      </c>
      <c r="L19" s="93">
        <f>J19*K19</f>
        <v>147510455.12762374</v>
      </c>
      <c r="M19" s="80">
        <v>10000040</v>
      </c>
      <c r="N19" s="83">
        <f>M19*19%</f>
        <v>1900007.6</v>
      </c>
      <c r="O19" s="83">
        <f>M19+N19</f>
        <v>11900047.6</v>
      </c>
      <c r="P19" s="94">
        <v>12</v>
      </c>
      <c r="Q19" s="93">
        <f>O19*P19</f>
        <v>142800571.19999999</v>
      </c>
      <c r="R19" s="80">
        <v>9434000</v>
      </c>
      <c r="S19" s="87">
        <f>R19*19%</f>
        <v>1792460</v>
      </c>
      <c r="T19" s="87">
        <f>R19+S19</f>
        <v>11226460</v>
      </c>
      <c r="U19" s="94">
        <v>12</v>
      </c>
      <c r="V19" s="93">
        <f>T19*U19</f>
        <v>134717520</v>
      </c>
    </row>
    <row r="20" spans="1:22" x14ac:dyDescent="0.25">
      <c r="A20" s="72" t="s">
        <v>54</v>
      </c>
      <c r="B20" s="112"/>
      <c r="C20" s="90">
        <f>4350620*2</f>
        <v>8701240</v>
      </c>
      <c r="D20" s="89">
        <f>C20*19%</f>
        <v>1653235.6</v>
      </c>
      <c r="E20" s="89">
        <f>C20+D20</f>
        <v>10354475.6</v>
      </c>
      <c r="F20" s="95">
        <v>12</v>
      </c>
      <c r="G20" s="93">
        <f>F20*E20</f>
        <v>124253707.19999999</v>
      </c>
      <c r="H20" s="80">
        <f>3873698.92667079</f>
        <v>3873698.9266707902</v>
      </c>
      <c r="I20" s="81">
        <f>H20*19%</f>
        <v>736002.7960674502</v>
      </c>
      <c r="J20" s="81">
        <f>H20+I20</f>
        <v>4609701.7227382399</v>
      </c>
      <c r="K20" s="95">
        <v>12</v>
      </c>
      <c r="L20" s="93">
        <f>K20*J20</f>
        <v>55316420.672858879</v>
      </c>
      <c r="M20" s="80">
        <f>4606760</f>
        <v>4606760</v>
      </c>
      <c r="N20" s="83">
        <f>M20*19%</f>
        <v>875284.4</v>
      </c>
      <c r="O20" s="83">
        <f>M20+N20</f>
        <v>5482044.4000000004</v>
      </c>
      <c r="P20" s="95">
        <v>12</v>
      </c>
      <c r="Q20" s="93">
        <f>P20*O20</f>
        <v>65784532.800000004</v>
      </c>
      <c r="R20" s="80">
        <f>4346000</f>
        <v>4346000</v>
      </c>
      <c r="S20" s="87">
        <f>R20*19%</f>
        <v>825740</v>
      </c>
      <c r="T20" s="87">
        <f>R20+S20</f>
        <v>5171740</v>
      </c>
      <c r="U20" s="95">
        <v>12</v>
      </c>
      <c r="V20" s="93">
        <f>U20*T20</f>
        <v>62060880</v>
      </c>
    </row>
    <row r="21" spans="1:22" x14ac:dyDescent="0.25">
      <c r="A21" s="7" t="s">
        <v>63</v>
      </c>
      <c r="B21" s="7"/>
      <c r="C21" s="83">
        <f>3262965*7</f>
        <v>22840755</v>
      </c>
      <c r="D21" s="83">
        <f>C21*19%</f>
        <v>4339743.45</v>
      </c>
      <c r="E21" s="83">
        <f>C21+D21</f>
        <v>27180498.449999999</v>
      </c>
      <c r="F21" s="95">
        <v>12</v>
      </c>
      <c r="G21" s="91">
        <f>F21*E21</f>
        <v>326165981.39999998</v>
      </c>
      <c r="H21" s="83">
        <f>2840712.54622525</f>
        <v>2840712.5462252498</v>
      </c>
      <c r="I21" s="83">
        <f>H21*19%</f>
        <v>539735.38378279749</v>
      </c>
      <c r="J21" s="83">
        <f>H21+I21</f>
        <v>3380447.9300080473</v>
      </c>
      <c r="K21" s="95">
        <v>12</v>
      </c>
      <c r="L21" s="91">
        <f>K21*J21</f>
        <v>40565375.160096571</v>
      </c>
      <c r="M21" s="83">
        <f>2359560</f>
        <v>2359560</v>
      </c>
      <c r="N21" s="83">
        <f>M21*19%</f>
        <v>448316.4</v>
      </c>
      <c r="O21" s="83">
        <f>M21+N21</f>
        <v>2807876.4</v>
      </c>
      <c r="P21" s="95">
        <v>12</v>
      </c>
      <c r="Q21" s="91">
        <f>P21*O21</f>
        <v>33694516.799999997</v>
      </c>
      <c r="R21" s="87">
        <f>2226000</f>
        <v>2226000</v>
      </c>
      <c r="S21" s="87">
        <f>R21*19%</f>
        <v>422940</v>
      </c>
      <c r="T21" s="87">
        <f>R21+S21</f>
        <v>2648940</v>
      </c>
      <c r="U21" s="95">
        <v>12</v>
      </c>
      <c r="V21" s="91">
        <f>U21*T21</f>
        <v>31787280</v>
      </c>
    </row>
    <row r="22" spans="1:22" x14ac:dyDescent="0.25">
      <c r="A22" s="96" t="s">
        <v>64</v>
      </c>
      <c r="B22" s="113"/>
      <c r="C22" s="208"/>
      <c r="D22" s="209"/>
      <c r="E22" s="209"/>
      <c r="F22" s="210"/>
      <c r="G22" s="97">
        <f>SUM(G19:G21)</f>
        <v>559141682.39999998</v>
      </c>
      <c r="H22" s="208"/>
      <c r="I22" s="209"/>
      <c r="J22" s="209"/>
      <c r="K22" s="210"/>
      <c r="L22" s="97">
        <f>SUM(L19:L21)</f>
        <v>243392250.96057922</v>
      </c>
      <c r="M22" s="208"/>
      <c r="N22" s="209"/>
      <c r="O22" s="209"/>
      <c r="P22" s="209"/>
      <c r="Q22" s="92">
        <f>SUM(Q19:Q21)</f>
        <v>242279620.80000001</v>
      </c>
      <c r="R22" s="208"/>
      <c r="S22" s="209"/>
      <c r="T22" s="209"/>
      <c r="U22" s="209"/>
      <c r="V22" s="92">
        <f>SUM(V19:V21)</f>
        <v>228565680</v>
      </c>
    </row>
    <row r="23" spans="1:22" ht="30" x14ac:dyDescent="0.25">
      <c r="A23" s="86" t="s">
        <v>21</v>
      </c>
      <c r="B23" s="108"/>
      <c r="C23" s="211">
        <f>HARMEAN(G22,L22,Q22)</f>
        <v>299266437.98536271</v>
      </c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103">
        <f>C23</f>
        <v>299266437.98536271</v>
      </c>
    </row>
    <row r="26" spans="1:22" x14ac:dyDescent="0.25">
      <c r="A26" s="218" t="s">
        <v>105</v>
      </c>
      <c r="B26" s="218"/>
      <c r="C26" s="218"/>
    </row>
    <row r="27" spans="1:22" x14ac:dyDescent="0.25">
      <c r="A27" s="114" t="s">
        <v>100</v>
      </c>
      <c r="B27" s="102" t="s">
        <v>103</v>
      </c>
      <c r="C27" s="102" t="s">
        <v>104</v>
      </c>
    </row>
    <row r="28" spans="1:22" x14ac:dyDescent="0.25">
      <c r="A28" s="114" t="s">
        <v>99</v>
      </c>
      <c r="B28" s="105">
        <f>MIN(G6,L6,Q6,V6,AA6)</f>
        <v>109884600</v>
      </c>
      <c r="C28" s="105">
        <f>B28/9</f>
        <v>12209400</v>
      </c>
    </row>
    <row r="29" spans="1:22" x14ac:dyDescent="0.25">
      <c r="A29" s="114" t="s">
        <v>101</v>
      </c>
      <c r="B29" s="105">
        <f>AVERAGE(G6,L6,Q6,V6,AA6)</f>
        <v>182655773.37623763</v>
      </c>
      <c r="C29" s="105">
        <f>B29/9</f>
        <v>20295085.930693071</v>
      </c>
    </row>
    <row r="30" spans="1:22" x14ac:dyDescent="0.25">
      <c r="A30" s="114" t="s">
        <v>102</v>
      </c>
      <c r="B30" s="105">
        <f>HARMEAN(G6,L6,Q6,V6,AA6)</f>
        <v>151106143.85415941</v>
      </c>
      <c r="C30" s="105">
        <f>B30/9</f>
        <v>16789571.539351046</v>
      </c>
    </row>
  </sheetData>
  <mergeCells count="25">
    <mergeCell ref="B3:B5"/>
    <mergeCell ref="A26:C26"/>
    <mergeCell ref="C23:Q23"/>
    <mergeCell ref="C17:G17"/>
    <mergeCell ref="H17:L17"/>
    <mergeCell ref="M17:Q17"/>
    <mergeCell ref="C22:F22"/>
    <mergeCell ref="H22:K22"/>
    <mergeCell ref="M22:P22"/>
    <mergeCell ref="C8:G8"/>
    <mergeCell ref="H8:L8"/>
    <mergeCell ref="M8:Q8"/>
    <mergeCell ref="C14:Q14"/>
    <mergeCell ref="M13:P13"/>
    <mergeCell ref="H13:K13"/>
    <mergeCell ref="C13:F13"/>
    <mergeCell ref="R13:U13"/>
    <mergeCell ref="R17:V17"/>
    <mergeCell ref="R22:U22"/>
    <mergeCell ref="W1:AA1"/>
    <mergeCell ref="C1:G1"/>
    <mergeCell ref="H1:L1"/>
    <mergeCell ref="M1:Q1"/>
    <mergeCell ref="R1:V1"/>
    <mergeCell ref="R8:V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19"/>
  <sheetViews>
    <sheetView workbookViewId="0">
      <selection activeCell="G18" sqref="G18"/>
    </sheetView>
  </sheetViews>
  <sheetFormatPr baseColWidth="10" defaultRowHeight="15" x14ac:dyDescent="0.25"/>
  <sheetData>
    <row r="1" spans="1:2" x14ac:dyDescent="0.25">
      <c r="A1" t="s">
        <v>83</v>
      </c>
    </row>
    <row r="3" spans="1:2" x14ac:dyDescent="0.25">
      <c r="A3" t="s">
        <v>84</v>
      </c>
      <c r="B3" t="s">
        <v>88</v>
      </c>
    </row>
    <row r="4" spans="1:2" x14ac:dyDescent="0.25">
      <c r="A4" s="110" t="s">
        <v>87</v>
      </c>
    </row>
    <row r="5" spans="1:2" x14ac:dyDescent="0.25">
      <c r="A5" t="s">
        <v>85</v>
      </c>
      <c r="B5" s="67">
        <v>2998</v>
      </c>
    </row>
    <row r="6" spans="1:2" x14ac:dyDescent="0.25">
      <c r="A6" t="s">
        <v>86</v>
      </c>
      <c r="B6" s="67">
        <v>7942</v>
      </c>
    </row>
    <row r="9" spans="1:2" x14ac:dyDescent="0.25">
      <c r="A9" t="s">
        <v>91</v>
      </c>
    </row>
    <row r="10" spans="1:2" x14ac:dyDescent="0.25">
      <c r="A10" t="s">
        <v>90</v>
      </c>
      <c r="B10" t="s">
        <v>89</v>
      </c>
    </row>
    <row r="11" spans="1:2" x14ac:dyDescent="0.25">
      <c r="A11" t="s">
        <v>85</v>
      </c>
      <c r="B11" s="67">
        <v>7000</v>
      </c>
    </row>
    <row r="12" spans="1:2" x14ac:dyDescent="0.25">
      <c r="A12" t="s">
        <v>86</v>
      </c>
      <c r="B12" s="67">
        <v>13000</v>
      </c>
    </row>
    <row r="14" spans="1:2" x14ac:dyDescent="0.25">
      <c r="A14" t="s">
        <v>92</v>
      </c>
    </row>
    <row r="18" spans="1:1" x14ac:dyDescent="0.25">
      <c r="A18" t="s">
        <v>93</v>
      </c>
    </row>
    <row r="19" spans="1:1" x14ac:dyDescent="0.25">
      <c r="A19" s="110" t="s">
        <v>94</v>
      </c>
    </row>
  </sheetData>
  <hyperlinks>
    <hyperlink ref="A4" r:id="rId1" display="https://community.secop.gov.co/Public/Tendering/ContractNoticeManagement/Index?currentLanguage=es-CO&amp;Page=login&amp;Country=CO&amp;SkinName=CCE" xr:uid="{00000000-0004-0000-0900-000000000000}"/>
    <hyperlink ref="A19" r:id="rId2" xr:uid="{00000000-0004-0000-0900-000001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W48"/>
  <sheetViews>
    <sheetView topLeftCell="A30" workbookViewId="0">
      <selection activeCell="C34" sqref="C34"/>
    </sheetView>
  </sheetViews>
  <sheetFormatPr baseColWidth="10" defaultRowHeight="15" x14ac:dyDescent="0.25"/>
  <cols>
    <col min="2" max="2" width="41.85546875" customWidth="1"/>
    <col min="3" max="5" width="15.140625" bestFit="1" customWidth="1"/>
    <col min="6" max="6" width="14.140625" bestFit="1" customWidth="1"/>
    <col min="7" max="8" width="12.5703125" bestFit="1" customWidth="1"/>
    <col min="9" max="9" width="14.7109375" customWidth="1"/>
    <col min="13" max="13" width="13.140625" customWidth="1"/>
    <col min="15" max="15" width="14.140625" customWidth="1"/>
    <col min="21" max="21" width="12.5703125" bestFit="1" customWidth="1"/>
  </cols>
  <sheetData>
    <row r="1" spans="1:23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</row>
    <row r="2" spans="1:23" x14ac:dyDescent="0.25">
      <c r="A2" s="120"/>
      <c r="B2" s="120"/>
      <c r="C2" s="120"/>
      <c r="D2" s="222" t="s">
        <v>114</v>
      </c>
      <c r="E2" s="223"/>
      <c r="F2" s="223"/>
      <c r="G2" s="223"/>
      <c r="H2" s="224"/>
      <c r="I2" s="121"/>
      <c r="J2" s="225" t="s">
        <v>115</v>
      </c>
      <c r="K2" s="226"/>
      <c r="L2" s="226"/>
      <c r="M2" s="226"/>
      <c r="N2" s="226"/>
      <c r="O2" s="227"/>
      <c r="P2" s="228" t="s">
        <v>116</v>
      </c>
      <c r="Q2" s="229"/>
      <c r="R2" s="229"/>
      <c r="S2" s="229"/>
      <c r="T2" s="229"/>
      <c r="U2" s="229"/>
      <c r="V2" s="120"/>
      <c r="W2" s="120"/>
    </row>
    <row r="3" spans="1:23" ht="60" x14ac:dyDescent="0.25">
      <c r="A3" s="122" t="s">
        <v>120</v>
      </c>
      <c r="B3" s="122" t="s">
        <v>56</v>
      </c>
      <c r="C3" s="122" t="s">
        <v>106</v>
      </c>
      <c r="D3" s="122" t="s">
        <v>108</v>
      </c>
      <c r="E3" s="122" t="s">
        <v>4</v>
      </c>
      <c r="F3" s="122" t="s">
        <v>107</v>
      </c>
      <c r="G3" s="122" t="s">
        <v>109</v>
      </c>
      <c r="H3" s="122" t="s">
        <v>110</v>
      </c>
      <c r="I3" s="122" t="s">
        <v>117</v>
      </c>
      <c r="J3" s="123" t="s">
        <v>108</v>
      </c>
      <c r="K3" s="123" t="s">
        <v>4</v>
      </c>
      <c r="L3" s="123" t="s">
        <v>107</v>
      </c>
      <c r="M3" s="123" t="s">
        <v>109</v>
      </c>
      <c r="N3" s="123" t="s">
        <v>110</v>
      </c>
      <c r="O3" s="123" t="s">
        <v>118</v>
      </c>
      <c r="P3" s="122" t="s">
        <v>108</v>
      </c>
      <c r="Q3" s="122" t="s">
        <v>4</v>
      </c>
      <c r="R3" s="122" t="s">
        <v>107</v>
      </c>
      <c r="S3" s="122" t="s">
        <v>109</v>
      </c>
      <c r="T3" s="122" t="s">
        <v>110</v>
      </c>
      <c r="U3" s="122" t="s">
        <v>119</v>
      </c>
      <c r="V3" s="120"/>
      <c r="W3" s="120"/>
    </row>
    <row r="4" spans="1:23" x14ac:dyDescent="0.25">
      <c r="A4" s="219" t="s">
        <v>123</v>
      </c>
      <c r="B4" s="124" t="s">
        <v>111</v>
      </c>
      <c r="C4" s="125">
        <v>1</v>
      </c>
      <c r="D4" s="126">
        <v>8900000</v>
      </c>
      <c r="E4" s="126">
        <f>D4*19%</f>
        <v>1691000</v>
      </c>
      <c r="F4" s="126">
        <f>D4+E4</f>
        <v>10591000</v>
      </c>
      <c r="G4" s="127">
        <f>F4*C4</f>
        <v>10591000</v>
      </c>
      <c r="H4" s="125">
        <v>9</v>
      </c>
      <c r="I4" s="127">
        <f>H4*G4</f>
        <v>95319000</v>
      </c>
      <c r="J4" s="126">
        <v>9434000</v>
      </c>
      <c r="K4" s="126">
        <f>J4*19%</f>
        <v>1792460</v>
      </c>
      <c r="L4" s="126">
        <f>J4+K4</f>
        <v>11226460</v>
      </c>
      <c r="M4" s="127">
        <f>L4*C4</f>
        <v>11226460</v>
      </c>
      <c r="N4" s="125">
        <v>12</v>
      </c>
      <c r="O4" s="126">
        <f>N4*M4</f>
        <v>134717520</v>
      </c>
      <c r="P4" s="126">
        <v>10000040</v>
      </c>
      <c r="Q4" s="126">
        <f>P4*19%</f>
        <v>1900007.6</v>
      </c>
      <c r="R4" s="126">
        <f>P4+Q4</f>
        <v>11900047.6</v>
      </c>
      <c r="S4" s="127">
        <f>R4*C4</f>
        <v>11900047.6</v>
      </c>
      <c r="T4" s="125">
        <v>12</v>
      </c>
      <c r="U4" s="127">
        <f>T4*S4</f>
        <v>142800571.19999999</v>
      </c>
      <c r="V4" s="120"/>
      <c r="W4" s="120"/>
    </row>
    <row r="5" spans="1:23" x14ac:dyDescent="0.25">
      <c r="A5" s="220"/>
      <c r="B5" s="124" t="s">
        <v>112</v>
      </c>
      <c r="C5" s="125">
        <v>1</v>
      </c>
      <c r="D5" s="126">
        <v>4100000</v>
      </c>
      <c r="E5" s="126">
        <f>D5*19%</f>
        <v>779000</v>
      </c>
      <c r="F5" s="126">
        <f>D5+E5</f>
        <v>4879000</v>
      </c>
      <c r="G5" s="127">
        <f>F5*C5</f>
        <v>4879000</v>
      </c>
      <c r="H5" s="125">
        <v>9</v>
      </c>
      <c r="I5" s="127">
        <f>H5*G5</f>
        <v>43911000</v>
      </c>
      <c r="J5" s="126">
        <v>4346000</v>
      </c>
      <c r="K5" s="126">
        <f>J5*19%</f>
        <v>825740</v>
      </c>
      <c r="L5" s="126">
        <f>J5+K5</f>
        <v>5171740</v>
      </c>
      <c r="M5" s="127">
        <f t="shared" ref="M5:M6" si="0">L5*C5</f>
        <v>5171740</v>
      </c>
      <c r="N5" s="125">
        <v>12</v>
      </c>
      <c r="O5" s="126">
        <f>N5*M5</f>
        <v>62060880</v>
      </c>
      <c r="P5" s="126">
        <v>4606760</v>
      </c>
      <c r="Q5" s="126">
        <f>P5*19%</f>
        <v>875284.4</v>
      </c>
      <c r="R5" s="126">
        <f>P5+Q5</f>
        <v>5482044.4000000004</v>
      </c>
      <c r="S5" s="127">
        <f>R5*C5</f>
        <v>5482044.4000000004</v>
      </c>
      <c r="T5" s="125">
        <v>12</v>
      </c>
      <c r="U5" s="127">
        <f>T5*S5</f>
        <v>65784532.800000004</v>
      </c>
      <c r="V5" s="120"/>
      <c r="W5" s="120"/>
    </row>
    <row r="6" spans="1:23" x14ac:dyDescent="0.25">
      <c r="A6" s="221"/>
      <c r="B6" s="128" t="s">
        <v>113</v>
      </c>
      <c r="C6" s="125">
        <v>11</v>
      </c>
      <c r="D6" s="129">
        <v>2100000</v>
      </c>
      <c r="E6" s="129">
        <f>D6*19%</f>
        <v>399000</v>
      </c>
      <c r="F6" s="129">
        <f>D6+E6</f>
        <v>2499000</v>
      </c>
      <c r="G6" s="127">
        <f>F6*C6</f>
        <v>27489000</v>
      </c>
      <c r="H6" s="125">
        <v>9</v>
      </c>
      <c r="I6" s="127">
        <f>H6*G6</f>
        <v>247401000</v>
      </c>
      <c r="J6" s="129">
        <v>2226000</v>
      </c>
      <c r="K6" s="129">
        <f>J6*19%</f>
        <v>422940</v>
      </c>
      <c r="L6" s="129">
        <f>J6+K6</f>
        <v>2648940</v>
      </c>
      <c r="M6" s="127">
        <f t="shared" si="0"/>
        <v>29138340</v>
      </c>
      <c r="N6" s="125">
        <v>12</v>
      </c>
      <c r="O6" s="126">
        <f>N6*M6</f>
        <v>349660080</v>
      </c>
      <c r="P6" s="129">
        <v>2359560</v>
      </c>
      <c r="Q6" s="129">
        <f>P6*19%</f>
        <v>448316.4</v>
      </c>
      <c r="R6" s="129">
        <f>P6+Q6</f>
        <v>2807876.4</v>
      </c>
      <c r="S6" s="127">
        <f>R6*C6</f>
        <v>30886640.399999999</v>
      </c>
      <c r="T6" s="125">
        <v>12</v>
      </c>
      <c r="U6" s="127">
        <f>T6*S6</f>
        <v>370639684.79999995</v>
      </c>
      <c r="V6" s="120"/>
      <c r="W6" s="120"/>
    </row>
    <row r="7" spans="1:23" x14ac:dyDescent="0.25">
      <c r="A7" s="120"/>
      <c r="B7" s="120"/>
      <c r="C7" s="120"/>
      <c r="D7" s="120"/>
      <c r="E7" s="120"/>
      <c r="F7" s="120"/>
      <c r="G7" s="120"/>
      <c r="H7" s="120" t="s">
        <v>121</v>
      </c>
      <c r="I7" s="130">
        <f>SUM(I4:I6)</f>
        <v>386631000</v>
      </c>
      <c r="J7" s="120"/>
      <c r="K7" s="120"/>
      <c r="L7" s="120"/>
      <c r="M7" s="120"/>
      <c r="N7" s="120"/>
      <c r="O7" s="130">
        <f>SUM(O4:O6)</f>
        <v>546438480</v>
      </c>
      <c r="P7" s="120"/>
      <c r="Q7" s="120"/>
      <c r="R7" s="120"/>
      <c r="S7" s="120"/>
      <c r="T7" s="120"/>
      <c r="U7" s="130">
        <f>SUM(U4:U6)</f>
        <v>579224788.79999995</v>
      </c>
      <c r="V7" s="120"/>
      <c r="W7" s="120"/>
    </row>
    <row r="8" spans="1:23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</row>
    <row r="9" spans="1:23" x14ac:dyDescent="0.25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</row>
    <row r="10" spans="1:23" x14ac:dyDescent="0.25">
      <c r="A10" s="120"/>
      <c r="B10" s="120"/>
      <c r="C10" s="120"/>
      <c r="D10" s="222" t="s">
        <v>114</v>
      </c>
      <c r="E10" s="223"/>
      <c r="F10" s="223"/>
      <c r="G10" s="223"/>
      <c r="H10" s="224"/>
      <c r="I10" s="121"/>
      <c r="J10" s="225" t="s">
        <v>115</v>
      </c>
      <c r="K10" s="226"/>
      <c r="L10" s="226"/>
      <c r="M10" s="226"/>
      <c r="N10" s="226"/>
      <c r="O10" s="227"/>
      <c r="P10" s="228" t="s">
        <v>116</v>
      </c>
      <c r="Q10" s="229"/>
      <c r="R10" s="229"/>
      <c r="S10" s="229"/>
      <c r="T10" s="229"/>
      <c r="U10" s="229"/>
      <c r="V10" s="120"/>
      <c r="W10" s="120"/>
    </row>
    <row r="11" spans="1:23" ht="60" x14ac:dyDescent="0.25">
      <c r="A11" s="122" t="s">
        <v>120</v>
      </c>
      <c r="B11" s="122" t="s">
        <v>56</v>
      </c>
      <c r="C11" s="122" t="s">
        <v>106</v>
      </c>
      <c r="D11" s="122" t="s">
        <v>108</v>
      </c>
      <c r="E11" s="122" t="s">
        <v>4</v>
      </c>
      <c r="F11" s="122" t="s">
        <v>107</v>
      </c>
      <c r="G11" s="122" t="s">
        <v>109</v>
      </c>
      <c r="H11" s="122" t="s">
        <v>110</v>
      </c>
      <c r="I11" s="122" t="s">
        <v>117</v>
      </c>
      <c r="J11" s="123" t="s">
        <v>108</v>
      </c>
      <c r="K11" s="123" t="s">
        <v>4</v>
      </c>
      <c r="L11" s="123" t="s">
        <v>107</v>
      </c>
      <c r="M11" s="123" t="s">
        <v>109</v>
      </c>
      <c r="N11" s="123" t="s">
        <v>110</v>
      </c>
      <c r="O11" s="123" t="s">
        <v>118</v>
      </c>
      <c r="P11" s="122" t="s">
        <v>108</v>
      </c>
      <c r="Q11" s="122" t="s">
        <v>4</v>
      </c>
      <c r="R11" s="122" t="s">
        <v>107</v>
      </c>
      <c r="S11" s="122" t="s">
        <v>109</v>
      </c>
      <c r="T11" s="122" t="s">
        <v>110</v>
      </c>
      <c r="U11" s="122" t="s">
        <v>119</v>
      </c>
      <c r="V11" s="120"/>
      <c r="W11" s="120"/>
    </row>
    <row r="12" spans="1:23" x14ac:dyDescent="0.25">
      <c r="A12" s="219" t="s">
        <v>96</v>
      </c>
      <c r="B12" s="124" t="s">
        <v>111</v>
      </c>
      <c r="C12" s="125">
        <v>1</v>
      </c>
      <c r="D12" s="126">
        <v>6000000</v>
      </c>
      <c r="E12" s="126">
        <f>D12*19%</f>
        <v>1140000</v>
      </c>
      <c r="F12" s="126">
        <f>D12+E12</f>
        <v>7140000</v>
      </c>
      <c r="G12" s="127">
        <f>F12*C12</f>
        <v>7140000</v>
      </c>
      <c r="H12" s="125">
        <v>9</v>
      </c>
      <c r="I12" s="127">
        <f>H12*G12</f>
        <v>64260000</v>
      </c>
      <c r="J12" s="126">
        <v>9434000</v>
      </c>
      <c r="K12" s="126">
        <f>J12*19%</f>
        <v>1792460</v>
      </c>
      <c r="L12" s="126">
        <f>J12+K12</f>
        <v>11226460</v>
      </c>
      <c r="M12" s="127">
        <f>L12*C12</f>
        <v>11226460</v>
      </c>
      <c r="N12" s="125">
        <v>12</v>
      </c>
      <c r="O12" s="126">
        <f>N12*M12</f>
        <v>134717520</v>
      </c>
      <c r="P12" s="126">
        <v>9434000</v>
      </c>
      <c r="Q12" s="126">
        <f>P12*19%</f>
        <v>1792460</v>
      </c>
      <c r="R12" s="126">
        <f>P12+Q12</f>
        <v>11226460</v>
      </c>
      <c r="S12" s="127">
        <f>R12*C12</f>
        <v>11226460</v>
      </c>
      <c r="T12" s="125">
        <v>12</v>
      </c>
      <c r="U12" s="127">
        <f>T12*S12</f>
        <v>134717520</v>
      </c>
      <c r="V12" s="120"/>
      <c r="W12" s="120"/>
    </row>
    <row r="13" spans="1:23" x14ac:dyDescent="0.25">
      <c r="A13" s="220"/>
      <c r="B13" s="124" t="s">
        <v>112</v>
      </c>
      <c r="C13" s="125">
        <v>1</v>
      </c>
      <c r="D13" s="126">
        <v>2500000</v>
      </c>
      <c r="E13" s="126">
        <f>D13*19%</f>
        <v>475000</v>
      </c>
      <c r="F13" s="126">
        <f>D13+E13</f>
        <v>2975000</v>
      </c>
      <c r="G13" s="127">
        <f>F13*C13</f>
        <v>2975000</v>
      </c>
      <c r="H13" s="125">
        <v>9</v>
      </c>
      <c r="I13" s="127">
        <f>H13*G13</f>
        <v>26775000</v>
      </c>
      <c r="J13" s="126">
        <v>4346000</v>
      </c>
      <c r="K13" s="126">
        <f>J13*19%</f>
        <v>825740</v>
      </c>
      <c r="L13" s="126">
        <f>J13+K13</f>
        <v>5171740</v>
      </c>
      <c r="M13" s="127">
        <f t="shared" ref="M13:M14" si="1">L13*C13</f>
        <v>5171740</v>
      </c>
      <c r="N13" s="125">
        <v>12</v>
      </c>
      <c r="O13" s="126">
        <f>N13*M13</f>
        <v>62060880</v>
      </c>
      <c r="P13" s="126">
        <v>4346000</v>
      </c>
      <c r="Q13" s="126">
        <f>P13*19%</f>
        <v>825740</v>
      </c>
      <c r="R13" s="126">
        <f>P13+Q13</f>
        <v>5171740</v>
      </c>
      <c r="S13" s="127">
        <f>R13*C13</f>
        <v>5171740</v>
      </c>
      <c r="T13" s="125">
        <v>12</v>
      </c>
      <c r="U13" s="127">
        <f>T13*S13</f>
        <v>62060880</v>
      </c>
      <c r="V13" s="120"/>
      <c r="W13" s="120"/>
    </row>
    <row r="14" spans="1:23" x14ac:dyDescent="0.25">
      <c r="A14" s="221"/>
      <c r="B14" s="128" t="s">
        <v>113</v>
      </c>
      <c r="C14" s="125">
        <v>11</v>
      </c>
      <c r="D14" s="129">
        <v>1900000</v>
      </c>
      <c r="E14" s="129">
        <f>D14*19%</f>
        <v>361000</v>
      </c>
      <c r="F14" s="129">
        <f>D14+E14</f>
        <v>2261000</v>
      </c>
      <c r="G14" s="127">
        <f>F14*C14</f>
        <v>24871000</v>
      </c>
      <c r="H14" s="125">
        <v>9</v>
      </c>
      <c r="I14" s="127">
        <f>H14*G14</f>
        <v>223839000</v>
      </c>
      <c r="J14" s="129">
        <v>2226000</v>
      </c>
      <c r="K14" s="129">
        <f>J14*19%</f>
        <v>422940</v>
      </c>
      <c r="L14" s="129">
        <f>J14+K14</f>
        <v>2648940</v>
      </c>
      <c r="M14" s="127">
        <f t="shared" si="1"/>
        <v>29138340</v>
      </c>
      <c r="N14" s="125">
        <v>12</v>
      </c>
      <c r="O14" s="126">
        <f>N14*M14</f>
        <v>349660080</v>
      </c>
      <c r="P14" s="129">
        <v>2226000</v>
      </c>
      <c r="Q14" s="129">
        <f>P14*19%</f>
        <v>422940</v>
      </c>
      <c r="R14" s="129">
        <f>P14+Q14</f>
        <v>2648940</v>
      </c>
      <c r="S14" s="127">
        <f>R14*C14</f>
        <v>29138340</v>
      </c>
      <c r="T14" s="125">
        <v>12</v>
      </c>
      <c r="U14" s="127">
        <f>T14*S14</f>
        <v>349660080</v>
      </c>
      <c r="V14" s="120"/>
      <c r="W14" s="120"/>
    </row>
    <row r="15" spans="1:23" x14ac:dyDescent="0.25">
      <c r="A15" s="120"/>
      <c r="B15" s="120"/>
      <c r="C15" s="120"/>
      <c r="D15" s="120"/>
      <c r="E15" s="120"/>
      <c r="F15" s="120"/>
      <c r="G15" s="120"/>
      <c r="H15" s="120" t="s">
        <v>121</v>
      </c>
      <c r="I15" s="130">
        <f>SUM(I12:I14)</f>
        <v>314874000</v>
      </c>
      <c r="J15" s="120"/>
      <c r="K15" s="120"/>
      <c r="L15" s="120"/>
      <c r="M15" s="120"/>
      <c r="N15" s="120"/>
      <c r="O15" s="130">
        <f>SUM(O12:O14)</f>
        <v>546438480</v>
      </c>
      <c r="P15" s="120"/>
      <c r="Q15" s="120"/>
      <c r="R15" s="120"/>
      <c r="S15" s="120"/>
      <c r="T15" s="120"/>
      <c r="U15" s="130">
        <f>SUM(U12:U14)</f>
        <v>546438480</v>
      </c>
      <c r="V15" s="120"/>
      <c r="W15" s="120"/>
    </row>
    <row r="16" spans="1:23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</row>
    <row r="17" spans="1:23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</row>
    <row r="18" spans="1:23" x14ac:dyDescent="0.25">
      <c r="A18" s="120"/>
      <c r="B18" s="120"/>
      <c r="C18" s="120"/>
      <c r="D18" s="222" t="s">
        <v>114</v>
      </c>
      <c r="E18" s="223"/>
      <c r="F18" s="223"/>
      <c r="G18" s="223"/>
      <c r="H18" s="224"/>
      <c r="I18" s="121"/>
      <c r="J18" s="225" t="s">
        <v>115</v>
      </c>
      <c r="K18" s="226"/>
      <c r="L18" s="226"/>
      <c r="M18" s="226"/>
      <c r="N18" s="226"/>
      <c r="O18" s="227"/>
      <c r="P18" s="228" t="s">
        <v>116</v>
      </c>
      <c r="Q18" s="229"/>
      <c r="R18" s="229"/>
      <c r="S18" s="229"/>
      <c r="T18" s="229"/>
      <c r="U18" s="229"/>
      <c r="V18" s="120"/>
      <c r="W18" s="120"/>
    </row>
    <row r="19" spans="1:23" ht="60" x14ac:dyDescent="0.25">
      <c r="A19" s="122" t="s">
        <v>120</v>
      </c>
      <c r="B19" s="122" t="s">
        <v>56</v>
      </c>
      <c r="C19" s="122" t="s">
        <v>106</v>
      </c>
      <c r="D19" s="122" t="s">
        <v>108</v>
      </c>
      <c r="E19" s="122" t="s">
        <v>4</v>
      </c>
      <c r="F19" s="122" t="s">
        <v>107</v>
      </c>
      <c r="G19" s="122" t="s">
        <v>109</v>
      </c>
      <c r="H19" s="122" t="s">
        <v>110</v>
      </c>
      <c r="I19" s="122" t="s">
        <v>117</v>
      </c>
      <c r="J19" s="123" t="s">
        <v>108</v>
      </c>
      <c r="K19" s="123" t="s">
        <v>4</v>
      </c>
      <c r="L19" s="123" t="s">
        <v>107</v>
      </c>
      <c r="M19" s="123" t="s">
        <v>109</v>
      </c>
      <c r="N19" s="123" t="s">
        <v>110</v>
      </c>
      <c r="O19" s="123" t="s">
        <v>118</v>
      </c>
      <c r="P19" s="122" t="s">
        <v>108</v>
      </c>
      <c r="Q19" s="122" t="s">
        <v>4</v>
      </c>
      <c r="R19" s="122" t="s">
        <v>107</v>
      </c>
      <c r="S19" s="122" t="s">
        <v>109</v>
      </c>
      <c r="T19" s="122" t="s">
        <v>110</v>
      </c>
      <c r="U19" s="122" t="s">
        <v>119</v>
      </c>
      <c r="V19" s="120"/>
      <c r="W19" s="120"/>
    </row>
    <row r="20" spans="1:23" x14ac:dyDescent="0.25">
      <c r="A20" s="219" t="s">
        <v>97</v>
      </c>
      <c r="B20" s="124" t="s">
        <v>111</v>
      </c>
      <c r="C20" s="125">
        <v>1</v>
      </c>
      <c r="D20" s="126">
        <v>4470000</v>
      </c>
      <c r="E20" s="126">
        <f>D20*19%</f>
        <v>849300</v>
      </c>
      <c r="F20" s="126">
        <f>D20+E20</f>
        <v>5319300</v>
      </c>
      <c r="G20" s="127">
        <f>F20*C20</f>
        <v>5319300</v>
      </c>
      <c r="H20" s="125">
        <v>9</v>
      </c>
      <c r="I20" s="127">
        <f>H20*G20</f>
        <v>47873700</v>
      </c>
      <c r="J20" s="126">
        <f>D20*1.04</f>
        <v>4648800</v>
      </c>
      <c r="K20" s="126">
        <f>J20*19%</f>
        <v>883272</v>
      </c>
      <c r="L20" s="126">
        <f>J20+K20</f>
        <v>5532072</v>
      </c>
      <c r="M20" s="127">
        <f>L20*C20</f>
        <v>5532072</v>
      </c>
      <c r="N20" s="125">
        <v>12</v>
      </c>
      <c r="O20" s="126">
        <f>N20*M20</f>
        <v>66384864</v>
      </c>
      <c r="P20" s="126">
        <f>J20*1.04</f>
        <v>4834752</v>
      </c>
      <c r="Q20" s="126">
        <f>P20*19%</f>
        <v>918602.88</v>
      </c>
      <c r="R20" s="126">
        <f>P20+Q20</f>
        <v>5753354.8799999999</v>
      </c>
      <c r="S20" s="127">
        <f>R20*C20</f>
        <v>5753354.8799999999</v>
      </c>
      <c r="T20" s="125">
        <v>12</v>
      </c>
      <c r="U20" s="127">
        <f>T20*S20</f>
        <v>69040258.560000002</v>
      </c>
      <c r="V20" s="120"/>
      <c r="W20" s="120"/>
    </row>
    <row r="21" spans="1:23" x14ac:dyDescent="0.25">
      <c r="A21" s="220"/>
      <c r="B21" s="124" t="s">
        <v>112</v>
      </c>
      <c r="C21" s="125">
        <v>1</v>
      </c>
      <c r="D21" s="126">
        <v>3390000</v>
      </c>
      <c r="E21" s="126">
        <f>D21*19%</f>
        <v>644100</v>
      </c>
      <c r="F21" s="126">
        <f>D21+E21</f>
        <v>4034100</v>
      </c>
      <c r="G21" s="127">
        <f>F21*C21</f>
        <v>4034100</v>
      </c>
      <c r="H21" s="125">
        <v>9</v>
      </c>
      <c r="I21" s="127">
        <f>H21*G21</f>
        <v>36306900</v>
      </c>
      <c r="J21" s="126">
        <f>D21*1.04</f>
        <v>3525600</v>
      </c>
      <c r="K21" s="126">
        <f>J21*19%</f>
        <v>669864</v>
      </c>
      <c r="L21" s="126">
        <f>J21+K21</f>
        <v>4195464</v>
      </c>
      <c r="M21" s="127">
        <f t="shared" ref="M21:M22" si="2">L21*C21</f>
        <v>4195464</v>
      </c>
      <c r="N21" s="125">
        <v>12</v>
      </c>
      <c r="O21" s="126">
        <f>N21*M21</f>
        <v>50345568</v>
      </c>
      <c r="P21" s="126">
        <f>J21*1.04</f>
        <v>3666624</v>
      </c>
      <c r="Q21" s="126">
        <f>P21*19%</f>
        <v>696658.56</v>
      </c>
      <c r="R21" s="126">
        <f>P21+Q21</f>
        <v>4363282.5600000005</v>
      </c>
      <c r="S21" s="127">
        <f>R21*C21</f>
        <v>4363282.5600000005</v>
      </c>
      <c r="T21" s="125">
        <v>12</v>
      </c>
      <c r="U21" s="127">
        <f>T21*S21</f>
        <v>52359390.720000006</v>
      </c>
      <c r="V21" s="120"/>
      <c r="W21" s="120"/>
    </row>
    <row r="22" spans="1:23" x14ac:dyDescent="0.25">
      <c r="A22" s="221"/>
      <c r="B22" s="128" t="s">
        <v>113</v>
      </c>
      <c r="C22" s="125">
        <v>11</v>
      </c>
      <c r="D22" s="129">
        <v>2400000</v>
      </c>
      <c r="E22" s="129">
        <f>D22*19%</f>
        <v>456000</v>
      </c>
      <c r="F22" s="129">
        <f>D22+E22</f>
        <v>2856000</v>
      </c>
      <c r="G22" s="127">
        <f>F22*C22</f>
        <v>31416000</v>
      </c>
      <c r="H22" s="125">
        <v>9</v>
      </c>
      <c r="I22" s="127">
        <f>H22*G22</f>
        <v>282744000</v>
      </c>
      <c r="J22" s="126">
        <f>D22*1.04</f>
        <v>2496000</v>
      </c>
      <c r="K22" s="129">
        <f>J22*19%</f>
        <v>474240</v>
      </c>
      <c r="L22" s="129">
        <f>J22+K22</f>
        <v>2970240</v>
      </c>
      <c r="M22" s="127">
        <f t="shared" si="2"/>
        <v>32672640</v>
      </c>
      <c r="N22" s="125">
        <v>12</v>
      </c>
      <c r="O22" s="126">
        <f>N22*M22</f>
        <v>392071680</v>
      </c>
      <c r="P22" s="126">
        <f>J22*1.04</f>
        <v>2595840</v>
      </c>
      <c r="Q22" s="129">
        <f>P22*19%</f>
        <v>493209.59999999998</v>
      </c>
      <c r="R22" s="129">
        <f>P22+Q22</f>
        <v>3089049.6000000001</v>
      </c>
      <c r="S22" s="127">
        <f>R22*C22</f>
        <v>33979545.600000001</v>
      </c>
      <c r="T22" s="125">
        <v>12</v>
      </c>
      <c r="U22" s="127">
        <f>T22*S22</f>
        <v>407754547.20000005</v>
      </c>
      <c r="V22" s="120"/>
      <c r="W22" s="120"/>
    </row>
    <row r="23" spans="1:23" x14ac:dyDescent="0.25">
      <c r="A23" s="120"/>
      <c r="B23" s="120"/>
      <c r="C23" s="120"/>
      <c r="D23" s="120"/>
      <c r="E23" s="120"/>
      <c r="F23" s="120"/>
      <c r="G23" s="120"/>
      <c r="H23" s="120" t="s">
        <v>121</v>
      </c>
      <c r="I23" s="130">
        <f>SUM(I20:I22)</f>
        <v>366924600</v>
      </c>
      <c r="J23" s="120"/>
      <c r="K23" s="120"/>
      <c r="L23" s="120"/>
      <c r="M23" s="120"/>
      <c r="N23" s="120"/>
      <c r="O23" s="130">
        <f>SUM(O20:O22)</f>
        <v>508802112</v>
      </c>
      <c r="P23" s="120"/>
      <c r="Q23" s="120"/>
      <c r="R23" s="120"/>
      <c r="S23" s="120"/>
      <c r="T23" s="120"/>
      <c r="U23" s="130">
        <f>SUM(U20:U22)</f>
        <v>529154196.48000002</v>
      </c>
      <c r="V23" s="120"/>
      <c r="W23" s="120"/>
    </row>
    <row r="24" spans="1:23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</row>
    <row r="25" spans="1:23" x14ac:dyDescent="0.25">
      <c r="A25" s="120"/>
      <c r="B25" s="131" t="s">
        <v>124</v>
      </c>
      <c r="C25" s="132">
        <v>2021</v>
      </c>
      <c r="D25" s="133">
        <v>2022</v>
      </c>
      <c r="E25" s="133">
        <v>2023</v>
      </c>
      <c r="F25" s="133" t="s">
        <v>64</v>
      </c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</row>
    <row r="26" spans="1:23" x14ac:dyDescent="0.25">
      <c r="A26" s="120"/>
      <c r="B26" s="134" t="str">
        <f>A4</f>
        <v xml:space="preserve">PROCESOS Y SERVICIOS </v>
      </c>
      <c r="C26" s="135">
        <f>I7</f>
        <v>386631000</v>
      </c>
      <c r="D26" s="135">
        <f>O7</f>
        <v>546438480</v>
      </c>
      <c r="E26" s="135">
        <f>U7</f>
        <v>579224788.79999995</v>
      </c>
      <c r="F26" s="136">
        <f t="shared" ref="F26:F28" si="3">C26+D26+E26</f>
        <v>1512294268.8</v>
      </c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</row>
    <row r="27" spans="1:23" x14ac:dyDescent="0.25">
      <c r="A27" s="120"/>
      <c r="B27" s="134" t="str">
        <f>A12</f>
        <v>INFORMATICA DOCUMENTAL</v>
      </c>
      <c r="C27" s="135">
        <f>I15</f>
        <v>314874000</v>
      </c>
      <c r="D27" s="135">
        <f>O15</f>
        <v>546438480</v>
      </c>
      <c r="E27" s="135">
        <f>U15</f>
        <v>546438480</v>
      </c>
      <c r="F27" s="136">
        <f t="shared" si="3"/>
        <v>1407750960</v>
      </c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</row>
    <row r="28" spans="1:23" x14ac:dyDescent="0.25">
      <c r="A28" s="120"/>
      <c r="B28" s="134" t="str">
        <f>A20</f>
        <v>IRON MOUNTAIN</v>
      </c>
      <c r="C28" s="135">
        <f>I23</f>
        <v>366924600</v>
      </c>
      <c r="D28" s="135">
        <f>O23</f>
        <v>508802112</v>
      </c>
      <c r="E28" s="135">
        <f>U23</f>
        <v>529154196.48000002</v>
      </c>
      <c r="F28" s="136">
        <f t="shared" si="3"/>
        <v>1404880908.48</v>
      </c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</row>
    <row r="29" spans="1:23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</row>
    <row r="30" spans="1:23" x14ac:dyDescent="0.25">
      <c r="A30" s="120"/>
      <c r="B30" s="137" t="s">
        <v>134</v>
      </c>
      <c r="C30" s="132">
        <v>2021</v>
      </c>
      <c r="D30" s="133">
        <v>2022</v>
      </c>
      <c r="E30" s="133">
        <v>2023</v>
      </c>
      <c r="F30" s="133" t="s">
        <v>64</v>
      </c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</row>
    <row r="31" spans="1:23" x14ac:dyDescent="0.25">
      <c r="A31" s="120"/>
      <c r="B31" s="138" t="s">
        <v>102</v>
      </c>
      <c r="C31" s="139">
        <f>HARMEAN(C26:C28)</f>
        <v>353453702.57853127</v>
      </c>
      <c r="D31" s="139">
        <f>HARMEAN(D26:D28)</f>
        <v>533289248.4156937</v>
      </c>
      <c r="E31" s="139">
        <f>HARMEAN(E26:E28)</f>
        <v>550834097.7035774</v>
      </c>
      <c r="F31" s="139">
        <f>C31+D31+E31</f>
        <v>1437577048.6978025</v>
      </c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</row>
    <row r="32" spans="1:23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</row>
    <row r="33" spans="1:23" ht="45" x14ac:dyDescent="0.25">
      <c r="A33" s="120"/>
      <c r="B33" s="140" t="s">
        <v>136</v>
      </c>
      <c r="C33" s="141" t="s">
        <v>137</v>
      </c>
      <c r="D33" s="141" t="s">
        <v>139</v>
      </c>
      <c r="E33" s="141" t="s">
        <v>138</v>
      </c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</row>
    <row r="34" spans="1:23" x14ac:dyDescent="0.25">
      <c r="A34" s="120"/>
      <c r="B34" s="124" t="s">
        <v>111</v>
      </c>
      <c r="C34" s="142">
        <f>HARMEAN(G4,G12,G20)</f>
        <v>7101087.9728006804</v>
      </c>
      <c r="D34" s="142">
        <f>HARMEAN(M4,M12,M20)</f>
        <v>8358533.2669926761</v>
      </c>
      <c r="E34" s="142">
        <f>HARMEAN(S4,S12,S20)</f>
        <v>8647522.2442703191</v>
      </c>
      <c r="F34" s="120"/>
      <c r="G34" s="130"/>
      <c r="H34" s="130"/>
      <c r="I34" s="13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</row>
    <row r="35" spans="1:23" x14ac:dyDescent="0.25">
      <c r="A35" s="120"/>
      <c r="B35" s="124" t="s">
        <v>112</v>
      </c>
      <c r="C35" s="142">
        <f>HARMEAN(G5,G13,G21)</f>
        <v>3802371.7202059831</v>
      </c>
      <c r="D35" s="142">
        <f>HARMEAN(M5,M13,M21)</f>
        <v>4799464.7485347269</v>
      </c>
      <c r="E35" s="142">
        <f>HARMEAN(S5,S13,S21)</f>
        <v>4959026.2928629741</v>
      </c>
      <c r="F35" s="120"/>
      <c r="G35" s="130"/>
      <c r="H35" s="143"/>
      <c r="I35" s="13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</row>
    <row r="36" spans="1:23" x14ac:dyDescent="0.25">
      <c r="A36" s="120"/>
      <c r="B36" s="128" t="s">
        <v>113</v>
      </c>
      <c r="C36" s="142">
        <f>HARMEAN(G6,G14,G22)</f>
        <v>27671046.357615892</v>
      </c>
      <c r="D36" s="142">
        <f>HARMEAN(M6,M14,M22)</f>
        <v>30228302.84289277</v>
      </c>
      <c r="E36" s="142">
        <f>HARMEAN(S6,S14,S22)</f>
        <v>31209371.929126576</v>
      </c>
      <c r="F36" s="120"/>
      <c r="G36" s="130"/>
      <c r="H36" s="143"/>
      <c r="I36" s="13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</row>
    <row r="37" spans="1:23" x14ac:dyDescent="0.25">
      <c r="A37" s="120"/>
      <c r="B37" s="120"/>
      <c r="C37" s="120"/>
      <c r="D37" s="120"/>
      <c r="E37" s="120"/>
      <c r="F37" s="120"/>
      <c r="G37" s="130"/>
      <c r="H37" s="143"/>
      <c r="I37" s="143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</row>
    <row r="38" spans="1:23" x14ac:dyDescent="0.25">
      <c r="A38" s="120"/>
      <c r="B38" s="120"/>
      <c r="C38" s="120"/>
      <c r="D38" s="120"/>
      <c r="E38" s="120"/>
      <c r="F38" s="120"/>
      <c r="G38" s="120"/>
      <c r="H38" s="144"/>
      <c r="I38" s="144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</row>
    <row r="39" spans="1:23" x14ac:dyDescent="0.25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</row>
    <row r="40" spans="1:23" x14ac:dyDescent="0.25">
      <c r="A40" s="120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</row>
    <row r="41" spans="1:23" x14ac:dyDescent="0.25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</row>
    <row r="42" spans="1:23" x14ac:dyDescent="0.25">
      <c r="A42" s="120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</row>
    <row r="43" spans="1:23" x14ac:dyDescent="0.25">
      <c r="A43" s="120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</row>
    <row r="44" spans="1:23" x14ac:dyDescent="0.25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</row>
    <row r="45" spans="1:23" x14ac:dyDescent="0.25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</row>
    <row r="46" spans="1:23" x14ac:dyDescent="0.25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</row>
    <row r="47" spans="1:23" x14ac:dyDescent="0.25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</row>
    <row r="48" spans="1:23" x14ac:dyDescent="0.25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</row>
  </sheetData>
  <sheetProtection password="A079" sheet="1" objects="1" scenarios="1"/>
  <mergeCells count="12">
    <mergeCell ref="D10:H10"/>
    <mergeCell ref="J10:O10"/>
    <mergeCell ref="P10:U10"/>
    <mergeCell ref="A4:A6"/>
    <mergeCell ref="D2:H2"/>
    <mergeCell ref="J2:O2"/>
    <mergeCell ref="P2:U2"/>
    <mergeCell ref="A12:A14"/>
    <mergeCell ref="D18:H18"/>
    <mergeCell ref="J18:O18"/>
    <mergeCell ref="P18:U18"/>
    <mergeCell ref="A20:A2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AG37"/>
  <sheetViews>
    <sheetView workbookViewId="0">
      <selection sqref="A1:AG37"/>
    </sheetView>
  </sheetViews>
  <sheetFormatPr baseColWidth="10" defaultRowHeight="15" x14ac:dyDescent="0.25"/>
  <cols>
    <col min="2" max="2" width="41.85546875" customWidth="1"/>
    <col min="3" max="5" width="15.140625" bestFit="1" customWidth="1"/>
    <col min="6" max="6" width="14.140625" bestFit="1" customWidth="1"/>
    <col min="9" max="9" width="14.7109375" customWidth="1"/>
    <col min="13" max="13" width="13.140625" customWidth="1"/>
    <col min="15" max="15" width="14.140625" customWidth="1"/>
    <col min="21" max="21" width="12.5703125" bestFit="1" customWidth="1"/>
  </cols>
  <sheetData>
    <row r="1" spans="1:33" x14ac:dyDescent="0.25">
      <c r="A1" s="120"/>
      <c r="B1" s="120"/>
      <c r="C1" s="120"/>
      <c r="D1" s="222" t="s">
        <v>114</v>
      </c>
      <c r="E1" s="223"/>
      <c r="F1" s="223"/>
      <c r="G1" s="223"/>
      <c r="H1" s="224"/>
      <c r="I1" s="121"/>
      <c r="J1" s="225" t="s">
        <v>115</v>
      </c>
      <c r="K1" s="226"/>
      <c r="L1" s="226"/>
      <c r="M1" s="226"/>
      <c r="N1" s="226"/>
      <c r="O1" s="227"/>
      <c r="P1" s="228" t="s">
        <v>116</v>
      </c>
      <c r="Q1" s="229"/>
      <c r="R1" s="229"/>
      <c r="S1" s="229"/>
      <c r="T1" s="229"/>
      <c r="U1" s="229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</row>
    <row r="2" spans="1:33" ht="60" x14ac:dyDescent="0.25">
      <c r="A2" s="122" t="s">
        <v>120</v>
      </c>
      <c r="B2" s="122" t="s">
        <v>56</v>
      </c>
      <c r="C2" s="122" t="s">
        <v>106</v>
      </c>
      <c r="D2" s="122" t="s">
        <v>131</v>
      </c>
      <c r="E2" s="122" t="s">
        <v>4</v>
      </c>
      <c r="F2" s="122" t="s">
        <v>132</v>
      </c>
      <c r="G2" s="122" t="s">
        <v>126</v>
      </c>
      <c r="H2" s="122" t="s">
        <v>110</v>
      </c>
      <c r="I2" s="122" t="s">
        <v>117</v>
      </c>
      <c r="J2" s="123" t="s">
        <v>131</v>
      </c>
      <c r="K2" s="123" t="s">
        <v>4</v>
      </c>
      <c r="L2" s="123" t="s">
        <v>132</v>
      </c>
      <c r="M2" s="123" t="s">
        <v>126</v>
      </c>
      <c r="N2" s="123" t="s">
        <v>110</v>
      </c>
      <c r="O2" s="123" t="s">
        <v>118</v>
      </c>
      <c r="P2" s="122" t="s">
        <v>131</v>
      </c>
      <c r="Q2" s="122" t="s">
        <v>4</v>
      </c>
      <c r="R2" s="122" t="s">
        <v>132</v>
      </c>
      <c r="S2" s="122" t="s">
        <v>126</v>
      </c>
      <c r="T2" s="122" t="s">
        <v>110</v>
      </c>
      <c r="U2" s="122" t="s">
        <v>119</v>
      </c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</row>
    <row r="3" spans="1:33" ht="60" x14ac:dyDescent="0.25">
      <c r="A3" s="125" t="s">
        <v>51</v>
      </c>
      <c r="B3" s="124" t="s">
        <v>23</v>
      </c>
      <c r="C3" s="125">
        <v>1</v>
      </c>
      <c r="D3" s="126">
        <v>168</v>
      </c>
      <c r="E3" s="126">
        <f>D3*19%</f>
        <v>31.92</v>
      </c>
      <c r="F3" s="126">
        <f>D3+E3</f>
        <v>199.92000000000002</v>
      </c>
      <c r="G3" s="127">
        <f>15910*1.7</f>
        <v>27047</v>
      </c>
      <c r="H3" s="125">
        <v>9</v>
      </c>
      <c r="I3" s="127">
        <f>F3*G3*H3</f>
        <v>48665126.160000004</v>
      </c>
      <c r="J3" s="126">
        <v>180</v>
      </c>
      <c r="K3" s="126">
        <f>J3*19%</f>
        <v>34.200000000000003</v>
      </c>
      <c r="L3" s="126">
        <f>J3+K3</f>
        <v>214.2</v>
      </c>
      <c r="M3" s="127">
        <f>13250*1.7</f>
        <v>22525</v>
      </c>
      <c r="N3" s="125">
        <v>12</v>
      </c>
      <c r="O3" s="126">
        <f>L3*M3*N3</f>
        <v>57898260</v>
      </c>
      <c r="P3" s="126">
        <v>194</v>
      </c>
      <c r="Q3" s="126">
        <f>P3*19%</f>
        <v>36.86</v>
      </c>
      <c r="R3" s="126">
        <f>P3+Q3</f>
        <v>230.86</v>
      </c>
      <c r="S3" s="127">
        <f>12650*1.7</f>
        <v>21505</v>
      </c>
      <c r="T3" s="125">
        <v>12</v>
      </c>
      <c r="U3" s="127">
        <f>R3*S3*T3</f>
        <v>59575731.600000009</v>
      </c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</row>
    <row r="4" spans="1:33" x14ac:dyDescent="0.25">
      <c r="A4" s="120"/>
      <c r="B4" s="120"/>
      <c r="C4" s="120"/>
      <c r="D4" s="120"/>
      <c r="E4" s="120"/>
      <c r="F4" s="120"/>
      <c r="G4" s="120"/>
      <c r="H4" s="120" t="s">
        <v>121</v>
      </c>
      <c r="I4" s="130">
        <f>I3</f>
        <v>48665126.160000004</v>
      </c>
      <c r="J4" s="120"/>
      <c r="K4" s="120"/>
      <c r="L4" s="120"/>
      <c r="M4" s="120"/>
      <c r="N4" s="120"/>
      <c r="O4" s="130">
        <f>SUM(O3:O3)</f>
        <v>57898260</v>
      </c>
      <c r="P4" s="120"/>
      <c r="Q4" s="120"/>
      <c r="R4" s="120"/>
      <c r="S4" s="120"/>
      <c r="T4" s="120"/>
      <c r="U4" s="130">
        <f>SUM(U3:U3)</f>
        <v>59575731.600000009</v>
      </c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</row>
    <row r="5" spans="1:33" x14ac:dyDescent="0.25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</row>
    <row r="6" spans="1:33" x14ac:dyDescent="0.25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</row>
    <row r="7" spans="1:33" x14ac:dyDescent="0.25">
      <c r="A7" s="120"/>
      <c r="B7" s="120"/>
      <c r="C7" s="120"/>
      <c r="D7" s="222" t="s">
        <v>114</v>
      </c>
      <c r="E7" s="223"/>
      <c r="F7" s="223"/>
      <c r="G7" s="223"/>
      <c r="H7" s="224"/>
      <c r="I7" s="121"/>
      <c r="J7" s="225" t="s">
        <v>115</v>
      </c>
      <c r="K7" s="226"/>
      <c r="L7" s="226"/>
      <c r="M7" s="226"/>
      <c r="N7" s="226"/>
      <c r="O7" s="227"/>
      <c r="P7" s="228" t="s">
        <v>116</v>
      </c>
      <c r="Q7" s="229"/>
      <c r="R7" s="229"/>
      <c r="S7" s="229"/>
      <c r="T7" s="229"/>
      <c r="U7" s="229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</row>
    <row r="8" spans="1:33" ht="60" x14ac:dyDescent="0.25">
      <c r="A8" s="122" t="s">
        <v>120</v>
      </c>
      <c r="B8" s="122" t="s">
        <v>56</v>
      </c>
      <c r="C8" s="122" t="s">
        <v>106</v>
      </c>
      <c r="D8" s="122" t="s">
        <v>131</v>
      </c>
      <c r="E8" s="122" t="s">
        <v>4</v>
      </c>
      <c r="F8" s="122" t="s">
        <v>132</v>
      </c>
      <c r="G8" s="122" t="s">
        <v>126</v>
      </c>
      <c r="H8" s="122" t="s">
        <v>110</v>
      </c>
      <c r="I8" s="122" t="s">
        <v>117</v>
      </c>
      <c r="J8" s="123" t="s">
        <v>131</v>
      </c>
      <c r="K8" s="123" t="s">
        <v>4</v>
      </c>
      <c r="L8" s="123" t="s">
        <v>132</v>
      </c>
      <c r="M8" s="123" t="s">
        <v>126</v>
      </c>
      <c r="N8" s="123" t="s">
        <v>110</v>
      </c>
      <c r="O8" s="123" t="s">
        <v>118</v>
      </c>
      <c r="P8" s="122" t="s">
        <v>131</v>
      </c>
      <c r="Q8" s="122" t="s">
        <v>4</v>
      </c>
      <c r="R8" s="122" t="s">
        <v>132</v>
      </c>
      <c r="S8" s="122" t="s">
        <v>126</v>
      </c>
      <c r="T8" s="122" t="s">
        <v>110</v>
      </c>
      <c r="U8" s="122" t="s">
        <v>119</v>
      </c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</row>
    <row r="9" spans="1:33" ht="60" x14ac:dyDescent="0.25">
      <c r="A9" s="145" t="s">
        <v>125</v>
      </c>
      <c r="B9" s="124" t="s">
        <v>23</v>
      </c>
      <c r="C9" s="125">
        <v>1</v>
      </c>
      <c r="D9" s="126">
        <v>188</v>
      </c>
      <c r="E9" s="126">
        <f>D9*19%</f>
        <v>35.72</v>
      </c>
      <c r="F9" s="126">
        <f>D9+E9</f>
        <v>223.72</v>
      </c>
      <c r="G9" s="127">
        <f>G3</f>
        <v>27047</v>
      </c>
      <c r="H9" s="125">
        <v>9</v>
      </c>
      <c r="I9" s="127">
        <f>F9*G9*H9</f>
        <v>54458593.560000002</v>
      </c>
      <c r="J9" s="126">
        <v>195</v>
      </c>
      <c r="K9" s="126">
        <f>J9*19%</f>
        <v>37.049999999999997</v>
      </c>
      <c r="L9" s="126">
        <f>J9+K9</f>
        <v>232.05</v>
      </c>
      <c r="M9" s="127">
        <f>M3</f>
        <v>22525</v>
      </c>
      <c r="N9" s="125">
        <v>12</v>
      </c>
      <c r="O9" s="126">
        <f>L9*M9*N9</f>
        <v>62723115</v>
      </c>
      <c r="P9" s="126">
        <v>202</v>
      </c>
      <c r="Q9" s="126">
        <f>P9*19%</f>
        <v>38.380000000000003</v>
      </c>
      <c r="R9" s="126">
        <f>P9+Q9</f>
        <v>240.38</v>
      </c>
      <c r="S9" s="127">
        <f>S3</f>
        <v>21505</v>
      </c>
      <c r="T9" s="125">
        <v>12</v>
      </c>
      <c r="U9" s="127">
        <f>R9*S9*T9</f>
        <v>62032462.799999997</v>
      </c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</row>
    <row r="10" spans="1:33" x14ac:dyDescent="0.25">
      <c r="A10" s="120"/>
      <c r="B10" s="120"/>
      <c r="C10" s="120"/>
      <c r="D10" s="120"/>
      <c r="E10" s="120"/>
      <c r="F10" s="120"/>
      <c r="G10" s="120"/>
      <c r="H10" s="120" t="s">
        <v>121</v>
      </c>
      <c r="I10" s="130">
        <f>SUM(I9:I9)</f>
        <v>54458593.560000002</v>
      </c>
      <c r="J10" s="120"/>
      <c r="K10" s="120"/>
      <c r="L10" s="120"/>
      <c r="M10" s="120"/>
      <c r="N10" s="120"/>
      <c r="O10" s="130">
        <f>SUM(O9:O9)</f>
        <v>62723115</v>
      </c>
      <c r="P10" s="120"/>
      <c r="Q10" s="120"/>
      <c r="R10" s="120"/>
      <c r="S10" s="120"/>
      <c r="T10" s="120"/>
      <c r="U10" s="130">
        <f>SUM(U9:U9)</f>
        <v>62032462.799999997</v>
      </c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</row>
    <row r="11" spans="1:33" x14ac:dyDescent="0.25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</row>
    <row r="12" spans="1:33" x14ac:dyDescent="0.25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</row>
    <row r="13" spans="1:33" x14ac:dyDescent="0.25">
      <c r="A13" s="120"/>
      <c r="B13" s="120"/>
      <c r="C13" s="120"/>
      <c r="D13" s="222" t="s">
        <v>114</v>
      </c>
      <c r="E13" s="223"/>
      <c r="F13" s="223"/>
      <c r="G13" s="223"/>
      <c r="H13" s="224"/>
      <c r="I13" s="121"/>
      <c r="J13" s="225" t="s">
        <v>115</v>
      </c>
      <c r="K13" s="226"/>
      <c r="L13" s="226"/>
      <c r="M13" s="226"/>
      <c r="N13" s="226"/>
      <c r="O13" s="227"/>
      <c r="P13" s="228" t="s">
        <v>116</v>
      </c>
      <c r="Q13" s="229"/>
      <c r="R13" s="229"/>
      <c r="S13" s="229"/>
      <c r="T13" s="229"/>
      <c r="U13" s="229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</row>
    <row r="14" spans="1:33" ht="60" x14ac:dyDescent="0.25">
      <c r="A14" s="122" t="s">
        <v>120</v>
      </c>
      <c r="B14" s="122" t="s">
        <v>56</v>
      </c>
      <c r="C14" s="122" t="s">
        <v>106</v>
      </c>
      <c r="D14" s="122" t="s">
        <v>131</v>
      </c>
      <c r="E14" s="122" t="s">
        <v>4</v>
      </c>
      <c r="F14" s="122" t="s">
        <v>132</v>
      </c>
      <c r="G14" s="122" t="s">
        <v>126</v>
      </c>
      <c r="H14" s="122" t="s">
        <v>110</v>
      </c>
      <c r="I14" s="122" t="s">
        <v>117</v>
      </c>
      <c r="J14" s="123" t="s">
        <v>131</v>
      </c>
      <c r="K14" s="123" t="s">
        <v>4</v>
      </c>
      <c r="L14" s="123" t="s">
        <v>132</v>
      </c>
      <c r="M14" s="123" t="s">
        <v>126</v>
      </c>
      <c r="N14" s="123" t="s">
        <v>110</v>
      </c>
      <c r="O14" s="123" t="s">
        <v>118</v>
      </c>
      <c r="P14" s="122" t="s">
        <v>131</v>
      </c>
      <c r="Q14" s="122" t="s">
        <v>4</v>
      </c>
      <c r="R14" s="122" t="s">
        <v>132</v>
      </c>
      <c r="S14" s="122" t="s">
        <v>126</v>
      </c>
      <c r="T14" s="122" t="s">
        <v>110</v>
      </c>
      <c r="U14" s="122" t="s">
        <v>119</v>
      </c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</row>
    <row r="15" spans="1:33" ht="60" x14ac:dyDescent="0.25">
      <c r="A15" s="145" t="s">
        <v>130</v>
      </c>
      <c r="B15" s="124" t="s">
        <v>23</v>
      </c>
      <c r="C15" s="125">
        <v>1</v>
      </c>
      <c r="D15" s="126">
        <v>109</v>
      </c>
      <c r="E15" s="126">
        <f>D15*19%</f>
        <v>20.71</v>
      </c>
      <c r="F15" s="126">
        <f>D15+E15</f>
        <v>129.71</v>
      </c>
      <c r="G15" s="127">
        <f>G9</f>
        <v>27047</v>
      </c>
      <c r="H15" s="125">
        <v>9</v>
      </c>
      <c r="I15" s="127">
        <f>H15*G15*F15</f>
        <v>31574397.330000002</v>
      </c>
      <c r="J15" s="126">
        <f>D15*1.035</f>
        <v>112.815</v>
      </c>
      <c r="K15" s="126">
        <f>J15*19%</f>
        <v>21.434850000000001</v>
      </c>
      <c r="L15" s="126">
        <f>J15+K15</f>
        <v>134.24985000000001</v>
      </c>
      <c r="M15" s="127">
        <f>M9</f>
        <v>22525</v>
      </c>
      <c r="N15" s="125">
        <v>12</v>
      </c>
      <c r="O15" s="126">
        <f>N15*M15*L15</f>
        <v>36287734.455000006</v>
      </c>
      <c r="P15" s="126">
        <f>J15*1.035</f>
        <v>116.76352499999999</v>
      </c>
      <c r="Q15" s="126">
        <f>P15*19%</f>
        <v>22.185069749999997</v>
      </c>
      <c r="R15" s="126">
        <f>P15+Q15</f>
        <v>138.94859474999998</v>
      </c>
      <c r="S15" s="127">
        <f>S9</f>
        <v>21505</v>
      </c>
      <c r="T15" s="125">
        <v>12</v>
      </c>
      <c r="U15" s="127">
        <f>T15*S15*R15</f>
        <v>35857074.361184999</v>
      </c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</row>
    <row r="16" spans="1:33" x14ac:dyDescent="0.25">
      <c r="A16" s="120"/>
      <c r="B16" s="120"/>
      <c r="C16" s="120"/>
      <c r="D16" s="120"/>
      <c r="E16" s="120"/>
      <c r="F16" s="120"/>
      <c r="G16" s="120"/>
      <c r="H16" s="120" t="s">
        <v>121</v>
      </c>
      <c r="I16" s="130">
        <f>SUM(I15:I15)</f>
        <v>31574397.330000002</v>
      </c>
      <c r="J16" s="120"/>
      <c r="K16" s="120"/>
      <c r="L16" s="120"/>
      <c r="M16" s="120"/>
      <c r="N16" s="120"/>
      <c r="O16" s="130">
        <f>SUM(O15:O15)</f>
        <v>36287734.455000006</v>
      </c>
      <c r="P16" s="120"/>
      <c r="Q16" s="120"/>
      <c r="R16" s="120"/>
      <c r="S16" s="120"/>
      <c r="T16" s="120"/>
      <c r="U16" s="130">
        <f>SUM(U15:U15)</f>
        <v>35857074.361184999</v>
      </c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</row>
    <row r="17" spans="1:33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</row>
    <row r="18" spans="1:33" x14ac:dyDescent="0.25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</row>
    <row r="19" spans="1:33" x14ac:dyDescent="0.25">
      <c r="A19" s="120"/>
      <c r="B19" s="120"/>
      <c r="C19" s="120"/>
      <c r="D19" s="120"/>
      <c r="E19" s="120"/>
      <c r="F19" s="120"/>
      <c r="G19" s="120"/>
      <c r="H19" s="120"/>
      <c r="I19" s="130"/>
      <c r="J19" s="120"/>
      <c r="K19" s="120"/>
      <c r="L19" s="120"/>
      <c r="M19" s="120"/>
      <c r="N19" s="120"/>
      <c r="O19" s="130"/>
      <c r="P19" s="120"/>
      <c r="Q19" s="120"/>
      <c r="R19" s="120"/>
      <c r="S19" s="120"/>
      <c r="T19" s="120"/>
      <c r="U19" s="13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</row>
    <row r="20" spans="1:33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</row>
    <row r="21" spans="1:33" x14ac:dyDescent="0.25">
      <c r="A21" s="120"/>
      <c r="B21" s="131" t="s">
        <v>124</v>
      </c>
      <c r="C21" s="132">
        <v>2021</v>
      </c>
      <c r="D21" s="133">
        <v>2022</v>
      </c>
      <c r="E21" s="133">
        <v>2023</v>
      </c>
      <c r="F21" s="133" t="s">
        <v>64</v>
      </c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</row>
    <row r="22" spans="1:33" x14ac:dyDescent="0.25">
      <c r="A22" s="120"/>
      <c r="B22" s="134" t="str">
        <f>A3</f>
        <v>SKAPHE</v>
      </c>
      <c r="C22" s="135">
        <f>I4</f>
        <v>48665126.160000004</v>
      </c>
      <c r="D22" s="135">
        <f>O4</f>
        <v>57898260</v>
      </c>
      <c r="E22" s="135">
        <f>U4</f>
        <v>59575731.600000009</v>
      </c>
      <c r="F22" s="136">
        <f>C22+D22+E22</f>
        <v>166139117.75999999</v>
      </c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</row>
    <row r="23" spans="1:33" x14ac:dyDescent="0.25">
      <c r="A23" s="120"/>
      <c r="B23" s="134" t="str">
        <f>A9</f>
        <v>CADENA COURRIER</v>
      </c>
      <c r="C23" s="135">
        <f>I10</f>
        <v>54458593.560000002</v>
      </c>
      <c r="D23" s="135">
        <f>O10</f>
        <v>62723115</v>
      </c>
      <c r="E23" s="135">
        <f>U10</f>
        <v>62032462.799999997</v>
      </c>
      <c r="F23" s="136">
        <f t="shared" ref="F23:F24" si="0">C23+D23+E23</f>
        <v>179214171.36000001</v>
      </c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</row>
    <row r="24" spans="1:33" x14ac:dyDescent="0.25">
      <c r="A24" s="120"/>
      <c r="B24" s="134" t="str">
        <f>A15</f>
        <v>CONTRATO ACTUAL</v>
      </c>
      <c r="C24" s="135">
        <f>I16</f>
        <v>31574397.330000002</v>
      </c>
      <c r="D24" s="135">
        <f>O16</f>
        <v>36287734.455000006</v>
      </c>
      <c r="E24" s="135">
        <f>U16</f>
        <v>35857074.361184999</v>
      </c>
      <c r="F24" s="136">
        <f t="shared" si="0"/>
        <v>103719206.14618501</v>
      </c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</row>
    <row r="25" spans="1:33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</row>
    <row r="26" spans="1:33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</row>
    <row r="27" spans="1:33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</row>
    <row r="28" spans="1:33" x14ac:dyDescent="0.25">
      <c r="A28" s="120"/>
      <c r="B28" s="137" t="s">
        <v>133</v>
      </c>
      <c r="C28" s="132">
        <v>2021</v>
      </c>
      <c r="D28" s="133">
        <v>2022</v>
      </c>
      <c r="E28" s="133">
        <v>2023</v>
      </c>
      <c r="F28" s="133" t="s">
        <v>64</v>
      </c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</row>
    <row r="29" spans="1:33" x14ac:dyDescent="0.25">
      <c r="A29" s="120"/>
      <c r="B29" s="138" t="s">
        <v>102</v>
      </c>
      <c r="C29" s="146">
        <f>HARMEAN(C22:C24)</f>
        <v>42503513.32346651</v>
      </c>
      <c r="D29" s="146">
        <f>HARMEAN(D22:D24)</f>
        <v>49364609.33054284</v>
      </c>
      <c r="E29" s="146">
        <f>HARMEAN(E22:E24)</f>
        <v>49346610.256125338</v>
      </c>
      <c r="F29" s="139">
        <f>C29+D29+E29</f>
        <v>141214732.91013467</v>
      </c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</row>
    <row r="30" spans="1:33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</row>
    <row r="31" spans="1:33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</row>
    <row r="32" spans="1:33" ht="45" x14ac:dyDescent="0.25">
      <c r="A32" s="120"/>
      <c r="B32" s="140" t="s">
        <v>136</v>
      </c>
      <c r="C32" s="141" t="s">
        <v>137</v>
      </c>
      <c r="D32" s="141" t="s">
        <v>139</v>
      </c>
      <c r="E32" s="141" t="s">
        <v>138</v>
      </c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</row>
    <row r="33" spans="1:33" ht="60" x14ac:dyDescent="0.25">
      <c r="A33" s="120"/>
      <c r="B33" s="124" t="s">
        <v>23</v>
      </c>
      <c r="C33" s="147">
        <f>HARMEAN(F3,F9,F15)</f>
        <v>174.60763084616698</v>
      </c>
      <c r="D33" s="147">
        <f>HARMEAN(L3,L9,L15)</f>
        <v>182.62896533682147</v>
      </c>
      <c r="E33" s="147">
        <f>HARMEAN(R3,R9,R15)</f>
        <v>191.22146111805526</v>
      </c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</row>
    <row r="34" spans="1:33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</row>
    <row r="35" spans="1:33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</row>
    <row r="36" spans="1:33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</row>
    <row r="37" spans="1:33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</row>
  </sheetData>
  <sheetProtection password="A079" sheet="1" objects="1" scenarios="1"/>
  <mergeCells count="9">
    <mergeCell ref="D13:H13"/>
    <mergeCell ref="J13:O13"/>
    <mergeCell ref="P13:U13"/>
    <mergeCell ref="D1:H1"/>
    <mergeCell ref="J1:O1"/>
    <mergeCell ref="P1:U1"/>
    <mergeCell ref="D7:H7"/>
    <mergeCell ref="J7:O7"/>
    <mergeCell ref="P7:U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24"/>
  <sheetViews>
    <sheetView workbookViewId="0">
      <selection activeCell="D6" sqref="D6"/>
    </sheetView>
  </sheetViews>
  <sheetFormatPr baseColWidth="10" defaultRowHeight="15" x14ac:dyDescent="0.25"/>
  <cols>
    <col min="2" max="2" width="41.85546875" customWidth="1"/>
    <col min="3" max="5" width="15.140625" bestFit="1" customWidth="1"/>
    <col min="6" max="6" width="14.140625" bestFit="1" customWidth="1"/>
    <col min="9" max="9" width="14.7109375" customWidth="1"/>
    <col min="11" max="11" width="13.85546875" bestFit="1" customWidth="1"/>
    <col min="12" max="12" width="12.5703125" bestFit="1" customWidth="1"/>
    <col min="13" max="13" width="13.140625" customWidth="1"/>
    <col min="15" max="15" width="14.140625" customWidth="1"/>
    <col min="21" max="21" width="12.5703125" bestFit="1" customWidth="1"/>
  </cols>
  <sheetData>
    <row r="1" spans="1:26" x14ac:dyDescent="0.25">
      <c r="A1" s="120"/>
      <c r="B1" s="120"/>
      <c r="C1" s="120"/>
      <c r="D1" s="222" t="s">
        <v>114</v>
      </c>
      <c r="E1" s="223"/>
      <c r="F1" s="223"/>
      <c r="G1" s="223"/>
      <c r="H1" s="224"/>
      <c r="I1" s="121"/>
      <c r="J1" s="225" t="s">
        <v>115</v>
      </c>
      <c r="K1" s="226"/>
      <c r="L1" s="226"/>
      <c r="M1" s="226"/>
      <c r="N1" s="226"/>
      <c r="O1" s="227"/>
      <c r="P1" s="228" t="s">
        <v>116</v>
      </c>
      <c r="Q1" s="229"/>
      <c r="R1" s="229"/>
      <c r="S1" s="229"/>
      <c r="T1" s="229"/>
      <c r="U1" s="229"/>
      <c r="V1" s="120"/>
      <c r="W1" s="120"/>
      <c r="X1" s="120"/>
      <c r="Y1" s="120"/>
      <c r="Z1" s="120"/>
    </row>
    <row r="2" spans="1:26" ht="60" x14ac:dyDescent="0.25">
      <c r="A2" s="148" t="s">
        <v>120</v>
      </c>
      <c r="B2" s="148" t="s">
        <v>56</v>
      </c>
      <c r="C2" s="148" t="s">
        <v>106</v>
      </c>
      <c r="D2" s="148" t="s">
        <v>131</v>
      </c>
      <c r="E2" s="148" t="s">
        <v>4</v>
      </c>
      <c r="F2" s="148" t="s">
        <v>132</v>
      </c>
      <c r="G2" s="148" t="s">
        <v>126</v>
      </c>
      <c r="H2" s="148" t="s">
        <v>110</v>
      </c>
      <c r="I2" s="148" t="s">
        <v>117</v>
      </c>
      <c r="J2" s="149" t="s">
        <v>131</v>
      </c>
      <c r="K2" s="149" t="s">
        <v>4</v>
      </c>
      <c r="L2" s="149" t="s">
        <v>132</v>
      </c>
      <c r="M2" s="149" t="s">
        <v>126</v>
      </c>
      <c r="N2" s="149" t="s">
        <v>110</v>
      </c>
      <c r="O2" s="149" t="s">
        <v>118</v>
      </c>
      <c r="P2" s="148" t="s">
        <v>131</v>
      </c>
      <c r="Q2" s="148" t="s">
        <v>4</v>
      </c>
      <c r="R2" s="148" t="s">
        <v>132</v>
      </c>
      <c r="S2" s="148" t="s">
        <v>126</v>
      </c>
      <c r="T2" s="148" t="s">
        <v>110</v>
      </c>
      <c r="U2" s="148" t="s">
        <v>119</v>
      </c>
      <c r="V2" s="120"/>
      <c r="W2" s="120"/>
      <c r="X2" s="120"/>
      <c r="Y2" s="120"/>
      <c r="Z2" s="120"/>
    </row>
    <row r="3" spans="1:26" x14ac:dyDescent="0.25">
      <c r="A3" s="230" t="s">
        <v>51</v>
      </c>
      <c r="B3" s="150" t="s">
        <v>77</v>
      </c>
      <c r="C3" s="151">
        <v>1</v>
      </c>
      <c r="D3" s="152">
        <v>4100</v>
      </c>
      <c r="E3" s="152">
        <f>D3*19%</f>
        <v>779</v>
      </c>
      <c r="F3" s="152">
        <f>D3+E3</f>
        <v>4879</v>
      </c>
      <c r="G3" s="153">
        <v>41</v>
      </c>
      <c r="H3" s="154">
        <v>9</v>
      </c>
      <c r="I3" s="153">
        <f>F3*G3*H3</f>
        <v>1800351</v>
      </c>
      <c r="J3" s="152">
        <v>4244</v>
      </c>
      <c r="K3" s="152">
        <f>J3*19%</f>
        <v>806.36</v>
      </c>
      <c r="L3" s="152">
        <f>J3+K3</f>
        <v>5050.3599999999997</v>
      </c>
      <c r="M3" s="153">
        <v>41</v>
      </c>
      <c r="N3" s="154">
        <v>12</v>
      </c>
      <c r="O3" s="152">
        <f>L3*M3*N3</f>
        <v>2484777.1199999996</v>
      </c>
      <c r="P3" s="152">
        <v>4393</v>
      </c>
      <c r="Q3" s="152">
        <f>P3*19%</f>
        <v>834.67</v>
      </c>
      <c r="R3" s="152">
        <f>P3+Q3</f>
        <v>5227.67</v>
      </c>
      <c r="S3" s="153">
        <v>41</v>
      </c>
      <c r="T3" s="154">
        <v>12</v>
      </c>
      <c r="U3" s="153">
        <f>R3*S3*T3</f>
        <v>2572013.64</v>
      </c>
      <c r="V3" s="120"/>
      <c r="W3" s="120"/>
      <c r="X3" s="120"/>
      <c r="Y3" s="120"/>
      <c r="Z3" s="120"/>
    </row>
    <row r="4" spans="1:26" x14ac:dyDescent="0.25">
      <c r="A4" s="230"/>
      <c r="B4" s="150" t="s">
        <v>78</v>
      </c>
      <c r="C4" s="151">
        <v>1</v>
      </c>
      <c r="D4" s="152">
        <v>5300</v>
      </c>
      <c r="E4" s="152">
        <f t="shared" ref="E4:E7" si="0">D4*19%</f>
        <v>1007</v>
      </c>
      <c r="F4" s="152">
        <f t="shared" ref="F4:F7" si="1">D4+E4</f>
        <v>6307</v>
      </c>
      <c r="G4" s="153">
        <v>40</v>
      </c>
      <c r="H4" s="154">
        <v>9</v>
      </c>
      <c r="I4" s="153">
        <f t="shared" ref="I4:I7" si="2">F4*G4*H4</f>
        <v>2270520</v>
      </c>
      <c r="J4" s="155">
        <v>5486</v>
      </c>
      <c r="K4" s="152">
        <f>J4*19%</f>
        <v>1042.3399999999999</v>
      </c>
      <c r="L4" s="152">
        <f>J4+K4</f>
        <v>6528.34</v>
      </c>
      <c r="M4" s="153">
        <v>40</v>
      </c>
      <c r="N4" s="154">
        <v>12</v>
      </c>
      <c r="O4" s="152">
        <f>L4*M4*N4</f>
        <v>3133603.2</v>
      </c>
      <c r="P4" s="155">
        <v>5678</v>
      </c>
      <c r="Q4" s="152">
        <f>P4*19%</f>
        <v>1078.82</v>
      </c>
      <c r="R4" s="152">
        <f>P4+Q4</f>
        <v>6756.82</v>
      </c>
      <c r="S4" s="153">
        <v>40</v>
      </c>
      <c r="T4" s="154">
        <v>12</v>
      </c>
      <c r="U4" s="153">
        <f>R4*S4*T4</f>
        <v>3243273.5999999996</v>
      </c>
      <c r="V4" s="120"/>
      <c r="W4" s="120"/>
      <c r="X4" s="120"/>
      <c r="Y4" s="120"/>
      <c r="Z4" s="120"/>
    </row>
    <row r="5" spans="1:26" x14ac:dyDescent="0.25">
      <c r="A5" s="230"/>
      <c r="B5" s="150" t="s">
        <v>79</v>
      </c>
      <c r="C5" s="151">
        <v>1</v>
      </c>
      <c r="D5" s="152">
        <v>7900</v>
      </c>
      <c r="E5" s="152">
        <f t="shared" si="0"/>
        <v>1501</v>
      </c>
      <c r="F5" s="152">
        <f t="shared" si="1"/>
        <v>9401</v>
      </c>
      <c r="G5" s="153">
        <v>24</v>
      </c>
      <c r="H5" s="154">
        <v>9</v>
      </c>
      <c r="I5" s="153">
        <f t="shared" si="2"/>
        <v>2030616</v>
      </c>
      <c r="J5" s="155">
        <v>8177</v>
      </c>
      <c r="K5" s="152">
        <f>J5*19%</f>
        <v>1553.63</v>
      </c>
      <c r="L5" s="152">
        <f>J5+K5</f>
        <v>9730.630000000001</v>
      </c>
      <c r="M5" s="153">
        <v>24</v>
      </c>
      <c r="N5" s="154">
        <v>12</v>
      </c>
      <c r="O5" s="152">
        <f>L5*M5*N5</f>
        <v>2802421.4400000004</v>
      </c>
      <c r="P5" s="155">
        <v>8463</v>
      </c>
      <c r="Q5" s="152">
        <f>P5*19%</f>
        <v>1607.97</v>
      </c>
      <c r="R5" s="152">
        <f>P5+Q5</f>
        <v>10070.969999999999</v>
      </c>
      <c r="S5" s="153">
        <v>24</v>
      </c>
      <c r="T5" s="154">
        <v>12</v>
      </c>
      <c r="U5" s="153">
        <f>R5*S5*T5</f>
        <v>2900439.3599999994</v>
      </c>
      <c r="V5" s="120"/>
      <c r="W5" s="120"/>
      <c r="X5" s="120"/>
      <c r="Y5" s="120"/>
      <c r="Z5" s="120"/>
    </row>
    <row r="6" spans="1:26" x14ac:dyDescent="0.25">
      <c r="A6" s="230"/>
      <c r="B6" s="150" t="s">
        <v>9</v>
      </c>
      <c r="C6" s="151">
        <v>1</v>
      </c>
      <c r="D6" s="152">
        <f>2624/1.19</f>
        <v>2205.0420168067226</v>
      </c>
      <c r="E6" s="152">
        <f t="shared" si="0"/>
        <v>418.9579831932773</v>
      </c>
      <c r="F6" s="152">
        <f t="shared" si="1"/>
        <v>2624</v>
      </c>
      <c r="G6" s="156">
        <v>1031</v>
      </c>
      <c r="H6" s="154">
        <v>9</v>
      </c>
      <c r="I6" s="153">
        <f t="shared" si="2"/>
        <v>24348096</v>
      </c>
      <c r="J6" s="155">
        <f>2716/1.19</f>
        <v>2282.3529411764707</v>
      </c>
      <c r="K6" s="152">
        <f>J6*19%</f>
        <v>433.64705882352945</v>
      </c>
      <c r="L6" s="152">
        <f>J6+K6</f>
        <v>2716</v>
      </c>
      <c r="M6" s="153">
        <v>1298</v>
      </c>
      <c r="N6" s="154">
        <v>12</v>
      </c>
      <c r="O6" s="152">
        <f>L6*M6*N6</f>
        <v>42304416</v>
      </c>
      <c r="P6" s="155">
        <f>2812/1.19</f>
        <v>2363.0252100840339</v>
      </c>
      <c r="Q6" s="152">
        <f>P6*19%</f>
        <v>448.97478991596643</v>
      </c>
      <c r="R6" s="152">
        <f>P6+Q6</f>
        <v>2812.0000000000005</v>
      </c>
      <c r="S6" s="153">
        <v>1350</v>
      </c>
      <c r="T6" s="154">
        <v>12</v>
      </c>
      <c r="U6" s="153">
        <f>R6*S6*T6</f>
        <v>45554400.000000007</v>
      </c>
      <c r="V6" s="120"/>
      <c r="W6" s="120"/>
      <c r="X6" s="120"/>
      <c r="Y6" s="120"/>
      <c r="Z6" s="120"/>
    </row>
    <row r="7" spans="1:26" x14ac:dyDescent="0.25">
      <c r="A7" s="230"/>
      <c r="B7" s="150" t="s">
        <v>129</v>
      </c>
      <c r="C7" s="151">
        <v>2</v>
      </c>
      <c r="D7" s="157">
        <v>1848739</v>
      </c>
      <c r="E7" s="152">
        <f t="shared" si="0"/>
        <v>351260.41000000003</v>
      </c>
      <c r="F7" s="152">
        <f t="shared" si="1"/>
        <v>2199999.41</v>
      </c>
      <c r="G7" s="153">
        <v>2</v>
      </c>
      <c r="H7" s="154">
        <v>9</v>
      </c>
      <c r="I7" s="153">
        <f t="shared" si="2"/>
        <v>39599989.380000003</v>
      </c>
      <c r="J7" s="152">
        <v>1913445</v>
      </c>
      <c r="K7" s="152">
        <f>J7*19%</f>
        <v>363554.55</v>
      </c>
      <c r="L7" s="152">
        <f>J7+K7</f>
        <v>2276999.5499999998</v>
      </c>
      <c r="M7" s="153">
        <v>2</v>
      </c>
      <c r="N7" s="154">
        <v>12</v>
      </c>
      <c r="O7" s="152">
        <f>L7*M7*N7</f>
        <v>54647989.199999996</v>
      </c>
      <c r="P7" s="155">
        <v>1980416</v>
      </c>
      <c r="Q7" s="152">
        <f>P7*19%</f>
        <v>376279.03999999998</v>
      </c>
      <c r="R7" s="152">
        <f>P7+Q7</f>
        <v>2356695.04</v>
      </c>
      <c r="S7" s="153">
        <v>2</v>
      </c>
      <c r="T7" s="154">
        <v>12</v>
      </c>
      <c r="U7" s="153">
        <f>R7*S7*T7</f>
        <v>56560680.960000001</v>
      </c>
      <c r="V7" s="120"/>
      <c r="W7" s="120"/>
      <c r="X7" s="120"/>
      <c r="Y7" s="120"/>
      <c r="Z7" s="120"/>
    </row>
    <row r="8" spans="1:26" x14ac:dyDescent="0.25">
      <c r="A8" s="120"/>
      <c r="B8" s="120"/>
      <c r="C8" s="120"/>
      <c r="D8" s="120"/>
      <c r="E8" s="120"/>
      <c r="F8" s="120"/>
      <c r="G8" s="120"/>
      <c r="H8" s="120" t="s">
        <v>121</v>
      </c>
      <c r="I8" s="158">
        <f>SUM(I3:I7)</f>
        <v>70049572.379999995</v>
      </c>
      <c r="J8" s="139"/>
      <c r="K8" s="159"/>
      <c r="L8" s="120"/>
      <c r="M8" s="120"/>
      <c r="N8" s="120"/>
      <c r="O8" s="130">
        <f>SUM(O3:O7)</f>
        <v>105373206.96000001</v>
      </c>
      <c r="P8" s="120"/>
      <c r="Q8" s="120"/>
      <c r="R8" s="120"/>
      <c r="S8" s="120"/>
      <c r="T8" s="120"/>
      <c r="U8" s="130">
        <f>SUM(U3:U7)</f>
        <v>110830807.56</v>
      </c>
      <c r="V8" s="120"/>
      <c r="W8" s="120"/>
      <c r="X8" s="120"/>
      <c r="Y8" s="120"/>
      <c r="Z8" s="120"/>
    </row>
    <row r="9" spans="1:26" x14ac:dyDescent="0.25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</row>
    <row r="10" spans="1:26" x14ac:dyDescent="0.25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</row>
    <row r="11" spans="1:26" x14ac:dyDescent="0.25">
      <c r="A11" s="120"/>
      <c r="B11" s="137" t="s">
        <v>140</v>
      </c>
      <c r="C11" s="132">
        <v>2021</v>
      </c>
      <c r="D11" s="133">
        <v>2022</v>
      </c>
      <c r="E11" s="133">
        <v>2023</v>
      </c>
      <c r="F11" s="133" t="s">
        <v>64</v>
      </c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</row>
    <row r="12" spans="1:26" x14ac:dyDescent="0.25">
      <c r="A12" s="120"/>
      <c r="B12" s="138" t="s">
        <v>102</v>
      </c>
      <c r="C12" s="146">
        <f>HARMEAN(I8)</f>
        <v>70049572.379999995</v>
      </c>
      <c r="D12" s="146">
        <f>HARMEAN(O8)</f>
        <v>105373206.96000001</v>
      </c>
      <c r="E12" s="146">
        <f>HARMEAN(U8)</f>
        <v>110830807.56</v>
      </c>
      <c r="F12" s="139">
        <f>C12+D12+E12</f>
        <v>286253586.89999998</v>
      </c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</row>
    <row r="13" spans="1:26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</row>
    <row r="14" spans="1:26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</row>
    <row r="15" spans="1:26" ht="45" x14ac:dyDescent="0.25">
      <c r="A15" s="120"/>
      <c r="B15" s="140" t="s">
        <v>136</v>
      </c>
      <c r="C15" s="141" t="s">
        <v>137</v>
      </c>
      <c r="D15" s="141" t="s">
        <v>139</v>
      </c>
      <c r="E15" s="141" t="s">
        <v>138</v>
      </c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</row>
    <row r="16" spans="1:26" x14ac:dyDescent="0.25">
      <c r="A16" s="120"/>
      <c r="B16" s="150" t="s">
        <v>77</v>
      </c>
      <c r="C16" s="142">
        <v>4879</v>
      </c>
      <c r="D16" s="142">
        <v>5050.3599999999997</v>
      </c>
      <c r="E16" s="142">
        <v>5227.67</v>
      </c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</row>
    <row r="17" spans="1:26" x14ac:dyDescent="0.25">
      <c r="A17" s="120"/>
      <c r="B17" s="150" t="s">
        <v>78</v>
      </c>
      <c r="C17" s="142">
        <v>6307</v>
      </c>
      <c r="D17" s="142">
        <v>6528.34</v>
      </c>
      <c r="E17" s="142">
        <v>6756.82</v>
      </c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</row>
    <row r="18" spans="1:26" x14ac:dyDescent="0.25">
      <c r="A18" s="120"/>
      <c r="B18" s="150" t="s">
        <v>79</v>
      </c>
      <c r="C18" s="142">
        <v>9401</v>
      </c>
      <c r="D18" s="142">
        <v>9730.630000000001</v>
      </c>
      <c r="E18" s="142">
        <v>10070.969999999999</v>
      </c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</row>
    <row r="19" spans="1:26" x14ac:dyDescent="0.25">
      <c r="A19" s="120"/>
      <c r="B19" s="150" t="s">
        <v>9</v>
      </c>
      <c r="C19" s="142">
        <v>2624</v>
      </c>
      <c r="D19" s="142">
        <v>2716</v>
      </c>
      <c r="E19" s="142">
        <v>2812.0000000000005</v>
      </c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</row>
    <row r="20" spans="1:26" x14ac:dyDescent="0.25">
      <c r="A20" s="120"/>
      <c r="B20" s="150" t="s">
        <v>80</v>
      </c>
      <c r="C20" s="142">
        <f>2199999.41*2</f>
        <v>4399998.82</v>
      </c>
      <c r="D20" s="142">
        <f>2276999.55*2</f>
        <v>4553999.0999999996</v>
      </c>
      <c r="E20" s="142">
        <f>2356695.04*2</f>
        <v>4713390.0800000001</v>
      </c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</row>
    <row r="21" spans="1:26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</row>
    <row r="22" spans="1:26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</row>
    <row r="23" spans="1:26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</row>
    <row r="24" spans="1:26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</row>
  </sheetData>
  <sheetProtection password="A079" sheet="1" objects="1" scenarios="1"/>
  <mergeCells count="4">
    <mergeCell ref="D1:H1"/>
    <mergeCell ref="J1:O1"/>
    <mergeCell ref="P1:U1"/>
    <mergeCell ref="A3:A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W41"/>
  <sheetViews>
    <sheetView tabSelected="1" workbookViewId="0">
      <selection activeCell="C17" sqref="C17"/>
    </sheetView>
  </sheetViews>
  <sheetFormatPr baseColWidth="10" defaultRowHeight="15" x14ac:dyDescent="0.25"/>
  <cols>
    <col min="2" max="2" width="41.85546875" customWidth="1"/>
    <col min="3" max="5" width="15.140625" bestFit="1" customWidth="1"/>
    <col min="6" max="6" width="14.140625" bestFit="1" customWidth="1"/>
    <col min="9" max="9" width="14.7109375" customWidth="1"/>
    <col min="13" max="13" width="13.140625" customWidth="1"/>
    <col min="15" max="15" width="14.140625" customWidth="1"/>
    <col min="21" max="21" width="12.5703125" bestFit="1" customWidth="1"/>
  </cols>
  <sheetData>
    <row r="1" spans="1:23" x14ac:dyDescent="0.25">
      <c r="A1" s="120"/>
      <c r="B1" s="120"/>
      <c r="C1" s="120"/>
      <c r="D1" s="222" t="s">
        <v>114</v>
      </c>
      <c r="E1" s="223"/>
      <c r="F1" s="223"/>
      <c r="G1" s="223"/>
      <c r="H1" s="224"/>
      <c r="I1" s="121"/>
      <c r="J1" s="225" t="s">
        <v>115</v>
      </c>
      <c r="K1" s="226"/>
      <c r="L1" s="226"/>
      <c r="M1" s="226"/>
      <c r="N1" s="226"/>
      <c r="O1" s="227"/>
      <c r="P1" s="228" t="s">
        <v>116</v>
      </c>
      <c r="Q1" s="229"/>
      <c r="R1" s="229"/>
      <c r="S1" s="229"/>
      <c r="T1" s="229"/>
      <c r="U1" s="229"/>
      <c r="V1" s="120"/>
      <c r="W1" s="120"/>
    </row>
    <row r="2" spans="1:23" ht="60" x14ac:dyDescent="0.25">
      <c r="A2" s="122" t="s">
        <v>120</v>
      </c>
      <c r="B2" s="122" t="s">
        <v>56</v>
      </c>
      <c r="C2" s="122" t="s">
        <v>106</v>
      </c>
      <c r="D2" s="122" t="s">
        <v>108</v>
      </c>
      <c r="E2" s="122" t="s">
        <v>4</v>
      </c>
      <c r="F2" s="122" t="s">
        <v>107</v>
      </c>
      <c r="G2" s="122" t="s">
        <v>109</v>
      </c>
      <c r="H2" s="122" t="s">
        <v>110</v>
      </c>
      <c r="I2" s="122" t="s">
        <v>117</v>
      </c>
      <c r="J2" s="123" t="s">
        <v>108</v>
      </c>
      <c r="K2" s="123" t="s">
        <v>4</v>
      </c>
      <c r="L2" s="123" t="s">
        <v>107</v>
      </c>
      <c r="M2" s="123" t="s">
        <v>109</v>
      </c>
      <c r="N2" s="123" t="s">
        <v>110</v>
      </c>
      <c r="O2" s="123" t="s">
        <v>118</v>
      </c>
      <c r="P2" s="122" t="s">
        <v>108</v>
      </c>
      <c r="Q2" s="122" t="s">
        <v>4</v>
      </c>
      <c r="R2" s="122" t="s">
        <v>107</v>
      </c>
      <c r="S2" s="122" t="s">
        <v>109</v>
      </c>
      <c r="T2" s="122" t="s">
        <v>110</v>
      </c>
      <c r="U2" s="122" t="s">
        <v>119</v>
      </c>
      <c r="V2" s="120"/>
      <c r="W2" s="120"/>
    </row>
    <row r="3" spans="1:23" ht="30" x14ac:dyDescent="0.25">
      <c r="A3" s="232" t="s">
        <v>51</v>
      </c>
      <c r="B3" s="124" t="s">
        <v>127</v>
      </c>
      <c r="C3" s="125">
        <v>2</v>
      </c>
      <c r="D3" s="126">
        <v>504202</v>
      </c>
      <c r="E3" s="126">
        <f>D3*19%</f>
        <v>95798.38</v>
      </c>
      <c r="F3" s="126">
        <f>D3+E3</f>
        <v>600000.38</v>
      </c>
      <c r="G3" s="127">
        <f>F3*C3</f>
        <v>1200000.76</v>
      </c>
      <c r="H3" s="125">
        <v>9</v>
      </c>
      <c r="I3" s="127">
        <f>H3*G3</f>
        <v>10800006.84</v>
      </c>
      <c r="J3" s="126">
        <v>359664</v>
      </c>
      <c r="K3" s="126">
        <f>J3*19%</f>
        <v>68336.160000000003</v>
      </c>
      <c r="L3" s="126">
        <f>J3+K3</f>
        <v>428000.16000000003</v>
      </c>
      <c r="M3" s="127">
        <f>L3*C3</f>
        <v>856000.32000000007</v>
      </c>
      <c r="N3" s="125">
        <v>12</v>
      </c>
      <c r="O3" s="126">
        <f>N3*M3</f>
        <v>10272003.84</v>
      </c>
      <c r="P3" s="126">
        <v>384840</v>
      </c>
      <c r="Q3" s="126">
        <f>P3*19%</f>
        <v>73119.600000000006</v>
      </c>
      <c r="R3" s="126">
        <f>P3+Q3</f>
        <v>457959.6</v>
      </c>
      <c r="S3" s="127">
        <f>R3*C3</f>
        <v>915919.2</v>
      </c>
      <c r="T3" s="125">
        <v>12</v>
      </c>
      <c r="U3" s="127">
        <f>T3*S3</f>
        <v>10991030.399999999</v>
      </c>
      <c r="V3" s="120"/>
      <c r="W3" s="120"/>
    </row>
    <row r="4" spans="1:23" x14ac:dyDescent="0.25">
      <c r="A4" s="232"/>
      <c r="B4" s="124" t="s">
        <v>128</v>
      </c>
      <c r="C4" s="125">
        <v>2</v>
      </c>
      <c r="D4" s="126">
        <v>1008403</v>
      </c>
      <c r="E4" s="126">
        <f>D4*19%</f>
        <v>191596.57</v>
      </c>
      <c r="F4" s="126">
        <f>D4+E4</f>
        <v>1199999.57</v>
      </c>
      <c r="G4" s="127">
        <f>F4*C4</f>
        <v>2399999.14</v>
      </c>
      <c r="H4" s="125">
        <v>9</v>
      </c>
      <c r="I4" s="127">
        <f>H4*G4</f>
        <v>21599992.260000002</v>
      </c>
      <c r="J4" s="126">
        <v>899160</v>
      </c>
      <c r="K4" s="126">
        <f>J4*19%</f>
        <v>170840.4</v>
      </c>
      <c r="L4" s="126">
        <f>J4+K4</f>
        <v>1070000.3999999999</v>
      </c>
      <c r="M4" s="127">
        <f t="shared" ref="M4" si="0">L4*C4</f>
        <v>2140000.7999999998</v>
      </c>
      <c r="N4" s="125">
        <v>12</v>
      </c>
      <c r="O4" s="126">
        <f>N4*M4</f>
        <v>25680009.599999998</v>
      </c>
      <c r="P4" s="126">
        <v>962101</v>
      </c>
      <c r="Q4" s="126">
        <f>P4*19%</f>
        <v>182799.19</v>
      </c>
      <c r="R4" s="126">
        <f>P4+Q4</f>
        <v>1144900.19</v>
      </c>
      <c r="S4" s="127">
        <f>R4*C4</f>
        <v>2289800.38</v>
      </c>
      <c r="T4" s="125">
        <v>12</v>
      </c>
      <c r="U4" s="127">
        <f>T4*S4</f>
        <v>27477604.559999999</v>
      </c>
      <c r="V4" s="120"/>
      <c r="W4" s="120"/>
    </row>
    <row r="5" spans="1:23" x14ac:dyDescent="0.25">
      <c r="A5" s="120"/>
      <c r="B5" s="120"/>
      <c r="C5" s="120"/>
      <c r="D5" s="120"/>
      <c r="E5" s="120"/>
      <c r="F5" s="120"/>
      <c r="G5" s="120"/>
      <c r="H5" s="120" t="s">
        <v>121</v>
      </c>
      <c r="I5" s="130">
        <f>SUM(I3:I4)</f>
        <v>32399999.100000001</v>
      </c>
      <c r="J5" s="120"/>
      <c r="K5" s="120"/>
      <c r="L5" s="120"/>
      <c r="M5" s="120"/>
      <c r="N5" s="120"/>
      <c r="O5" s="130">
        <f>SUM(O3:O4)</f>
        <v>35952013.439999998</v>
      </c>
      <c r="P5" s="120"/>
      <c r="Q5" s="120"/>
      <c r="R5" s="120"/>
      <c r="S5" s="120"/>
      <c r="T5" s="120"/>
      <c r="U5" s="130">
        <f>SUM(U3:U4)</f>
        <v>38468634.959999993</v>
      </c>
      <c r="V5" s="120"/>
      <c r="W5" s="120"/>
    </row>
    <row r="6" spans="1:23" x14ac:dyDescent="0.25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</row>
    <row r="7" spans="1:23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</row>
    <row r="8" spans="1:23" x14ac:dyDescent="0.25">
      <c r="A8" s="120"/>
      <c r="B8" s="120"/>
      <c r="C8" s="120"/>
      <c r="D8" s="222" t="s">
        <v>114</v>
      </c>
      <c r="E8" s="223"/>
      <c r="F8" s="223"/>
      <c r="G8" s="223"/>
      <c r="H8" s="224"/>
      <c r="I8" s="121"/>
      <c r="J8" s="225" t="s">
        <v>115</v>
      </c>
      <c r="K8" s="226"/>
      <c r="L8" s="226"/>
      <c r="M8" s="226"/>
      <c r="N8" s="226"/>
      <c r="O8" s="227"/>
      <c r="P8" s="228" t="s">
        <v>116</v>
      </c>
      <c r="Q8" s="229"/>
      <c r="R8" s="229"/>
      <c r="S8" s="229"/>
      <c r="T8" s="229"/>
      <c r="U8" s="229"/>
      <c r="V8" s="120"/>
      <c r="W8" s="120"/>
    </row>
    <row r="9" spans="1:23" ht="60" x14ac:dyDescent="0.25">
      <c r="A9" s="122" t="s">
        <v>120</v>
      </c>
      <c r="B9" s="122" t="s">
        <v>56</v>
      </c>
      <c r="C9" s="122" t="s">
        <v>106</v>
      </c>
      <c r="D9" s="122" t="s">
        <v>108</v>
      </c>
      <c r="E9" s="122" t="s">
        <v>4</v>
      </c>
      <c r="F9" s="122" t="s">
        <v>107</v>
      </c>
      <c r="G9" s="122" t="s">
        <v>109</v>
      </c>
      <c r="H9" s="122" t="s">
        <v>110</v>
      </c>
      <c r="I9" s="122" t="s">
        <v>117</v>
      </c>
      <c r="J9" s="123" t="s">
        <v>108</v>
      </c>
      <c r="K9" s="123" t="s">
        <v>4</v>
      </c>
      <c r="L9" s="123" t="s">
        <v>107</v>
      </c>
      <c r="M9" s="123" t="s">
        <v>109</v>
      </c>
      <c r="N9" s="123" t="s">
        <v>110</v>
      </c>
      <c r="O9" s="123" t="s">
        <v>118</v>
      </c>
      <c r="P9" s="122" t="s">
        <v>108</v>
      </c>
      <c r="Q9" s="122" t="s">
        <v>4</v>
      </c>
      <c r="R9" s="122" t="s">
        <v>107</v>
      </c>
      <c r="S9" s="122" t="s">
        <v>109</v>
      </c>
      <c r="T9" s="122" t="s">
        <v>110</v>
      </c>
      <c r="U9" s="122" t="s">
        <v>119</v>
      </c>
      <c r="V9" s="120"/>
      <c r="W9" s="120"/>
    </row>
    <row r="10" spans="1:23" ht="30" x14ac:dyDescent="0.25">
      <c r="A10" s="231" t="s">
        <v>122</v>
      </c>
      <c r="B10" s="124" t="s">
        <v>127</v>
      </c>
      <c r="C10" s="125">
        <v>2</v>
      </c>
      <c r="D10" s="126">
        <v>202440</v>
      </c>
      <c r="E10" s="126">
        <f>D10*19%</f>
        <v>38463.599999999999</v>
      </c>
      <c r="F10" s="126">
        <f>D10+E10</f>
        <v>240903.6</v>
      </c>
      <c r="G10" s="127">
        <f>F10*C10</f>
        <v>481807.2</v>
      </c>
      <c r="H10" s="125">
        <v>9</v>
      </c>
      <c r="I10" s="127">
        <f>H10*G10</f>
        <v>4336264.8</v>
      </c>
      <c r="J10" s="126">
        <v>209930.28</v>
      </c>
      <c r="K10" s="126">
        <f>J10*19%</f>
        <v>39886.753199999999</v>
      </c>
      <c r="L10" s="126">
        <f>J10+K10</f>
        <v>249817.03320000001</v>
      </c>
      <c r="M10" s="127">
        <f>L10*C10</f>
        <v>499634.06640000001</v>
      </c>
      <c r="N10" s="125">
        <v>12</v>
      </c>
      <c r="O10" s="126">
        <f>N10*M10</f>
        <v>5995608.7968000006</v>
      </c>
      <c r="P10" s="126">
        <v>217697.70035999999</v>
      </c>
      <c r="Q10" s="126">
        <f>P10*19%</f>
        <v>41362.563068399999</v>
      </c>
      <c r="R10" s="126">
        <f>P10+Q10</f>
        <v>259060.26342839998</v>
      </c>
      <c r="S10" s="127">
        <f>R10*C10</f>
        <v>518120.52685679996</v>
      </c>
      <c r="T10" s="125">
        <v>12</v>
      </c>
      <c r="U10" s="127">
        <f>T10*S10</f>
        <v>6217446.322281599</v>
      </c>
      <c r="V10" s="120"/>
      <c r="W10" s="120"/>
    </row>
    <row r="11" spans="1:23" x14ac:dyDescent="0.25">
      <c r="A11" s="231"/>
      <c r="B11" s="124" t="s">
        <v>128</v>
      </c>
      <c r="C11" s="125">
        <v>2</v>
      </c>
      <c r="D11" s="126">
        <v>767874</v>
      </c>
      <c r="E11" s="126">
        <f>D11*19%</f>
        <v>145896.06</v>
      </c>
      <c r="F11" s="126">
        <f>D11+E11</f>
        <v>913770.06</v>
      </c>
      <c r="G11" s="127">
        <f>F11*C11</f>
        <v>1827540.12</v>
      </c>
      <c r="H11" s="125">
        <v>9</v>
      </c>
      <c r="I11" s="127">
        <f>H11*G11</f>
        <v>16447861.080000002</v>
      </c>
      <c r="J11" s="126">
        <v>796285.33799999999</v>
      </c>
      <c r="K11" s="126">
        <f>J11*19%</f>
        <v>151294.21421999999</v>
      </c>
      <c r="L11" s="126">
        <f>J11+K11</f>
        <v>947579.55221999995</v>
      </c>
      <c r="M11" s="127">
        <f t="shared" ref="M11" si="1">L11*C11</f>
        <v>1895159.1044399999</v>
      </c>
      <c r="N11" s="125">
        <v>12</v>
      </c>
      <c r="O11" s="126">
        <f>N11*M11</f>
        <v>22741909.253279999</v>
      </c>
      <c r="P11" s="126">
        <v>825747.89550600003</v>
      </c>
      <c r="Q11" s="126">
        <f>P11*19%</f>
        <v>156892.10014614</v>
      </c>
      <c r="R11" s="126">
        <f>P11+Q11</f>
        <v>982639.99565214</v>
      </c>
      <c r="S11" s="127">
        <f>R11*C11</f>
        <v>1965279.99130428</v>
      </c>
      <c r="T11" s="125">
        <v>12</v>
      </c>
      <c r="U11" s="127">
        <f>T11*S11</f>
        <v>23583359.895651359</v>
      </c>
      <c r="V11" s="120"/>
      <c r="W11" s="120"/>
    </row>
    <row r="12" spans="1:23" x14ac:dyDescent="0.25">
      <c r="A12" s="120"/>
      <c r="B12" s="120"/>
      <c r="C12" s="120"/>
      <c r="D12" s="120"/>
      <c r="E12" s="120"/>
      <c r="F12" s="120"/>
      <c r="G12" s="120"/>
      <c r="H12" s="120" t="s">
        <v>121</v>
      </c>
      <c r="I12" s="130">
        <f>SUM(I10:I11)</f>
        <v>20784125.880000003</v>
      </c>
      <c r="J12" s="120"/>
      <c r="K12" s="120"/>
      <c r="L12" s="120"/>
      <c r="M12" s="120"/>
      <c r="N12" s="120"/>
      <c r="O12" s="130">
        <f>SUM(O10:O11)</f>
        <v>28737518.050080001</v>
      </c>
      <c r="P12" s="120"/>
      <c r="Q12" s="120"/>
      <c r="R12" s="120"/>
      <c r="S12" s="120"/>
      <c r="T12" s="120"/>
      <c r="U12" s="130">
        <f>SUM(U10:U11)</f>
        <v>29800806.217932958</v>
      </c>
      <c r="V12" s="120"/>
      <c r="W12" s="120"/>
    </row>
    <row r="13" spans="1:23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</row>
    <row r="14" spans="1:23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</row>
    <row r="15" spans="1:23" x14ac:dyDescent="0.25">
      <c r="A15" s="120"/>
      <c r="B15" s="120"/>
      <c r="C15" s="120"/>
      <c r="D15" s="222" t="s">
        <v>114</v>
      </c>
      <c r="E15" s="223"/>
      <c r="F15" s="223"/>
      <c r="G15" s="223"/>
      <c r="H15" s="224"/>
      <c r="I15" s="121"/>
      <c r="J15" s="225" t="s">
        <v>115</v>
      </c>
      <c r="K15" s="226"/>
      <c r="L15" s="226"/>
      <c r="M15" s="226"/>
      <c r="N15" s="226"/>
      <c r="O15" s="227"/>
      <c r="P15" s="228" t="s">
        <v>116</v>
      </c>
      <c r="Q15" s="229"/>
      <c r="R15" s="229"/>
      <c r="S15" s="229"/>
      <c r="T15" s="229"/>
      <c r="U15" s="229"/>
      <c r="V15" s="120"/>
      <c r="W15" s="120"/>
    </row>
    <row r="16" spans="1:23" x14ac:dyDescent="0.25">
      <c r="A16" s="120"/>
      <c r="B16" s="120"/>
      <c r="C16" s="120"/>
      <c r="D16" s="120"/>
      <c r="E16" s="120"/>
      <c r="F16" s="120"/>
      <c r="G16" s="120"/>
      <c r="H16" s="120"/>
      <c r="I16" s="130"/>
      <c r="J16" s="120"/>
      <c r="K16" s="120"/>
      <c r="L16" s="120"/>
      <c r="M16" s="120"/>
      <c r="N16" s="120"/>
      <c r="O16" s="130"/>
      <c r="P16" s="120"/>
      <c r="Q16" s="120"/>
      <c r="R16" s="120"/>
      <c r="S16" s="120"/>
      <c r="T16" s="120"/>
      <c r="U16" s="130"/>
      <c r="V16" s="120"/>
      <c r="W16" s="120"/>
    </row>
    <row r="17" spans="1:23" x14ac:dyDescent="0.25">
      <c r="A17" s="120"/>
      <c r="B17" s="120"/>
      <c r="C17" s="120"/>
      <c r="D17" s="120"/>
      <c r="E17" s="120"/>
      <c r="F17" s="120"/>
      <c r="G17" s="120"/>
      <c r="H17" s="120"/>
      <c r="I17" s="130"/>
      <c r="J17" s="120"/>
      <c r="K17" s="120"/>
      <c r="L17" s="120"/>
      <c r="M17" s="120"/>
      <c r="N17" s="120"/>
      <c r="O17" s="130"/>
      <c r="P17" s="120"/>
      <c r="Q17" s="120"/>
      <c r="R17" s="120"/>
      <c r="S17" s="120"/>
      <c r="T17" s="120"/>
      <c r="U17" s="130"/>
      <c r="V17" s="120"/>
      <c r="W17" s="120"/>
    </row>
    <row r="18" spans="1:23" x14ac:dyDescent="0.25">
      <c r="A18" s="120"/>
      <c r="B18" s="120"/>
      <c r="C18" s="120"/>
      <c r="D18" s="222" t="s">
        <v>114</v>
      </c>
      <c r="E18" s="223"/>
      <c r="F18" s="223"/>
      <c r="G18" s="223"/>
      <c r="H18" s="224"/>
      <c r="I18" s="121"/>
      <c r="J18" s="225" t="s">
        <v>115</v>
      </c>
      <c r="K18" s="226"/>
      <c r="L18" s="226"/>
      <c r="M18" s="226"/>
      <c r="N18" s="226"/>
      <c r="O18" s="227"/>
      <c r="P18" s="228" t="s">
        <v>116</v>
      </c>
      <c r="Q18" s="229"/>
      <c r="R18" s="229"/>
      <c r="S18" s="229"/>
      <c r="T18" s="229"/>
      <c r="U18" s="229"/>
      <c r="V18" s="120"/>
      <c r="W18" s="120"/>
    </row>
    <row r="19" spans="1:23" ht="60" x14ac:dyDescent="0.25">
      <c r="A19" s="122" t="s">
        <v>120</v>
      </c>
      <c r="B19" s="122" t="s">
        <v>56</v>
      </c>
      <c r="C19" s="122" t="s">
        <v>106</v>
      </c>
      <c r="D19" s="122" t="s">
        <v>108</v>
      </c>
      <c r="E19" s="122" t="s">
        <v>4</v>
      </c>
      <c r="F19" s="122" t="s">
        <v>107</v>
      </c>
      <c r="G19" s="122" t="s">
        <v>109</v>
      </c>
      <c r="H19" s="122" t="s">
        <v>110</v>
      </c>
      <c r="I19" s="122" t="s">
        <v>117</v>
      </c>
      <c r="J19" s="123" t="s">
        <v>108</v>
      </c>
      <c r="K19" s="123" t="s">
        <v>4</v>
      </c>
      <c r="L19" s="123" t="s">
        <v>107</v>
      </c>
      <c r="M19" s="123" t="s">
        <v>109</v>
      </c>
      <c r="N19" s="123" t="s">
        <v>110</v>
      </c>
      <c r="O19" s="123" t="s">
        <v>118</v>
      </c>
      <c r="P19" s="122" t="s">
        <v>108</v>
      </c>
      <c r="Q19" s="122" t="s">
        <v>4</v>
      </c>
      <c r="R19" s="122" t="s">
        <v>107</v>
      </c>
      <c r="S19" s="122" t="s">
        <v>109</v>
      </c>
      <c r="T19" s="122" t="s">
        <v>110</v>
      </c>
      <c r="U19" s="122" t="s">
        <v>119</v>
      </c>
      <c r="V19" s="120"/>
      <c r="W19" s="120"/>
    </row>
    <row r="20" spans="1:23" ht="30" x14ac:dyDescent="0.25">
      <c r="A20" s="231" t="s">
        <v>95</v>
      </c>
      <c r="B20" s="124" t="s">
        <v>127</v>
      </c>
      <c r="C20" s="125">
        <v>2</v>
      </c>
      <c r="D20" s="160">
        <f>220497/1.19</f>
        <v>185291.59663865546</v>
      </c>
      <c r="E20" s="126">
        <f>D20*19%</f>
        <v>35205.403361344535</v>
      </c>
      <c r="F20" s="126">
        <f>D20+E20</f>
        <v>220497</v>
      </c>
      <c r="G20" s="127">
        <f>F20*C20</f>
        <v>440994</v>
      </c>
      <c r="H20" s="125">
        <v>9</v>
      </c>
      <c r="I20" s="127">
        <f>H20*G20</f>
        <v>3968946</v>
      </c>
      <c r="J20" s="126">
        <f>D20*1.035</f>
        <v>191776.80252100839</v>
      </c>
      <c r="K20" s="126">
        <f>J20*19%</f>
        <v>36437.592478991595</v>
      </c>
      <c r="L20" s="126">
        <f>J20+K20</f>
        <v>228214.39499999999</v>
      </c>
      <c r="M20" s="127">
        <f>L20*C20</f>
        <v>456428.79</v>
      </c>
      <c r="N20" s="125">
        <v>12</v>
      </c>
      <c r="O20" s="126">
        <f>N20*M20</f>
        <v>5477145.4799999995</v>
      </c>
      <c r="P20" s="126">
        <f>J20*1.035</f>
        <v>198488.99060924366</v>
      </c>
      <c r="Q20" s="126">
        <f>P20*19%</f>
        <v>37712.908215756295</v>
      </c>
      <c r="R20" s="126">
        <f>P20+Q20</f>
        <v>236201.89882499995</v>
      </c>
      <c r="S20" s="127">
        <f>R20*C20</f>
        <v>472403.79764999991</v>
      </c>
      <c r="T20" s="125">
        <v>12</v>
      </c>
      <c r="U20" s="127">
        <f>T20*S20</f>
        <v>5668845.5717999991</v>
      </c>
      <c r="V20" s="120"/>
      <c r="W20" s="120"/>
    </row>
    <row r="21" spans="1:23" x14ac:dyDescent="0.25">
      <c r="A21" s="231"/>
      <c r="B21" s="124" t="s">
        <v>128</v>
      </c>
      <c r="C21" s="125">
        <v>2</v>
      </c>
      <c r="D21" s="160">
        <f>463547/1.19</f>
        <v>389535.29411764705</v>
      </c>
      <c r="E21" s="126">
        <f>D21*19%</f>
        <v>74011.705882352937</v>
      </c>
      <c r="F21" s="126">
        <f t="shared" ref="F21" si="2">D21+E21</f>
        <v>463547</v>
      </c>
      <c r="G21" s="127">
        <f>F21*C21</f>
        <v>927094</v>
      </c>
      <c r="H21" s="125">
        <v>9</v>
      </c>
      <c r="I21" s="127">
        <f>H21*G21</f>
        <v>8343846</v>
      </c>
      <c r="J21" s="126">
        <f>D21*1.035</f>
        <v>403169.02941176464</v>
      </c>
      <c r="K21" s="126">
        <f>J21*19%</f>
        <v>76602.115588235276</v>
      </c>
      <c r="L21" s="126">
        <f>J21+K21</f>
        <v>479771.1449999999</v>
      </c>
      <c r="M21" s="127">
        <f t="shared" ref="M21" si="3">L21*C21</f>
        <v>959542.2899999998</v>
      </c>
      <c r="N21" s="125">
        <v>12</v>
      </c>
      <c r="O21" s="126">
        <f>N21*M21</f>
        <v>11514507.479999997</v>
      </c>
      <c r="P21" s="126">
        <f>J21*1.035</f>
        <v>417279.94544117636</v>
      </c>
      <c r="Q21" s="126">
        <f>P21*19%</f>
        <v>79283.189633823509</v>
      </c>
      <c r="R21" s="126">
        <f>P21+Q21</f>
        <v>496563.13507499988</v>
      </c>
      <c r="S21" s="127">
        <f>R21*C21</f>
        <v>993126.27014999976</v>
      </c>
      <c r="T21" s="125">
        <v>12</v>
      </c>
      <c r="U21" s="127">
        <f>T21*S21</f>
        <v>11917515.241799997</v>
      </c>
      <c r="V21" s="120"/>
      <c r="W21" s="120"/>
    </row>
    <row r="22" spans="1:23" x14ac:dyDescent="0.25">
      <c r="A22" s="120"/>
      <c r="B22" s="120"/>
      <c r="C22" s="120"/>
      <c r="D22" s="120"/>
      <c r="E22" s="120"/>
      <c r="F22" s="120"/>
      <c r="G22" s="120"/>
      <c r="H22" s="120" t="s">
        <v>121</v>
      </c>
      <c r="I22" s="130">
        <f>SUM(I20:I21)</f>
        <v>12312792</v>
      </c>
      <c r="J22" s="120"/>
      <c r="K22" s="120"/>
      <c r="L22" s="120"/>
      <c r="M22" s="120"/>
      <c r="N22" s="120"/>
      <c r="O22" s="130">
        <f>SUM(O20:O21)</f>
        <v>16991652.959999997</v>
      </c>
      <c r="P22" s="120"/>
      <c r="Q22" s="120"/>
      <c r="R22" s="120"/>
      <c r="S22" s="120"/>
      <c r="T22" s="120"/>
      <c r="U22" s="130">
        <f>SUM(U20:U21)</f>
        <v>17586360.813599996</v>
      </c>
      <c r="V22" s="120"/>
      <c r="W22" s="120"/>
    </row>
    <row r="23" spans="1:23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</row>
    <row r="24" spans="1:23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</row>
    <row r="25" spans="1:23" x14ac:dyDescent="0.25">
      <c r="A25" s="120"/>
      <c r="B25" s="131" t="s">
        <v>124</v>
      </c>
      <c r="C25" s="132">
        <v>2021</v>
      </c>
      <c r="D25" s="133">
        <v>2022</v>
      </c>
      <c r="E25" s="133">
        <v>2023</v>
      </c>
      <c r="F25" s="133" t="s">
        <v>64</v>
      </c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</row>
    <row r="26" spans="1:23" x14ac:dyDescent="0.25">
      <c r="A26" s="120"/>
      <c r="B26" s="134" t="str">
        <f>A3</f>
        <v>SKAPHE</v>
      </c>
      <c r="C26" s="135">
        <f>I5</f>
        <v>32399999.100000001</v>
      </c>
      <c r="D26" s="135">
        <f>O5</f>
        <v>35952013.439999998</v>
      </c>
      <c r="E26" s="135">
        <f>U5</f>
        <v>38468634.959999993</v>
      </c>
      <c r="F26" s="136">
        <f>C26+D26+E26</f>
        <v>106820647.49999999</v>
      </c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</row>
    <row r="27" spans="1:23" x14ac:dyDescent="0.25">
      <c r="A27" s="120"/>
      <c r="B27" s="134" t="str">
        <f>A10</f>
        <v xml:space="preserve">CADENA COURRIER </v>
      </c>
      <c r="C27" s="135">
        <f>I12</f>
        <v>20784125.880000003</v>
      </c>
      <c r="D27" s="135">
        <f>O12</f>
        <v>28737518.050080001</v>
      </c>
      <c r="E27" s="135">
        <f>U12</f>
        <v>29800806.217932958</v>
      </c>
      <c r="F27" s="136">
        <f t="shared" ref="F27" si="4">C27+D27+E27</f>
        <v>79322450.148012966</v>
      </c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</row>
    <row r="28" spans="1:23" x14ac:dyDescent="0.25">
      <c r="A28" s="120"/>
      <c r="B28" s="134" t="str">
        <f>A20</f>
        <v>TVEC</v>
      </c>
      <c r="C28" s="135">
        <f>I22</f>
        <v>12312792</v>
      </c>
      <c r="D28" s="135">
        <f>O22</f>
        <v>16991652.959999997</v>
      </c>
      <c r="E28" s="135">
        <f>U22</f>
        <v>17586360.813599996</v>
      </c>
      <c r="F28" s="136">
        <f t="shared" ref="F28" si="5">C28+D28+E28</f>
        <v>46890805.773599997</v>
      </c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</row>
    <row r="29" spans="1:23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</row>
    <row r="30" spans="1:23" x14ac:dyDescent="0.25">
      <c r="A30" s="120"/>
      <c r="B30" s="137" t="s">
        <v>135</v>
      </c>
      <c r="C30" s="132">
        <v>2021</v>
      </c>
      <c r="D30" s="133">
        <v>2022</v>
      </c>
      <c r="E30" s="133">
        <v>2023</v>
      </c>
      <c r="F30" s="133" t="s">
        <v>64</v>
      </c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</row>
    <row r="31" spans="1:23" x14ac:dyDescent="0.25">
      <c r="A31" s="120"/>
      <c r="B31" s="138" t="s">
        <v>102</v>
      </c>
      <c r="C31" s="139">
        <f>HARMEAN(C26,C27,C28)</f>
        <v>18727271.087333955</v>
      </c>
      <c r="D31" s="139">
        <f>HARMEAN(D26,D27,D28)</f>
        <v>24698473.574155968</v>
      </c>
      <c r="E31" s="139">
        <f>HARMEAN(E26,E27,E28)</f>
        <v>25770187.090579845</v>
      </c>
      <c r="F31" s="139">
        <f>C31+D31+E31</f>
        <v>69195931.752069771</v>
      </c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</row>
    <row r="32" spans="1:23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</row>
    <row r="33" spans="1:23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</row>
    <row r="34" spans="1:23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</row>
    <row r="35" spans="1:23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</row>
    <row r="36" spans="1:23" ht="45" x14ac:dyDescent="0.25">
      <c r="A36" s="120"/>
      <c r="B36" s="140" t="s">
        <v>136</v>
      </c>
      <c r="C36" s="141" t="s">
        <v>137</v>
      </c>
      <c r="D36" s="141" t="s">
        <v>139</v>
      </c>
      <c r="E36" s="141" t="s">
        <v>138</v>
      </c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</row>
    <row r="37" spans="1:23" ht="30" x14ac:dyDescent="0.25">
      <c r="A37" s="120"/>
      <c r="B37" s="124" t="s">
        <v>127</v>
      </c>
      <c r="C37" s="142">
        <f>HARMEAN(G3,G10,G20)</f>
        <v>579547.04776192212</v>
      </c>
      <c r="D37" s="142">
        <f>HARMEAN(M3,M10,M20)</f>
        <v>559637.70456191828</v>
      </c>
      <c r="E37" s="142">
        <f>HARMEAN(S3,S10,S20)</f>
        <v>583806.90984201408</v>
      </c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</row>
    <row r="38" spans="1:23" x14ac:dyDescent="0.25">
      <c r="A38" s="120"/>
      <c r="B38" s="124" t="s">
        <v>128</v>
      </c>
      <c r="C38" s="142">
        <f>HARMEAN(G4,G11,G21)</f>
        <v>1468795.6560196162</v>
      </c>
      <c r="D38" s="142">
        <f>HARMEAN(M4,M11,M21)</f>
        <v>1472672.1539452742</v>
      </c>
      <c r="E38" s="142">
        <f>HARMEAN(S4,S11,S21)</f>
        <v>1536512.1805503988</v>
      </c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</row>
    <row r="39" spans="1:23" x14ac:dyDescent="0.25">
      <c r="A39" s="120"/>
      <c r="B39" s="120"/>
      <c r="C39" s="130"/>
      <c r="D39" s="130"/>
      <c r="E39" s="13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</row>
    <row r="40" spans="1:23" x14ac:dyDescent="0.25">
      <c r="A40" s="120"/>
      <c r="B40" s="120"/>
      <c r="C40" s="130"/>
      <c r="D40" s="130"/>
      <c r="E40" s="13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</row>
    <row r="41" spans="1:23" x14ac:dyDescent="0.25">
      <c r="A41" s="120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</row>
  </sheetData>
  <sheetProtection password="A079" sheet="1" objects="1" scenarios="1"/>
  <mergeCells count="15">
    <mergeCell ref="D1:H1"/>
    <mergeCell ref="J1:O1"/>
    <mergeCell ref="P1:U1"/>
    <mergeCell ref="A3:A4"/>
    <mergeCell ref="D8:H8"/>
    <mergeCell ref="J8:O8"/>
    <mergeCell ref="P8:U8"/>
    <mergeCell ref="A20:A21"/>
    <mergeCell ref="A10:A11"/>
    <mergeCell ref="D15:H15"/>
    <mergeCell ref="J15:O15"/>
    <mergeCell ref="P15:U15"/>
    <mergeCell ref="D18:H18"/>
    <mergeCell ref="J18:O18"/>
    <mergeCell ref="P18:U1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topLeftCell="A3" workbookViewId="0">
      <selection activeCell="F25" sqref="F25"/>
    </sheetView>
  </sheetViews>
  <sheetFormatPr baseColWidth="10" defaultRowHeight="15" x14ac:dyDescent="0.25"/>
  <cols>
    <col min="1" max="1" width="16.85546875" bestFit="1" customWidth="1"/>
  </cols>
  <sheetData>
    <row r="1" spans="1:1" x14ac:dyDescent="0.25">
      <c r="A1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2021</vt:lpstr>
      <vt:lpstr>2022</vt:lpstr>
      <vt:lpstr>2023</vt:lpstr>
      <vt:lpstr>MEDIA ARITMETICA</vt:lpstr>
      <vt:lpstr>DESVIACION</vt:lpstr>
      <vt:lpstr>item 4</vt:lpstr>
      <vt:lpstr>item 2</vt:lpstr>
      <vt:lpstr>item 3</vt:lpstr>
      <vt:lpstr>item 1</vt:lpstr>
      <vt:lpstr>Hoja1</vt:lpstr>
      <vt:lpstr>Propuesta ITEM </vt:lpstr>
      <vt:lpstr>Propuesta ITEM 2</vt:lpstr>
      <vt:lpstr>Propuesta ITEM 3</vt:lpstr>
      <vt:lpstr>Propuesta ITEM 4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Ricardo Vargas Reyes</dc:creator>
  <cp:lastModifiedBy>Irene Villaneda.</cp:lastModifiedBy>
  <dcterms:created xsi:type="dcterms:W3CDTF">2019-10-22T20:46:44Z</dcterms:created>
  <dcterms:modified xsi:type="dcterms:W3CDTF">2021-02-23T16:45:07Z</dcterms:modified>
</cp:coreProperties>
</file>