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91b186de67b2e84d/Escritorio/CONTRATACION ALCALDIA 2026/ANALISIS SECTOR/VIGILANCIA/"/>
    </mc:Choice>
  </mc:AlternateContent>
  <xr:revisionPtr revIDLastSave="281" documentId="8_{DB48243C-1245-4C49-B1C4-0F80A0BBD95E}" xr6:coauthVersionLast="47" xr6:coauthVersionMax="47" xr10:uidLastSave="{104E2CED-913E-475A-8D33-1C8125650A47}"/>
  <bookViews>
    <workbookView xWindow="-108" yWindow="-108" windowWidth="23256" windowHeight="12456" xr2:uid="{E651D7B5-0AB2-4030-8AB7-62ECD076EFCC}"/>
  </bookViews>
  <sheets>
    <sheet name="VIGILANCIA  24 jul (2)" sheetId="24" r:id="rId1"/>
    <sheet name="CUMPLIMIENTO INDICADORES" sheetId="25" state="hidden" r:id="rId2"/>
    <sheet name="VIGILANCIA  24 jul" sheetId="23" state="hidden" r:id="rId3"/>
    <sheet name="VIGILANCIA " sheetId="22" state="hidden" r:id="rId4"/>
  </sheets>
  <definedNames>
    <definedName name="_xlnm._FilterDatabase" localSheetId="1" hidden="1">'CUMPLIMIENTO INDICADORES'!$A$2:$O$19</definedName>
    <definedName name="_xlnm._FilterDatabase" localSheetId="0" hidden="1">'VIGILANCIA  24 jul (2)'!$A$4:$G$31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6" i="24" l="1"/>
  <c r="I7" i="24"/>
  <c r="I8" i="24"/>
  <c r="I9" i="24"/>
  <c r="I10" i="24"/>
  <c r="I11" i="24"/>
  <c r="I12" i="24"/>
  <c r="I13" i="24"/>
  <c r="I14" i="24"/>
  <c r="I15" i="24"/>
  <c r="I16" i="24"/>
  <c r="I17" i="24"/>
  <c r="I18" i="24"/>
  <c r="I19" i="24"/>
  <c r="I20" i="24"/>
  <c r="I21" i="24"/>
  <c r="I22" i="24"/>
  <c r="I5" i="24"/>
  <c r="I23" i="24"/>
  <c r="R8" i="24" l="1"/>
  <c r="I27" i="24" s="1"/>
  <c r="R9" i="24"/>
  <c r="I28" i="24" s="1"/>
  <c r="R6" i="24"/>
  <c r="I25" i="24" s="1"/>
  <c r="R7" i="24"/>
  <c r="I26" i="24" s="1"/>
  <c r="R10" i="24"/>
  <c r="I29" i="24" s="1"/>
  <c r="R11" i="24"/>
  <c r="I30" i="24" s="1"/>
  <c r="R12" i="24"/>
  <c r="I31" i="24" s="1"/>
  <c r="R5" i="24"/>
  <c r="I24" i="24" s="1"/>
  <c r="Q8" i="24"/>
  <c r="M9" i="24"/>
  <c r="N9" i="24"/>
  <c r="O9" i="24"/>
  <c r="P9" i="24"/>
  <c r="M8" i="24"/>
  <c r="N8" i="24"/>
  <c r="O8" i="24"/>
  <c r="P8" i="24"/>
  <c r="M7" i="24"/>
  <c r="N7" i="24"/>
  <c r="O7" i="24"/>
  <c r="P7" i="24"/>
  <c r="M6" i="24"/>
  <c r="N6" i="24"/>
  <c r="O6" i="24"/>
  <c r="P6" i="24"/>
  <c r="P5" i="24"/>
  <c r="N5" i="24"/>
  <c r="O5" i="24"/>
  <c r="M5" i="24"/>
  <c r="P15" i="25"/>
  <c r="Q12" i="24"/>
  <c r="H31" i="24" s="1"/>
  <c r="Q9" i="24"/>
  <c r="H28" i="24" s="1"/>
  <c r="Y54" i="25"/>
  <c r="Y45" i="25"/>
  <c r="O39" i="25"/>
  <c r="O40" i="25" s="1"/>
  <c r="N39" i="25"/>
  <c r="N40" i="25" s="1"/>
  <c r="M39" i="25"/>
  <c r="M40" i="25" s="1"/>
  <c r="L39" i="25"/>
  <c r="K39" i="25"/>
  <c r="K40" i="25" s="1"/>
  <c r="O38" i="25"/>
  <c r="N38" i="25"/>
  <c r="M38" i="25"/>
  <c r="L38" i="25"/>
  <c r="K38" i="25"/>
  <c r="W37" i="25"/>
  <c r="V37" i="25"/>
  <c r="U37" i="25"/>
  <c r="U38" i="25" s="1"/>
  <c r="T37" i="25"/>
  <c r="T38" i="25" s="1"/>
  <c r="S37" i="25"/>
  <c r="S38" i="25" s="1"/>
  <c r="O37" i="25"/>
  <c r="O30" i="25" s="1"/>
  <c r="N37" i="25"/>
  <c r="M37" i="25"/>
  <c r="L37" i="25"/>
  <c r="L32" i="25" s="1"/>
  <c r="K37" i="25"/>
  <c r="K30" i="25" s="1"/>
  <c r="K31" i="25" s="1"/>
  <c r="W36" i="25"/>
  <c r="V36" i="25"/>
  <c r="U36" i="25"/>
  <c r="T36" i="25"/>
  <c r="S36" i="25"/>
  <c r="O36" i="25"/>
  <c r="N36" i="25"/>
  <c r="M36" i="25"/>
  <c r="L36" i="25"/>
  <c r="K36" i="25"/>
  <c r="W35" i="25"/>
  <c r="V35" i="25"/>
  <c r="U35" i="25"/>
  <c r="T35" i="25"/>
  <c r="S35" i="25"/>
  <c r="O35" i="25"/>
  <c r="O31" i="25" s="1"/>
  <c r="N35" i="25"/>
  <c r="N30" i="25" s="1"/>
  <c r="N32" i="25" s="1"/>
  <c r="M35" i="25"/>
  <c r="M30" i="25" s="1"/>
  <c r="M32" i="25" s="1"/>
  <c r="L35" i="25"/>
  <c r="K35" i="25"/>
  <c r="W34" i="25"/>
  <c r="V34" i="25"/>
  <c r="U34" i="25"/>
  <c r="T34" i="25"/>
  <c r="S34" i="25"/>
  <c r="O34" i="25"/>
  <c r="N34" i="25"/>
  <c r="M34" i="25"/>
  <c r="L34" i="25"/>
  <c r="K34" i="25"/>
  <c r="W33" i="25"/>
  <c r="Y48" i="25" s="1"/>
  <c r="V33" i="25"/>
  <c r="Y47" i="25" s="1"/>
  <c r="U33" i="25"/>
  <c r="T33" i="25"/>
  <c r="S33" i="25"/>
  <c r="O33" i="25"/>
  <c r="N33" i="25"/>
  <c r="M33" i="25"/>
  <c r="L33" i="25"/>
  <c r="L40" i="25" s="1"/>
  <c r="K33" i="25"/>
  <c r="W32" i="25"/>
  <c r="V32" i="25"/>
  <c r="U32" i="25"/>
  <c r="Y44" i="25" s="1"/>
  <c r="T32" i="25"/>
  <c r="S32" i="25"/>
  <c r="Y42" i="25" s="1"/>
  <c r="W31" i="25"/>
  <c r="V31" i="25"/>
  <c r="U31" i="25"/>
  <c r="T31" i="25"/>
  <c r="S31" i="25"/>
  <c r="W30" i="25"/>
  <c r="W38" i="25" s="1"/>
  <c r="V30" i="25"/>
  <c r="V38" i="25" s="1"/>
  <c r="U30" i="25"/>
  <c r="T30" i="25"/>
  <c r="S30" i="25"/>
  <c r="L30" i="25"/>
  <c r="L31" i="25" s="1"/>
  <c r="Q28" i="25"/>
  <c r="P28" i="25"/>
  <c r="Q27" i="25"/>
  <c r="P27" i="25"/>
  <c r="Q26" i="25"/>
  <c r="P26" i="25"/>
  <c r="Q25" i="25"/>
  <c r="P25" i="25"/>
  <c r="Q24" i="25"/>
  <c r="P24" i="25"/>
  <c r="Q23" i="25"/>
  <c r="P23" i="25"/>
  <c r="Q22" i="25"/>
  <c r="P22" i="25"/>
  <c r="Q21" i="25"/>
  <c r="P21" i="25"/>
  <c r="Q20" i="25"/>
  <c r="P20" i="25"/>
  <c r="Q19" i="25"/>
  <c r="P19" i="25"/>
  <c r="Q18" i="25"/>
  <c r="P18" i="25"/>
  <c r="Q17" i="25"/>
  <c r="P17" i="25"/>
  <c r="Q16" i="25"/>
  <c r="P16" i="25"/>
  <c r="Q15" i="25"/>
  <c r="Q14" i="25"/>
  <c r="P14" i="25"/>
  <c r="Q13" i="25"/>
  <c r="P13" i="25"/>
  <c r="Q12" i="25"/>
  <c r="P12" i="25"/>
  <c r="Q11" i="25"/>
  <c r="P11" i="25"/>
  <c r="Q10" i="25"/>
  <c r="P10" i="25"/>
  <c r="Q9" i="25"/>
  <c r="P9" i="25"/>
  <c r="Q8" i="25"/>
  <c r="P8" i="25"/>
  <c r="Q7" i="25"/>
  <c r="P7" i="25"/>
  <c r="Q6" i="25"/>
  <c r="P6" i="25"/>
  <c r="Q5" i="25"/>
  <c r="P5" i="25"/>
  <c r="P37" i="25" s="1"/>
  <c r="Q4" i="25"/>
  <c r="P4" i="25"/>
  <c r="A4" i="25"/>
  <c r="A5" i="25" s="1"/>
  <c r="A6" i="25" s="1"/>
  <c r="A7" i="25" s="1"/>
  <c r="A8" i="25" s="1"/>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Q3" i="25"/>
  <c r="P3" i="25"/>
  <c r="P35" i="25" s="1"/>
  <c r="Q10" i="24" l="1"/>
  <c r="H29" i="24" s="1"/>
  <c r="Q6" i="24"/>
  <c r="H25" i="24" s="1"/>
  <c r="Q7" i="24"/>
  <c r="H26" i="24" s="1"/>
  <c r="Q11" i="24"/>
  <c r="H30" i="24" s="1"/>
  <c r="Q5" i="24"/>
  <c r="H24" i="24" s="1"/>
  <c r="H27" i="24"/>
  <c r="P30" i="25"/>
  <c r="P32" i="25" s="1"/>
  <c r="O32" i="25"/>
  <c r="P38" i="25"/>
  <c r="N31" i="25"/>
  <c r="P33" i="25"/>
  <c r="P36" i="25"/>
  <c r="P34" i="25"/>
  <c r="M31" i="25"/>
  <c r="K32" i="25"/>
  <c r="P39" i="25"/>
  <c r="P31" i="25" l="1"/>
  <c r="P40" i="25"/>
  <c r="P12" i="24" l="1"/>
  <c r="G31" i="24" s="1"/>
  <c r="O12" i="24"/>
  <c r="F31" i="24" s="1"/>
  <c r="N12" i="24"/>
  <c r="E31" i="24" s="1"/>
  <c r="M12" i="24"/>
  <c r="D31" i="24" s="1"/>
  <c r="L12" i="24"/>
  <c r="C31" i="24" s="1"/>
  <c r="P11" i="24"/>
  <c r="G30" i="24" s="1"/>
  <c r="O11" i="24"/>
  <c r="F30" i="24" s="1"/>
  <c r="N11" i="24"/>
  <c r="E30" i="24" s="1"/>
  <c r="M11" i="24"/>
  <c r="D30" i="24" s="1"/>
  <c r="L11" i="24"/>
  <c r="C30" i="24" s="1"/>
  <c r="P10" i="24"/>
  <c r="G29" i="24" s="1"/>
  <c r="O10" i="24"/>
  <c r="F29" i="24" s="1"/>
  <c r="N10" i="24"/>
  <c r="E29" i="24" s="1"/>
  <c r="M10" i="24"/>
  <c r="D29" i="24" s="1"/>
  <c r="L10" i="24"/>
  <c r="C29" i="24" s="1"/>
  <c r="G28" i="24"/>
  <c r="F28" i="24"/>
  <c r="E28" i="24"/>
  <c r="D28" i="24"/>
  <c r="L9" i="24"/>
  <c r="C28" i="24" s="1"/>
  <c r="G27" i="24"/>
  <c r="F27" i="24"/>
  <c r="E27" i="24"/>
  <c r="D27" i="24"/>
  <c r="L8" i="24"/>
  <c r="C27" i="24" s="1"/>
  <c r="G26" i="24"/>
  <c r="F26" i="24"/>
  <c r="E26" i="24"/>
  <c r="D26" i="24"/>
  <c r="L7" i="24"/>
  <c r="C26" i="24" s="1"/>
  <c r="G25" i="24"/>
  <c r="F25" i="24"/>
  <c r="E25" i="24"/>
  <c r="D25" i="24"/>
  <c r="L6" i="24"/>
  <c r="C25" i="24" s="1"/>
  <c r="G24" i="24"/>
  <c r="F24" i="24"/>
  <c r="E24" i="24"/>
  <c r="D24" i="24"/>
  <c r="L5" i="24"/>
  <c r="C24" i="24" s="1"/>
  <c r="D27" i="23"/>
  <c r="D26" i="23"/>
  <c r="D25" i="23"/>
  <c r="D24" i="23"/>
  <c r="D23" i="23"/>
  <c r="D22" i="23"/>
  <c r="D21" i="23"/>
  <c r="D20" i="23"/>
  <c r="D19" i="23"/>
  <c r="D18" i="23"/>
  <c r="P5" i="23"/>
  <c r="D28" i="23"/>
  <c r="N5" i="23"/>
  <c r="D8" i="23"/>
  <c r="D9" i="23"/>
  <c r="L12" i="23" l="1"/>
  <c r="L11" i="23"/>
  <c r="L10" i="23"/>
  <c r="L9" i="23"/>
  <c r="L8" i="23"/>
  <c r="L7" i="23"/>
  <c r="L6" i="23"/>
  <c r="L5" i="23"/>
  <c r="O12" i="23"/>
  <c r="P12" i="23"/>
  <c r="Q12" i="23"/>
  <c r="R12" i="23"/>
  <c r="N12" i="23"/>
  <c r="O11" i="23"/>
  <c r="P11" i="23"/>
  <c r="Q11" i="23"/>
  <c r="R11" i="23"/>
  <c r="N11" i="23"/>
  <c r="O10" i="23"/>
  <c r="P10" i="23"/>
  <c r="Q10" i="23"/>
  <c r="R10" i="23"/>
  <c r="N10" i="23"/>
  <c r="O9" i="23"/>
  <c r="P9" i="23"/>
  <c r="Q9" i="23"/>
  <c r="R9" i="23"/>
  <c r="N9" i="23"/>
  <c r="O8" i="23"/>
  <c r="P8" i="23"/>
  <c r="Q8" i="23"/>
  <c r="R8" i="23"/>
  <c r="N8" i="23"/>
  <c r="R7" i="23"/>
  <c r="O7" i="23"/>
  <c r="P7" i="23"/>
  <c r="Q7" i="23"/>
  <c r="N7" i="23"/>
  <c r="O6" i="23"/>
  <c r="P6" i="23"/>
  <c r="Q6" i="23"/>
  <c r="R6" i="23"/>
  <c r="N6" i="23"/>
  <c r="R5" i="23"/>
  <c r="Q5" i="23"/>
  <c r="O5" i="23"/>
  <c r="D17" i="23"/>
  <c r="D16" i="23" l="1"/>
  <c r="D15" i="23"/>
  <c r="D14" i="23"/>
  <c r="D13" i="23"/>
  <c r="D12" i="23"/>
  <c r="I36" i="23"/>
  <c r="H36" i="23"/>
  <c r="G36" i="23"/>
  <c r="F36" i="23"/>
  <c r="E36" i="23"/>
  <c r="D11" i="23"/>
  <c r="I35" i="23"/>
  <c r="H35" i="23"/>
  <c r="G35" i="23"/>
  <c r="F35" i="23"/>
  <c r="E35" i="23"/>
  <c r="D10" i="23"/>
  <c r="I34" i="23"/>
  <c r="H34" i="23"/>
  <c r="G34" i="23"/>
  <c r="F34" i="23"/>
  <c r="E34" i="23"/>
  <c r="I33" i="23"/>
  <c r="H33" i="23"/>
  <c r="G33" i="23"/>
  <c r="F33" i="23"/>
  <c r="E33" i="23"/>
  <c r="I32" i="23"/>
  <c r="H32" i="23"/>
  <c r="G32" i="23"/>
  <c r="F32" i="23"/>
  <c r="E32" i="23"/>
  <c r="D7" i="23"/>
  <c r="I31" i="23"/>
  <c r="H31" i="23"/>
  <c r="G31" i="23"/>
  <c r="F31" i="23"/>
  <c r="E31" i="23"/>
  <c r="I30" i="23"/>
  <c r="H30" i="23"/>
  <c r="G30" i="23"/>
  <c r="F30" i="23"/>
  <c r="E30" i="23"/>
  <c r="I29" i="23"/>
  <c r="H29" i="23"/>
  <c r="G29" i="23"/>
  <c r="F29" i="23"/>
  <c r="E29" i="23"/>
  <c r="C33" i="23" l="1"/>
  <c r="C32" i="23"/>
  <c r="C35" i="23"/>
  <c r="D6" i="23"/>
  <c r="C36" i="23"/>
  <c r="C31" i="23"/>
  <c r="D5" i="23"/>
  <c r="C30" i="23"/>
  <c r="C29" i="23"/>
  <c r="M12" i="23" l="1"/>
  <c r="D36" i="23" s="1"/>
  <c r="M11" i="23"/>
  <c r="D35" i="23" s="1"/>
  <c r="M10" i="23"/>
  <c r="M9" i="23"/>
  <c r="D33" i="23" s="1"/>
  <c r="M8" i="23"/>
  <c r="D32" i="23" s="1"/>
  <c r="M7" i="23"/>
  <c r="D31" i="23" s="1"/>
  <c r="M6" i="23"/>
  <c r="D30" i="23" s="1"/>
  <c r="M5" i="23"/>
  <c r="D29" i="23" s="1"/>
  <c r="C34" i="23"/>
  <c r="D34" i="23" l="1"/>
  <c r="C16" i="22" l="1"/>
  <c r="D16" i="22" s="1"/>
  <c r="C15" i="22"/>
  <c r="D15" i="22" s="1"/>
  <c r="C14" i="22"/>
  <c r="D14" i="22" s="1"/>
  <c r="C13" i="22"/>
  <c r="D13" i="22" s="1"/>
  <c r="C12" i="22"/>
  <c r="D12" i="22" s="1"/>
  <c r="C11" i="22"/>
  <c r="D11" i="22" s="1"/>
  <c r="C10" i="22"/>
  <c r="D10" i="22" s="1"/>
  <c r="C8" i="22"/>
  <c r="D8" i="22" s="1"/>
  <c r="C7" i="22"/>
  <c r="D7" i="22" s="1"/>
  <c r="C6" i="22"/>
  <c r="D6" i="22" s="1"/>
  <c r="C5" i="22"/>
  <c r="D5" i="22" l="1"/>
  <c r="M6" i="22" l="1"/>
  <c r="D19" i="22" s="1"/>
  <c r="M5" i="22"/>
  <c r="D18" i="22" s="1"/>
  <c r="M11" i="22"/>
  <c r="D24" i="22" s="1"/>
  <c r="M4" i="22"/>
  <c r="D17" i="22" s="1"/>
  <c r="M7" i="22"/>
  <c r="D20" i="22" s="1"/>
  <c r="M8" i="22"/>
  <c r="D21" i="22" s="1"/>
  <c r="M10" i="22"/>
  <c r="D23" i="22" s="1"/>
  <c r="L8" i="22"/>
  <c r="C21" i="22" s="1"/>
  <c r="L10" i="22"/>
  <c r="C23" i="22" s="1"/>
  <c r="L4" i="22"/>
  <c r="C17" i="22" s="1"/>
  <c r="L7" i="22"/>
  <c r="C20" i="22" s="1"/>
  <c r="L6" i="22"/>
  <c r="C19" i="22" s="1"/>
  <c r="L11" i="22"/>
  <c r="C24" i="22" s="1"/>
  <c r="L5" i="22"/>
  <c r="C18" i="22" s="1"/>
  <c r="P4" i="22"/>
  <c r="G17" i="22" s="1"/>
  <c r="P5" i="22"/>
  <c r="G18" i="22" s="1"/>
  <c r="P10" i="22"/>
  <c r="G23" i="22" s="1"/>
  <c r="P8" i="22"/>
  <c r="G21" i="22" s="1"/>
  <c r="P11" i="22"/>
  <c r="G24" i="22" s="1"/>
  <c r="P6" i="22"/>
  <c r="G19" i="22" s="1"/>
  <c r="P7" i="22"/>
  <c r="G20" i="22" s="1"/>
  <c r="P9" i="22"/>
  <c r="G22" i="22"/>
  <c r="Q6" i="22"/>
  <c r="H19" i="22" s="1"/>
  <c r="Q4" i="22"/>
  <c r="H17" i="22" s="1"/>
  <c r="Q5" i="22"/>
  <c r="H18" i="22" s="1"/>
  <c r="Q10" i="22"/>
  <c r="H23" i="22" s="1"/>
  <c r="Q8" i="22"/>
  <c r="H21" i="22" s="1"/>
  <c r="Q11" i="22"/>
  <c r="H24" i="22" s="1"/>
  <c r="Q7" i="22"/>
  <c r="H20" i="22" s="1"/>
  <c r="Q9" i="22"/>
  <c r="H22" i="22"/>
  <c r="N7" i="22"/>
  <c r="E20" i="22" s="1"/>
  <c r="N5" i="22"/>
  <c r="E18" i="22" s="1"/>
  <c r="N8" i="22"/>
  <c r="E21" i="22" s="1"/>
  <c r="N6" i="22"/>
  <c r="E19" i="22" s="1"/>
  <c r="N11" i="22"/>
  <c r="E24" i="22" s="1"/>
  <c r="N4" i="22"/>
  <c r="E17" i="22" s="1"/>
  <c r="N10" i="22"/>
  <c r="E23" i="22" s="1"/>
  <c r="N9" i="22"/>
  <c r="E22" i="22"/>
  <c r="R4" i="22"/>
  <c r="I17" i="22" s="1"/>
  <c r="R10" i="22"/>
  <c r="I23" i="22" s="1"/>
  <c r="R8" i="22"/>
  <c r="I21" i="22" s="1"/>
  <c r="R6" i="22"/>
  <c r="I19" i="22" s="1"/>
  <c r="R11" i="22"/>
  <c r="I24" i="22" s="1"/>
  <c r="R5" i="22"/>
  <c r="I18" i="22" s="1"/>
  <c r="R7" i="22"/>
  <c r="I20" i="22" s="1"/>
  <c r="R9" i="22"/>
  <c r="I22" i="22"/>
  <c r="O7" i="22"/>
  <c r="F20" i="22" s="1"/>
  <c r="O5" i="22"/>
  <c r="F18" i="22" s="1"/>
  <c r="O8" i="22"/>
  <c r="F21" i="22" s="1"/>
  <c r="O11" i="22"/>
  <c r="F24" i="22" s="1"/>
  <c r="O6" i="22"/>
  <c r="F19" i="22" s="1"/>
  <c r="O4" i="22"/>
  <c r="F17" i="22" s="1"/>
  <c r="O10" i="22"/>
  <c r="F23" i="22" s="1"/>
  <c r="O9" i="22"/>
  <c r="F22" i="22"/>
  <c r="L9" i="22" l="1"/>
  <c r="C22" i="22" s="1"/>
  <c r="M9" i="22"/>
  <c r="D22"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K5" authorId="0" shapeId="0" xr:uid="{120C2C04-2EAE-4155-AED6-49731612DCC3}">
      <text>
        <r>
          <rPr>
            <b/>
            <sz val="9"/>
            <color indexed="81"/>
            <rFont val="Tahoma"/>
            <family val="2"/>
          </rPr>
          <t>USER:</t>
        </r>
        <r>
          <rPr>
            <sz val="9"/>
            <color indexed="81"/>
            <rFont val="Tahoma"/>
            <family val="2"/>
          </rPr>
          <t xml:space="preserve">
La sumatoria/No de datos</t>
        </r>
      </text>
    </comment>
    <comment ref="K6" authorId="0" shapeId="0" xr:uid="{B9FD06E2-EA19-4F29-943E-87C9EC10C693}">
      <text>
        <r>
          <rPr>
            <b/>
            <sz val="9"/>
            <color indexed="81"/>
            <rFont val="Tahoma"/>
            <family val="2"/>
          </rPr>
          <t>USER:</t>
        </r>
        <r>
          <rPr>
            <sz val="9"/>
            <color indexed="81"/>
            <rFont val="Tahoma"/>
            <family val="2"/>
          </rPr>
          <t xml:space="preserve">
se toma DESVEST mas todos los datos</t>
        </r>
      </text>
    </comment>
    <comment ref="K7" authorId="0" shapeId="0" xr:uid="{F518798B-82E0-42C2-B6E2-D6245CF96878}">
      <text>
        <r>
          <rPr>
            <b/>
            <sz val="9"/>
            <color indexed="81"/>
            <rFont val="Tahoma"/>
            <family val="2"/>
          </rPr>
          <t>USER:</t>
        </r>
        <r>
          <rPr>
            <sz val="9"/>
            <color indexed="81"/>
            <rFont val="Tahoma"/>
            <family val="2"/>
          </rPr>
          <t xml:space="preserve">
=mediana mas todos los datos </t>
        </r>
      </text>
    </comment>
    <comment ref="K8" authorId="0" shapeId="0" xr:uid="{CD239081-E6F0-4FB5-B53C-A907AA4BFD67}">
      <text>
        <r>
          <rPr>
            <b/>
            <sz val="9"/>
            <color indexed="81"/>
            <rFont val="Tahoma"/>
            <family val="2"/>
          </rPr>
          <t>USER:</t>
        </r>
        <r>
          <rPr>
            <sz val="9"/>
            <color indexed="81"/>
            <rFont val="Tahoma"/>
            <family val="2"/>
          </rPr>
          <t xml:space="preserve">
se toma =CUARTIL INC mas todos los datos y el 25. min 9 datos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K5" authorId="0" shapeId="0" xr:uid="{D3F3FAFD-8E5D-47AA-8B77-8F012FC44318}">
      <text>
        <r>
          <rPr>
            <b/>
            <sz val="9"/>
            <color indexed="81"/>
            <rFont val="Tahoma"/>
            <family val="2"/>
          </rPr>
          <t>USER:</t>
        </r>
        <r>
          <rPr>
            <sz val="9"/>
            <color indexed="81"/>
            <rFont val="Tahoma"/>
            <family val="2"/>
          </rPr>
          <t xml:space="preserve">
La sumatoria/No de datos</t>
        </r>
      </text>
    </comment>
    <comment ref="K6" authorId="0" shapeId="0" xr:uid="{B1D4AB90-382E-478C-B203-DC302CD3AB77}">
      <text>
        <r>
          <rPr>
            <b/>
            <sz val="9"/>
            <color indexed="81"/>
            <rFont val="Tahoma"/>
            <family val="2"/>
          </rPr>
          <t>USER:</t>
        </r>
        <r>
          <rPr>
            <sz val="9"/>
            <color indexed="81"/>
            <rFont val="Tahoma"/>
            <family val="2"/>
          </rPr>
          <t xml:space="preserve">
se toma DESVEST mas todos los datos</t>
        </r>
      </text>
    </comment>
    <comment ref="K7" authorId="0" shapeId="0" xr:uid="{4C612C27-E20A-4DD3-A9F4-7B3E9D0FFBA6}">
      <text>
        <r>
          <rPr>
            <b/>
            <sz val="9"/>
            <color indexed="81"/>
            <rFont val="Tahoma"/>
            <family val="2"/>
          </rPr>
          <t>USER:</t>
        </r>
        <r>
          <rPr>
            <sz val="9"/>
            <color indexed="81"/>
            <rFont val="Tahoma"/>
            <family val="2"/>
          </rPr>
          <t xml:space="preserve">
=mediana mas todos los datos </t>
        </r>
      </text>
    </comment>
    <comment ref="K8" authorId="0" shapeId="0" xr:uid="{7D238CD0-3D65-4817-8DF3-5FF86466C654}">
      <text>
        <r>
          <rPr>
            <b/>
            <sz val="9"/>
            <color indexed="81"/>
            <rFont val="Tahoma"/>
            <family val="2"/>
          </rPr>
          <t>USER:</t>
        </r>
        <r>
          <rPr>
            <sz val="9"/>
            <color indexed="81"/>
            <rFont val="Tahoma"/>
            <family val="2"/>
          </rPr>
          <t xml:space="preserve">
se toma =CUARTIL INC mas todos los datos y el 25. min 9 datos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K4" authorId="0" shapeId="0" xr:uid="{D7F845B6-C996-4923-A5C4-091CD4A8BCBE}">
      <text>
        <r>
          <rPr>
            <b/>
            <sz val="9"/>
            <color indexed="81"/>
            <rFont val="Tahoma"/>
            <family val="2"/>
          </rPr>
          <t>USER:</t>
        </r>
        <r>
          <rPr>
            <sz val="9"/>
            <color indexed="81"/>
            <rFont val="Tahoma"/>
            <family val="2"/>
          </rPr>
          <t xml:space="preserve">
La sumatoria/No de datos</t>
        </r>
      </text>
    </comment>
    <comment ref="K5" authorId="0" shapeId="0" xr:uid="{25F8A979-93E1-454F-AE59-A467AF770F12}">
      <text>
        <r>
          <rPr>
            <b/>
            <sz val="9"/>
            <color indexed="81"/>
            <rFont val="Tahoma"/>
            <family val="2"/>
          </rPr>
          <t>USER:</t>
        </r>
        <r>
          <rPr>
            <sz val="9"/>
            <color indexed="81"/>
            <rFont val="Tahoma"/>
            <family val="2"/>
          </rPr>
          <t xml:space="preserve">
se toma DESVEST mas todos los datos</t>
        </r>
      </text>
    </comment>
    <comment ref="K6" authorId="0" shapeId="0" xr:uid="{A1337F22-716D-4F89-A00E-61814BE490FE}">
      <text>
        <r>
          <rPr>
            <b/>
            <sz val="9"/>
            <color indexed="81"/>
            <rFont val="Tahoma"/>
            <family val="2"/>
          </rPr>
          <t>USER:</t>
        </r>
        <r>
          <rPr>
            <sz val="9"/>
            <color indexed="81"/>
            <rFont val="Tahoma"/>
            <family val="2"/>
          </rPr>
          <t xml:space="preserve">
=mediana mas todos los datos </t>
        </r>
      </text>
    </comment>
    <comment ref="K7" authorId="0" shapeId="0" xr:uid="{4A14C5E6-BF37-4042-8476-28939FDF7FF6}">
      <text>
        <r>
          <rPr>
            <b/>
            <sz val="9"/>
            <color indexed="81"/>
            <rFont val="Tahoma"/>
            <family val="2"/>
          </rPr>
          <t>USER:</t>
        </r>
        <r>
          <rPr>
            <sz val="9"/>
            <color indexed="81"/>
            <rFont val="Tahoma"/>
            <family val="2"/>
          </rPr>
          <t xml:space="preserve">
se toma =CUARTIL INC mas todos los datos y el 25. min 9 datos </t>
        </r>
      </text>
    </comment>
  </commentList>
</comments>
</file>

<file path=xl/sharedStrings.xml><?xml version="1.0" encoding="utf-8"?>
<sst xmlns="http://schemas.openxmlformats.org/spreadsheetml/2006/main" count="414" uniqueCount="197">
  <si>
    <t>EMPRESA/INDICADOR</t>
  </si>
  <si>
    <t>INDICE DE ENDEUDAMIENTO</t>
  </si>
  <si>
    <t>RAZON COBERTURA DE INTERES</t>
  </si>
  <si>
    <t>RENTABILIDAD PATRIMONIAL</t>
  </si>
  <si>
    <t>RENTABILIDAD DEL ACTIVO</t>
  </si>
  <si>
    <t>INDICE DE LIQUIDEZ</t>
  </si>
  <si>
    <t>INDICADORES CAPACIDAD FINANCIERA Y ORGANIZACIONAL DEL SECTOR</t>
  </si>
  <si>
    <t>SECRETARIA DE EDUCACION MUNICIPAL DE PEREIRA</t>
  </si>
  <si>
    <t>PROMEDIO</t>
  </si>
  <si>
    <t>DESV. ESTANDAR</t>
  </si>
  <si>
    <t>MEDIANA</t>
  </si>
  <si>
    <t>CUARTIL INF</t>
  </si>
  <si>
    <t>PROMRDIO</t>
  </si>
  <si>
    <t>DESV ESTAND</t>
  </si>
  <si>
    <t>RENTABILIDAD PATRIMONIO</t>
  </si>
  <si>
    <t>RENTABILIDAD DE ACTIVO</t>
  </si>
  <si>
    <t>ACTIVO CTE/ PASIVO CTE</t>
  </si>
  <si>
    <t>PASIVO TOTAL/ ACTIVO TOTAL</t>
  </si>
  <si>
    <t>UTILIDAD OPER/ GASTOSINTERES</t>
  </si>
  <si>
    <t>UTILIDAD OPER/ PATRIMONIO</t>
  </si>
  <si>
    <t>UTILIDAD OPER/ ACTIVO TOTAL</t>
  </si>
  <si>
    <t>Si el resultado es mayor que 1, indica que la empresa puede cubrir sus deudas a corto plazo. Un valor muy alto puede señalar recursos mal aprovechados.</t>
  </si>
  <si>
    <t>&lt; 0.5 (o 50%): Buena posición financiera; la empresa usa más recursos propios que ajenos. = 0.5 (o 50%): Equilibrio entre financiamiento propio y ajeno. &gt; 0.5 (o 50%): Alta dependencia de deuda; mayor riesgo financiero.</t>
  </si>
  <si>
    <t>&gt; 1: La empresa puede cubrir los intereses con sus ganancias operativas. &lt; 1: Riesgo financiero; la empresa no genera suficiente para cubrir sus intereses. Entre 2 y 3: Aceptable, pero dependerá del sector y de las condiciones económicas. &gt; 5: Alta capacidad para cubrir intereses; buena salud financiera.</t>
  </si>
  <si>
    <t xml:space="preserve">alto: La empresa está generando buenos retornos para los accionistas. bajo: Podría indicar baja eficiencia o rentabilidad. Lo que se considera "bueno" depende del sector, pero: de 15% o más suele considerarse sólido. negativo implica pérdidas. 
</t>
  </si>
  <si>
    <t>alto: La empresa está usando sus activos de manera eficiente para generar utilidades. bajo: Puede significar que los activos no están siendo bien aprovechados. 5% suele ser aceptable. 10% es considerado muy bueno.</t>
  </si>
  <si>
    <r>
      <t xml:space="preserve">Una inversión con alta desviación estándar tiene rendimientos más variables e inciertos → </t>
    </r>
    <r>
      <rPr>
        <b/>
        <sz val="11"/>
        <color theme="1"/>
        <rFont val="Calibri"/>
        <family val="2"/>
        <scheme val="minor"/>
      </rPr>
      <t>más riesgo</t>
    </r>
    <r>
      <rPr>
        <sz val="11"/>
        <color theme="1"/>
        <rFont val="Calibri"/>
        <family val="2"/>
        <scheme val="minor"/>
      </rPr>
      <t>.</t>
    </r>
  </si>
  <si>
    <t>Al comparar márgenes, retornos o valuaciones entre muchas empresas, la mediana puede reflejar mejor el comportamiento del grupo que el promedio.</t>
  </si>
  <si>
    <r>
      <t xml:space="preserve">En un análisis sectorial o de portafolios, Q1 ayuda a identificar el </t>
    </r>
    <r>
      <rPr>
        <b/>
        <sz val="11"/>
        <color theme="1"/>
        <rFont val="Calibri"/>
        <family val="2"/>
        <scheme val="minor"/>
      </rPr>
      <t>25% con menor rentabilidad</t>
    </r>
    <r>
      <rPr>
        <sz val="11"/>
        <color theme="1"/>
        <rFont val="Calibri"/>
        <family val="2"/>
        <scheme val="minor"/>
      </rPr>
      <t>, menor eficiencia, menor liquidez, etc.</t>
    </r>
  </si>
  <si>
    <t>CUARTIL IN</t>
  </si>
  <si>
    <t>NIT</t>
  </si>
  <si>
    <t>VARIABLES</t>
  </si>
  <si>
    <t>SERVICIO DE VIGILANCIA</t>
  </si>
  <si>
    <t>AINCA SEGURIDAD &amp; PROTECCION LTDA</t>
  </si>
  <si>
    <t>830085880-0</t>
  </si>
  <si>
    <t>ALPHA SEGURIDAD PRIVADA LIMITADA</t>
  </si>
  <si>
    <t>860051945 3</t>
  </si>
  <si>
    <t>COLVISEG COLOMBIANA DE VIGILANCIA Y SEGURIDAD LIMITADA</t>
  </si>
  <si>
    <t>860090721-7</t>
  </si>
  <si>
    <t>COMPAÑIA DE VIGILANCIA LOS LIBERTADORES LTDA</t>
  </si>
  <si>
    <t>830139512-9</t>
  </si>
  <si>
    <t>SEGURIDAD ATLAS LTDA</t>
  </si>
  <si>
    <t>890312749-6</t>
  </si>
  <si>
    <t>SEGURIDAD NAPOLES LIMITADA</t>
  </si>
  <si>
    <t>860523408 6</t>
  </si>
  <si>
    <t>SEGURIDAD THOR LTDA</t>
  </si>
  <si>
    <t>900497761-4</t>
  </si>
  <si>
    <t>VIGILANCIA Y SEGURIDAD CELTAS LTDA</t>
  </si>
  <si>
    <t>900250707-5</t>
  </si>
  <si>
    <t xml:space="preserve">VALOR DE LA MEDIANA </t>
  </si>
  <si>
    <t>TERCER CUARTIL</t>
  </si>
  <si>
    <t>CAPITAL DE TRABAJO</t>
  </si>
  <si>
    <t>CAPITAL TRABAJO</t>
  </si>
  <si>
    <t>I.LIQUIDE</t>
  </si>
  <si>
    <t>I.ENDEUDAMIE</t>
  </si>
  <si>
    <t>R.COBERTUR</t>
  </si>
  <si>
    <t>PATRIM ROE</t>
  </si>
  <si>
    <t>ACTIVO ROA</t>
  </si>
  <si>
    <t>MAXMA</t>
  </si>
  <si>
    <t>MINIMA</t>
  </si>
  <si>
    <t xml:space="preserve">  </t>
  </si>
  <si>
    <t xml:space="preserve">estatal </t>
  </si>
  <si>
    <t>816004965-0</t>
  </si>
  <si>
    <t>891408256-4</t>
  </si>
  <si>
    <t>SEGURIDAD NACIONAL LIMITADA</t>
  </si>
  <si>
    <t>ANDINA DE SEGURIDAD DEL VALLE LTDA</t>
  </si>
  <si>
    <t>MAXIMO</t>
  </si>
  <si>
    <t>MINIMO</t>
  </si>
  <si>
    <t>Presupuesto oficial</t>
  </si>
  <si>
    <t>AMCOVIT LTDA</t>
  </si>
  <si>
    <t>SEGURIDAD ORIENTAL LTDA</t>
  </si>
  <si>
    <t>ESTATAL DE SEGURIDAD LTDA</t>
  </si>
  <si>
    <t>EMPRESA DE VIGILANCIA Y SEGURIDAD PRIVADA MAYAS LTDA</t>
  </si>
  <si>
    <t>FIDELITY SECURITY COMPANY LTDA</t>
  </si>
  <si>
    <t>AINCA SEGURIDAD Y PROTECCION LTDA</t>
  </si>
  <si>
    <t>SEGURIDAD CAMALEON LTDA</t>
  </si>
  <si>
    <t>SEGURIDAD COSMOS LTDA</t>
  </si>
  <si>
    <t>COMPAÑÍA DE VIGILANCIA COVISUR DE COLOMBIA LTDA</t>
  </si>
  <si>
    <t>SEGURIDAD DIEZ LTDA</t>
  </si>
  <si>
    <t>SEGURIDAD SUPERIOR LTDA</t>
  </si>
  <si>
    <t>MAGNUS SEGURIDAD LTDA</t>
  </si>
  <si>
    <t>860011268-4</t>
  </si>
  <si>
    <t>830076099-6</t>
  </si>
  <si>
    <t>900422632-0</t>
  </si>
  <si>
    <t>800023646-9</t>
  </si>
  <si>
    <t>900078848-9</t>
  </si>
  <si>
    <t>860523408-6</t>
  </si>
  <si>
    <t>860066946-6</t>
  </si>
  <si>
    <t>900672790-8</t>
  </si>
  <si>
    <t>0,52</t>
  </si>
  <si>
    <t>1.004.43</t>
  </si>
  <si>
    <t>SEGURIDAD NUEVA ERA LTDA</t>
  </si>
  <si>
    <t>890001572-5</t>
  </si>
  <si>
    <t>800.010.866-6</t>
  </si>
  <si>
    <t>EXPERTOS SEGURIDAD LTDA</t>
  </si>
  <si>
    <t>901303048-2</t>
  </si>
  <si>
    <t>900448692-5</t>
  </si>
  <si>
    <t>891502104-5</t>
  </si>
  <si>
    <t>860513971-9</t>
  </si>
  <si>
    <t>830070625-3</t>
  </si>
  <si>
    <t>830063683-1</t>
  </si>
  <si>
    <t>860526603-1</t>
  </si>
  <si>
    <t>3.556.84</t>
  </si>
  <si>
    <t>GRANADINA DE VIGILANCIA LTDA</t>
  </si>
  <si>
    <t xml:space="preserve"> TECNISEG DE COLOMBIA LTDA</t>
  </si>
  <si>
    <t>SEGURIDAD EL PENTAGONO COLOMBIANO LTDA SEPECOL LTDA</t>
  </si>
  <si>
    <t>COSEQUIN LTDA</t>
  </si>
  <si>
    <t>ESTATAL</t>
  </si>
  <si>
    <t>COORDINAR SEGURIDAD Y COMPAÑIA LTDA</t>
  </si>
  <si>
    <t>900362633-1</t>
  </si>
  <si>
    <t>1,60</t>
  </si>
  <si>
    <t>7,02</t>
  </si>
  <si>
    <t>0,25</t>
  </si>
  <si>
    <t>TOTAL INDICADORES SECTOR</t>
  </si>
  <si>
    <t>INDICADORES DEPURADOS</t>
  </si>
  <si>
    <t>ITEM</t>
  </si>
  <si>
    <t>RAZON SOCIAL</t>
  </si>
  <si>
    <t>ACTIVO CORRIENTE</t>
  </si>
  <si>
    <t>ACTIVO TOTAL</t>
  </si>
  <si>
    <t>PASIVO CORRIENTE</t>
  </si>
  <si>
    <t>PASIVO TOTAL</t>
  </si>
  <si>
    <t>PATRIMONIO</t>
  </si>
  <si>
    <t>UTILIDAD/PERDIDA OPERACIONAL</t>
  </si>
  <si>
    <t>GASTOS DE INTERESES</t>
  </si>
  <si>
    <t>RAZON DE COBERTURA DE INTERESES</t>
  </si>
  <si>
    <t>RENTABILIDAD DEL PATRIMONIO</t>
  </si>
  <si>
    <t>RELACIÓN PATRIMONIAL</t>
  </si>
  <si>
    <t>COMPAÑIA ANDINA DE SEGURIDAD PRIVADA BIC LTDA. - ANDISEG BIC LTDA</t>
  </si>
  <si>
    <t>CORPS SECURITY LTDA</t>
  </si>
  <si>
    <t>ESTATAL DE SEGURIDAD LTDA.</t>
  </si>
  <si>
    <t>GRANADINA DE VIGILANCIA LIMITADA</t>
  </si>
  <si>
    <t>901209618-9</t>
  </si>
  <si>
    <t>INTEGRAL SEGURIDAD PRIVADA LTDA</t>
  </si>
  <si>
    <t>ATLAS SEGURIDAD LTDA</t>
  </si>
  <si>
    <t>SEGURIDAD FENIX DE COLOMBIA LTDA</t>
  </si>
  <si>
    <t>COMPAÑIA DE SEGURIDAD NACIONAL COMSENAL LTDA</t>
  </si>
  <si>
    <t>SEGURIDAD SUPERIOR LTDA.</t>
  </si>
  <si>
    <t>SEPECOL LTDA</t>
  </si>
  <si>
    <t>STARCOOP C.T.A.</t>
  </si>
  <si>
    <t>TECNOLOGIAS INTEGRALES DE SEGURIDAD DE COLOMBIA LTDA</t>
  </si>
  <si>
    <t>901166119-9</t>
  </si>
  <si>
    <t>GLOBAL DE SEGURIDAD ZOMAC LTDA</t>
  </si>
  <si>
    <t>COMPAÑIA DE VIGILANCIA COVISUR DE COLOMBIA LTDA.</t>
  </si>
  <si>
    <t>COORDINAR SEGURIDAD Y COMPAÑIA LTDA.</t>
  </si>
  <si>
    <t>MEDIDAS DE TENDENCIA</t>
  </si>
  <si>
    <t>ELIMINACIÓN VALORES ATIPICOS</t>
  </si>
  <si>
    <t>Rango intercuartílico (IQR)</t>
  </si>
  <si>
    <t>Límite inferior</t>
  </si>
  <si>
    <t xml:space="preserve">MEDIANA </t>
  </si>
  <si>
    <t>Límite superior</t>
  </si>
  <si>
    <t>CUARTIL 0</t>
  </si>
  <si>
    <t>CUARTIL 1</t>
  </si>
  <si>
    <t>CUARTIL 2</t>
  </si>
  <si>
    <t>CUARTIL 3</t>
  </si>
  <si>
    <t>CUARTIL 4</t>
  </si>
  <si>
    <t>DESVIACIÓN ESTANDAR</t>
  </si>
  <si>
    <t>COEFICIENTE DE VARIACIÓN</t>
  </si>
  <si>
    <t>CAPACIDAD FINANCIERA</t>
  </si>
  <si>
    <t xml:space="preserve"> Índice de liquidez</t>
  </si>
  <si>
    <t xml:space="preserve">Debe demostrar una liquidez mayor o igual a </t>
  </si>
  <si>
    <t xml:space="preserve"> Índice de endeudamiento</t>
  </si>
  <si>
    <t>Debe demostrar un endeudamiento menor o igual a</t>
  </si>
  <si>
    <t>Razón de cobertura de intereses</t>
  </si>
  <si>
    <t xml:space="preserve">Debe demostrar una razón de la cobertura de intereses mayor o igual a </t>
  </si>
  <si>
    <t>Capital de trabajo</t>
  </si>
  <si>
    <t xml:space="preserve">Debe demostrar un capital de trabajo mayor o igual a </t>
  </si>
  <si>
    <t>CAPACIDAD ORGANIZACIONAL</t>
  </si>
  <si>
    <t xml:space="preserve"> Rentabilidad del patrimonio</t>
  </si>
  <si>
    <t>Debe demostrar una rentabilidad del patrimonio (ROE) mayor o igual a</t>
  </si>
  <si>
    <t>Rentabilidad del activo</t>
  </si>
  <si>
    <t>Debe demostrar una rentabilidad del activo (ROA) mayor o igual a</t>
  </si>
  <si>
    <t xml:space="preserve"> 860032347-8</t>
  </si>
  <si>
    <t xml:space="preserve"> 901178839-5</t>
  </si>
  <si>
    <t xml:space="preserve"> 800010866-6</t>
  </si>
  <si>
    <t xml:space="preserve"> 860513971-9</t>
  </si>
  <si>
    <t xml:space="preserve"> 890312749-6</t>
  </si>
  <si>
    <t xml:space="preserve"> 800234493-4</t>
  </si>
  <si>
    <t xml:space="preserve"> 860518504-5</t>
  </si>
  <si>
    <t xml:space="preserve"> 860523408-6</t>
  </si>
  <si>
    <t xml:space="preserve"> 860066946-6</t>
  </si>
  <si>
    <t xml:space="preserve"> 860526603-1</t>
  </si>
  <si>
    <t xml:space="preserve"> 830101476-7</t>
  </si>
  <si>
    <t xml:space="preserve"> 830063683-1</t>
  </si>
  <si>
    <t xml:space="preserve"> 900672790-8</t>
  </si>
  <si>
    <t xml:space="preserve"> 830070625-3</t>
  </si>
  <si>
    <t xml:space="preserve"> 891502104-5</t>
  </si>
  <si>
    <t xml:space="preserve"> 900497761-4</t>
  </si>
  <si>
    <t xml:space="preserve"> 800023646-9</t>
  </si>
  <si>
    <t xml:space="preserve"> 900422632-0</t>
  </si>
  <si>
    <t xml:space="preserve"> 830076099-6</t>
  </si>
  <si>
    <t xml:space="preserve"> 860011268-4</t>
  </si>
  <si>
    <t>ACTIVO CORRIENTE - PASIVO CORRIENTE</t>
  </si>
  <si>
    <t>Si el resultado es positivo, indica que la empresa cuenta con recursos corrientes suficientes para atender sus obligaciones de corto plazo. Un valor negativo indica que el pasivo corriente supera al activo corriente, lo que puede señalar dificultades para cubrir las obligaciones de corto plazo. Un capital de trabajo positivo y adecuado refleja una mayor capacidad financiera para mantener la operación y atender compromisos de corto plazo.</t>
  </si>
  <si>
    <t>MONTO TOTAL CONTRATO</t>
  </si>
  <si>
    <t>CAPITAL DE TRABAJO (% VR CONTRATACIÓN)</t>
  </si>
  <si>
    <t xml:space="preserve">% KW </t>
  </si>
  <si>
    <t xml:space="preserve">alto: La empresa está generando buenos retornos para los accionistas. bajo: Podría indicar baja eficiencia o rentabilidad. Lo que se considera "bueno" depende del sector, pero: de 15% o más suele considerarse sólido. negativo implica pérdidas.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</si>
</sst>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4" formatCode="_-&quot;$&quot;\ * #,##0.00_-;\-&quot;$&quot;\ * #,##0.00_-;_-&quot;$&quot;\ * &quot;-&quot;??_-;_-@_-"/>
    <numFmt numFmtId="164" formatCode="_-&quot;$&quot;\ * #,##0_-;\-&quot;$&quot;\ * #,##0_-;_-&quot;$&quot;\ * &quot;-&quot;??_-;_-@_-"/>
    <numFmt numFmtId="165" formatCode="0.0"/>
    <numFmt numFmtId="166" formatCode="#,##0.00_ ;[Red]\-#,##0.00\ "/>
    <numFmt numFmtId="167" formatCode="&quot;$&quot;\ #,##0"/>
  </numFmts>
  <fonts count="21" x14ac:knownFonts="1">
    <font>
      <sz val="11"/>
      <color theme="1"/>
      <name val="Calibri"/>
      <family val="2"/>
      <scheme val="minor"/>
    </font>
    <font>
      <b/>
      <sz val="11"/>
      <color theme="1"/>
      <name val="Calibri"/>
      <family val="2"/>
      <scheme val="minor"/>
    </font>
    <font>
      <sz val="8"/>
      <color theme="1"/>
      <name val="Arial"/>
      <family val="2"/>
    </font>
    <font>
      <b/>
      <sz val="8"/>
      <color theme="1"/>
      <name val="Arial"/>
      <family val="2"/>
    </font>
    <font>
      <sz val="9"/>
      <color indexed="81"/>
      <name val="Tahoma"/>
      <family val="2"/>
    </font>
    <font>
      <b/>
      <sz val="9"/>
      <color indexed="81"/>
      <name val="Tahoma"/>
      <family val="2"/>
    </font>
    <font>
      <sz val="11"/>
      <color theme="1"/>
      <name val="Calibri"/>
      <family val="2"/>
      <scheme val="minor"/>
    </font>
    <font>
      <b/>
      <sz val="8"/>
      <name val="Arial"/>
      <family val="2"/>
    </font>
    <font>
      <sz val="8"/>
      <name val="Arial"/>
      <family val="2"/>
    </font>
    <font>
      <b/>
      <sz val="8"/>
      <color theme="1"/>
      <name val="Arial Narrow"/>
      <family val="2"/>
    </font>
    <font>
      <sz val="8"/>
      <color theme="1"/>
      <name val="Calibri"/>
      <family val="2"/>
      <scheme val="minor"/>
    </font>
    <font>
      <sz val="8"/>
      <color rgb="FF6C6C6C"/>
      <name val="Arial"/>
      <family val="2"/>
    </font>
    <font>
      <b/>
      <sz val="10"/>
      <color theme="1"/>
      <name val="Calibri"/>
      <family val="2"/>
      <scheme val="minor"/>
    </font>
    <font>
      <b/>
      <sz val="12"/>
      <color rgb="FF000000"/>
      <name val="Aptos Narrow"/>
      <family val="2"/>
    </font>
    <font>
      <b/>
      <sz val="10"/>
      <color theme="1"/>
      <name val="Arial"/>
      <family val="2"/>
    </font>
    <font>
      <b/>
      <sz val="10"/>
      <name val="Arial"/>
      <family val="2"/>
    </font>
    <font>
      <sz val="10"/>
      <color theme="1"/>
      <name val="Arial"/>
      <family val="2"/>
    </font>
    <font>
      <sz val="10"/>
      <color rgb="FF000000"/>
      <name val="Arial"/>
      <family val="2"/>
    </font>
    <font>
      <b/>
      <sz val="10"/>
      <color rgb="FF000000"/>
      <name val="Arial"/>
      <family val="2"/>
    </font>
    <font>
      <sz val="12"/>
      <color theme="1"/>
      <name val="Arial"/>
      <family val="2"/>
    </font>
    <font>
      <sz val="12"/>
      <color rgb="FF000000"/>
      <name val="Arial"/>
      <family val="2"/>
    </font>
  </fonts>
  <fills count="1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C000"/>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7"/>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3">
    <xf numFmtId="0" fontId="0" fillId="0" borderId="0"/>
    <xf numFmtId="44" fontId="6" fillId="0" borderId="0" applyFont="0" applyFill="0" applyBorder="0" applyAlignment="0" applyProtection="0"/>
    <xf numFmtId="9" fontId="6" fillId="0" borderId="0" applyFont="0" applyFill="0" applyBorder="0" applyAlignment="0" applyProtection="0"/>
  </cellStyleXfs>
  <cellXfs count="186">
    <xf numFmtId="0" fontId="0" fillId="0" borderId="0" xfId="0"/>
    <xf numFmtId="0" fontId="2" fillId="0" borderId="1" xfId="0" applyFont="1" applyBorder="1" applyAlignment="1">
      <alignment horizontal="center" vertical="center" wrapText="1"/>
    </xf>
    <xf numFmtId="2" fontId="0" fillId="0" borderId="1" xfId="0" applyNumberFormat="1" applyBorder="1" applyAlignment="1">
      <alignment horizontal="center" vertical="center"/>
    </xf>
    <xf numFmtId="0" fontId="3" fillId="0" borderId="1" xfId="0" applyFont="1" applyBorder="1" applyAlignment="1">
      <alignment wrapText="1"/>
    </xf>
    <xf numFmtId="0" fontId="1" fillId="0" borderId="0" xfId="0" applyFont="1" applyAlignment="1">
      <alignment horizontal="center" vertical="center"/>
    </xf>
    <xf numFmtId="0" fontId="3" fillId="0" borderId="0" xfId="0" applyFont="1" applyAlignment="1">
      <alignment horizontal="center" vertical="center" wrapText="1"/>
    </xf>
    <xf numFmtId="2" fontId="0" fillId="0" borderId="0" xfId="0" applyNumberFormat="1" applyAlignment="1">
      <alignment horizontal="center" vertical="center"/>
    </xf>
    <xf numFmtId="2" fontId="1" fillId="0" borderId="0" xfId="0" applyNumberFormat="1" applyFont="1" applyAlignment="1">
      <alignment horizontal="center" vertical="center"/>
    </xf>
    <xf numFmtId="0" fontId="1" fillId="0" borderId="0" xfId="0" applyFont="1"/>
    <xf numFmtId="0" fontId="2" fillId="0" borderId="1" xfId="0" applyFont="1" applyBorder="1"/>
    <xf numFmtId="2" fontId="0" fillId="0" borderId="1" xfId="0" applyNumberFormat="1" applyBorder="1" applyAlignment="1">
      <alignment horizontal="center"/>
    </xf>
    <xf numFmtId="164" fontId="0" fillId="0" borderId="1" xfId="1" applyNumberFormat="1" applyFont="1" applyBorder="1" applyAlignment="1">
      <alignment horizontal="center" vertical="center"/>
    </xf>
    <xf numFmtId="164" fontId="0" fillId="0" borderId="1" xfId="1" applyNumberFormat="1" applyFont="1" applyBorder="1" applyAlignment="1">
      <alignment horizontal="center"/>
    </xf>
    <xf numFmtId="0" fontId="7" fillId="0" borderId="1" xfId="0" applyFont="1" applyBorder="1" applyAlignment="1">
      <alignment wrapText="1"/>
    </xf>
    <xf numFmtId="0" fontId="3" fillId="0" borderId="1" xfId="0" applyFont="1" applyBorder="1" applyAlignment="1">
      <alignment vertical="center" wrapText="1"/>
    </xf>
    <xf numFmtId="2" fontId="8" fillId="0" borderId="1" xfId="0" applyNumberFormat="1" applyFont="1" applyBorder="1" applyAlignment="1">
      <alignment horizontal="center" vertical="center"/>
    </xf>
    <xf numFmtId="0" fontId="2" fillId="0" borderId="1" xfId="0" applyFont="1" applyBorder="1" applyAlignment="1">
      <alignment wrapText="1"/>
    </xf>
    <xf numFmtId="164" fontId="7" fillId="0" borderId="1" xfId="1" applyNumberFormat="1" applyFont="1" applyFill="1" applyBorder="1" applyAlignment="1">
      <alignment horizontal="center" wrapText="1"/>
    </xf>
    <xf numFmtId="9" fontId="0" fillId="0" borderId="1" xfId="2" applyFont="1" applyBorder="1" applyAlignment="1">
      <alignment horizontal="center" vertical="center"/>
    </xf>
    <xf numFmtId="9" fontId="0" fillId="0" borderId="1" xfId="2" applyFont="1" applyBorder="1" applyAlignment="1">
      <alignment horizontal="center"/>
    </xf>
    <xf numFmtId="9" fontId="8" fillId="0" borderId="1" xfId="2" applyFont="1" applyFill="1" applyBorder="1" applyAlignment="1">
      <alignment horizontal="center" wrapText="1"/>
    </xf>
    <xf numFmtId="0" fontId="0" fillId="0" borderId="1" xfId="0" applyBorder="1"/>
    <xf numFmtId="164" fontId="2" fillId="0" borderId="1" xfId="0" applyNumberFormat="1" applyFont="1" applyBorder="1"/>
    <xf numFmtId="9" fontId="2" fillId="0" borderId="1" xfId="0" applyNumberFormat="1" applyFont="1" applyBorder="1"/>
    <xf numFmtId="164" fontId="0" fillId="0" borderId="1" xfId="0" applyNumberFormat="1" applyBorder="1"/>
    <xf numFmtId="9" fontId="10" fillId="0" borderId="1" xfId="0" applyNumberFormat="1" applyFont="1" applyBorder="1"/>
    <xf numFmtId="2" fontId="2" fillId="0" borderId="1" xfId="0" applyNumberFormat="1" applyFont="1" applyBorder="1" applyAlignment="1">
      <alignment horizontal="center" vertical="center"/>
    </xf>
    <xf numFmtId="2" fontId="10" fillId="0" borderId="1" xfId="0" applyNumberFormat="1" applyFont="1" applyBorder="1" applyAlignment="1">
      <alignment horizontal="center" vertical="center"/>
    </xf>
    <xf numFmtId="164" fontId="3" fillId="2" borderId="1" xfId="1" applyNumberFormat="1" applyFont="1" applyFill="1" applyBorder="1" applyAlignment="1">
      <alignment horizontal="center" vertical="center"/>
    </xf>
    <xf numFmtId="9" fontId="3" fillId="2" borderId="1" xfId="2" applyFont="1" applyFill="1" applyBorder="1" applyAlignment="1">
      <alignment horizontal="center" vertical="center"/>
    </xf>
    <xf numFmtId="2" fontId="3" fillId="2" borderId="1" xfId="0" applyNumberFormat="1" applyFont="1" applyFill="1" applyBorder="1" applyAlignment="1">
      <alignment horizontal="center" vertical="center"/>
    </xf>
    <xf numFmtId="164" fontId="3" fillId="2" borderId="1" xfId="1" applyNumberFormat="1" applyFont="1" applyFill="1" applyBorder="1" applyAlignment="1">
      <alignment horizontal="center"/>
    </xf>
    <xf numFmtId="0" fontId="7" fillId="2" borderId="1" xfId="0" applyFont="1" applyFill="1" applyBorder="1" applyAlignment="1">
      <alignment vertical="center"/>
    </xf>
    <xf numFmtId="0" fontId="7" fillId="2" borderId="1" xfId="0" applyFont="1" applyFill="1" applyBorder="1" applyAlignment="1">
      <alignment horizontal="center" vertical="center" wrapText="1"/>
    </xf>
    <xf numFmtId="0" fontId="2" fillId="0" borderId="0" xfId="0" applyFont="1"/>
    <xf numFmtId="164" fontId="0" fillId="0" borderId="0" xfId="0" applyNumberFormat="1"/>
    <xf numFmtId="9" fontId="10" fillId="0" borderId="0" xfId="0" applyNumberFormat="1" applyFont="1"/>
    <xf numFmtId="2" fontId="10" fillId="0" borderId="0" xfId="0" applyNumberFormat="1" applyFont="1" applyAlignment="1">
      <alignment horizontal="center" vertical="center"/>
    </xf>
    <xf numFmtId="0" fontId="7" fillId="2" borderId="1" xfId="0" applyFont="1" applyFill="1" applyBorder="1" applyAlignment="1">
      <alignment horizontal="center" vertical="center"/>
    </xf>
    <xf numFmtId="0" fontId="8" fillId="3" borderId="1" xfId="0" applyFont="1" applyFill="1" applyBorder="1"/>
    <xf numFmtId="0" fontId="8" fillId="4" borderId="1" xfId="0" applyFont="1" applyFill="1" applyBorder="1"/>
    <xf numFmtId="0" fontId="10" fillId="0" borderId="0" xfId="0" applyFont="1"/>
    <xf numFmtId="0" fontId="10" fillId="3" borderId="0" xfId="0" applyFont="1" applyFill="1"/>
    <xf numFmtId="0" fontId="3" fillId="2" borderId="4" xfId="0" applyFont="1" applyFill="1" applyBorder="1" applyAlignment="1">
      <alignment wrapText="1"/>
    </xf>
    <xf numFmtId="0" fontId="9" fillId="2" borderId="4" xfId="0" applyFont="1" applyFill="1" applyBorder="1" applyAlignment="1">
      <alignment wrapText="1"/>
    </xf>
    <xf numFmtId="0" fontId="9" fillId="2" borderId="4" xfId="0" applyFont="1" applyFill="1" applyBorder="1"/>
    <xf numFmtId="0" fontId="9" fillId="5" borderId="1" xfId="0" applyFont="1" applyFill="1" applyBorder="1" applyAlignment="1">
      <alignment wrapText="1"/>
    </xf>
    <xf numFmtId="9" fontId="9" fillId="5" borderId="1" xfId="2" applyFont="1" applyFill="1" applyBorder="1" applyAlignment="1">
      <alignment horizontal="center" vertical="center"/>
    </xf>
    <xf numFmtId="9" fontId="7" fillId="5" borderId="1" xfId="2" applyFont="1" applyFill="1" applyBorder="1" applyAlignment="1">
      <alignment horizontal="center" vertical="center"/>
    </xf>
    <xf numFmtId="2" fontId="3" fillId="5" borderId="1" xfId="0" applyNumberFormat="1" applyFont="1" applyFill="1" applyBorder="1" applyAlignment="1">
      <alignment horizontal="center" vertical="center"/>
    </xf>
    <xf numFmtId="9" fontId="3" fillId="5" borderId="1" xfId="2" applyFont="1" applyFill="1" applyBorder="1" applyAlignment="1">
      <alignment horizontal="center" vertical="center"/>
    </xf>
    <xf numFmtId="2" fontId="9" fillId="5" borderId="1" xfId="0" applyNumberFormat="1" applyFont="1" applyFill="1" applyBorder="1" applyAlignment="1">
      <alignment horizontal="center"/>
    </xf>
    <xf numFmtId="164" fontId="9" fillId="5" borderId="1" xfId="0" applyNumberFormat="1" applyFont="1" applyFill="1" applyBorder="1"/>
    <xf numFmtId="164" fontId="9" fillId="5" borderId="1" xfId="1" applyNumberFormat="1" applyFont="1" applyFill="1" applyBorder="1"/>
    <xf numFmtId="6" fontId="0" fillId="0" borderId="0" xfId="0" applyNumberFormat="1"/>
    <xf numFmtId="0" fontId="11" fillId="0" borderId="1" xfId="0" applyFont="1" applyBorder="1"/>
    <xf numFmtId="3" fontId="2" fillId="0" borderId="1" xfId="0" applyNumberFormat="1" applyFont="1" applyBorder="1"/>
    <xf numFmtId="0" fontId="9" fillId="5" borderId="1" xfId="0" applyFont="1" applyFill="1" applyBorder="1"/>
    <xf numFmtId="164" fontId="7" fillId="0" borderId="1" xfId="1" applyNumberFormat="1" applyFont="1" applyFill="1" applyBorder="1" applyAlignment="1">
      <alignment horizontal="center" vertical="center" wrapText="1"/>
    </xf>
    <xf numFmtId="0" fontId="7" fillId="0" borderId="1" xfId="0" applyFont="1" applyBorder="1" applyAlignment="1">
      <alignment vertical="center" wrapText="1"/>
    </xf>
    <xf numFmtId="9" fontId="8" fillId="0" borderId="1" xfId="2" applyFont="1" applyFill="1" applyBorder="1" applyAlignment="1">
      <alignment horizontal="center" vertical="center" wrapText="1"/>
    </xf>
    <xf numFmtId="0" fontId="3" fillId="2" borderId="4" xfId="0" applyFont="1" applyFill="1" applyBorder="1" applyAlignment="1">
      <alignment vertical="center" wrapText="1"/>
    </xf>
    <xf numFmtId="0" fontId="9" fillId="2" borderId="4" xfId="0" applyFont="1" applyFill="1" applyBorder="1" applyAlignment="1">
      <alignment vertical="center" wrapText="1"/>
    </xf>
    <xf numFmtId="0" fontId="9" fillId="2" borderId="4" xfId="0" applyFont="1" applyFill="1" applyBorder="1" applyAlignment="1">
      <alignment vertical="center"/>
    </xf>
    <xf numFmtId="0" fontId="9" fillId="5" borderId="1" xfId="0" applyFont="1" applyFill="1" applyBorder="1" applyAlignment="1">
      <alignment vertical="center" wrapText="1"/>
    </xf>
    <xf numFmtId="164" fontId="9" fillId="5" borderId="1" xfId="0" applyNumberFormat="1" applyFont="1" applyFill="1" applyBorder="1" applyAlignment="1">
      <alignment vertical="center"/>
    </xf>
    <xf numFmtId="2" fontId="9" fillId="5" borderId="1" xfId="0" applyNumberFormat="1" applyFont="1" applyFill="1" applyBorder="1" applyAlignment="1">
      <alignment horizontal="center" vertical="center"/>
    </xf>
    <xf numFmtId="0" fontId="9" fillId="5" borderId="1" xfId="0" applyFont="1" applyFill="1" applyBorder="1" applyAlignment="1">
      <alignment vertical="center"/>
    </xf>
    <xf numFmtId="164" fontId="9" fillId="5" borderId="1" xfId="1" applyNumberFormat="1" applyFont="1" applyFill="1" applyBorder="1" applyAlignment="1">
      <alignment vertical="center"/>
    </xf>
    <xf numFmtId="0" fontId="8" fillId="0" borderId="1" xfId="0" applyFont="1" applyBorder="1" applyAlignment="1">
      <alignment horizontal="right" vertical="center"/>
    </xf>
    <xf numFmtId="0" fontId="8" fillId="6" borderId="1" xfId="0" applyFont="1" applyFill="1" applyBorder="1" applyAlignment="1">
      <alignment horizontal="right" vertical="center"/>
    </xf>
    <xf numFmtId="0" fontId="7" fillId="6" borderId="1" xfId="0" applyFont="1" applyFill="1" applyBorder="1" applyAlignment="1">
      <alignment vertical="center" wrapText="1"/>
    </xf>
    <xf numFmtId="2" fontId="8" fillId="7" borderId="1" xfId="0" applyNumberFormat="1" applyFont="1" applyFill="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164" fontId="2" fillId="0" borderId="1" xfId="0" applyNumberFormat="1" applyFont="1" applyBorder="1" applyAlignment="1">
      <alignment vertical="center"/>
    </xf>
    <xf numFmtId="164" fontId="0" fillId="0" borderId="1" xfId="0" applyNumberFormat="1" applyBorder="1" applyAlignment="1">
      <alignment vertical="center"/>
    </xf>
    <xf numFmtId="2" fontId="0" fillId="8" borderId="1" xfId="0" applyNumberFormat="1" applyFill="1" applyBorder="1" applyAlignment="1">
      <alignment horizontal="center" vertical="center"/>
    </xf>
    <xf numFmtId="165" fontId="0" fillId="0" borderId="1" xfId="0" applyNumberFormat="1" applyBorder="1" applyAlignment="1">
      <alignment horizontal="center" vertical="center"/>
    </xf>
    <xf numFmtId="165" fontId="0" fillId="8" borderId="1" xfId="0" applyNumberFormat="1" applyFill="1" applyBorder="1" applyAlignment="1">
      <alignment horizontal="center" vertical="center"/>
    </xf>
    <xf numFmtId="0" fontId="12" fillId="0" borderId="1" xfId="0" applyFont="1" applyBorder="1" applyAlignment="1">
      <alignment horizontal="center" vertical="center" wrapText="1"/>
    </xf>
    <xf numFmtId="2" fontId="0" fillId="0" borderId="0" xfId="0" applyNumberFormat="1"/>
    <xf numFmtId="6" fontId="12" fillId="0" borderId="0" xfId="0" applyNumberFormat="1" applyFont="1"/>
    <xf numFmtId="0" fontId="3" fillId="0" borderId="1" xfId="0" applyFont="1" applyBorder="1" applyAlignment="1">
      <alignment horizontal="left" vertical="center" wrapText="1"/>
    </xf>
    <xf numFmtId="0" fontId="7" fillId="2" borderId="3" xfId="0"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xf>
    <xf numFmtId="0" fontId="13" fillId="0" borderId="5" xfId="0" applyFont="1" applyBorder="1" applyAlignment="1">
      <alignment horizontal="center" vertical="center"/>
    </xf>
    <xf numFmtId="0" fontId="13" fillId="0" borderId="5" xfId="0" applyFont="1" applyBorder="1" applyAlignment="1">
      <alignment vertical="center"/>
    </xf>
    <xf numFmtId="0" fontId="14" fillId="9" borderId="1" xfId="0" applyFont="1" applyFill="1" applyBorder="1" applyAlignment="1">
      <alignment horizontal="center" vertical="center"/>
    </xf>
    <xf numFmtId="0" fontId="15" fillId="10" borderId="1" xfId="0" applyFont="1" applyFill="1" applyBorder="1" applyAlignment="1">
      <alignment horizontal="center" vertical="center" wrapText="1"/>
    </xf>
    <xf numFmtId="0" fontId="16" fillId="0" borderId="0" xfId="0" applyFont="1"/>
    <xf numFmtId="0" fontId="15" fillId="0" borderId="0" xfId="0" applyFont="1" applyAlignment="1">
      <alignment horizontal="center" vertical="center" wrapText="1"/>
    </xf>
    <xf numFmtId="0" fontId="16" fillId="0" borderId="1" xfId="0" applyFont="1" applyBorder="1" applyAlignment="1">
      <alignment horizontal="center"/>
    </xf>
    <xf numFmtId="0" fontId="16" fillId="0" borderId="1" xfId="0" applyFont="1" applyBorder="1" applyAlignment="1">
      <alignment vertical="center"/>
    </xf>
    <xf numFmtId="8" fontId="16" fillId="0" borderId="0" xfId="0" applyNumberFormat="1" applyFont="1" applyAlignment="1">
      <alignment vertical="center"/>
    </xf>
    <xf numFmtId="8" fontId="16" fillId="0" borderId="1" xfId="0" applyNumberFormat="1" applyFont="1" applyBorder="1" applyAlignment="1">
      <alignment horizontal="center"/>
    </xf>
    <xf numFmtId="2" fontId="16" fillId="0" borderId="1" xfId="0" applyNumberFormat="1" applyFont="1" applyBorder="1" applyAlignment="1">
      <alignment horizontal="center"/>
    </xf>
    <xf numFmtId="0" fontId="16" fillId="0" borderId="0" xfId="0" applyFont="1" applyAlignment="1">
      <alignment horizontal="center" vertical="center"/>
    </xf>
    <xf numFmtId="166" fontId="16" fillId="0" borderId="0" xfId="0" applyNumberFormat="1" applyFont="1"/>
    <xf numFmtId="8" fontId="16" fillId="0" borderId="1" xfId="0" applyNumberFormat="1" applyFont="1" applyBorder="1" applyAlignment="1">
      <alignment vertical="center"/>
    </xf>
    <xf numFmtId="0" fontId="10" fillId="0" borderId="0" xfId="0" applyFont="1" applyAlignment="1">
      <alignment vertical="center"/>
    </xf>
    <xf numFmtId="0" fontId="2" fillId="0" borderId="3" xfId="0" applyFont="1" applyBorder="1" applyAlignment="1">
      <alignment vertical="center" wrapText="1"/>
    </xf>
    <xf numFmtId="0" fontId="16" fillId="0" borderId="1" xfId="0" applyFont="1" applyBorder="1"/>
    <xf numFmtId="0" fontId="16" fillId="0" borderId="1" xfId="0" applyFont="1" applyBorder="1" applyAlignment="1">
      <alignment horizontal="center" vertical="center"/>
    </xf>
    <xf numFmtId="0" fontId="16" fillId="0" borderId="0" xfId="0" applyFont="1" applyAlignment="1">
      <alignment horizontal="center"/>
    </xf>
    <xf numFmtId="0" fontId="16" fillId="0" borderId="0" xfId="0" applyFont="1" applyAlignment="1">
      <alignment vertical="center"/>
    </xf>
    <xf numFmtId="0" fontId="15" fillId="10" borderId="2" xfId="0" applyFont="1" applyFill="1" applyBorder="1" applyAlignment="1">
      <alignment horizontal="center" vertical="center" wrapText="1"/>
    </xf>
    <xf numFmtId="0" fontId="15" fillId="10" borderId="6" xfId="0" applyFont="1" applyFill="1" applyBorder="1" applyAlignment="1">
      <alignment horizontal="center" vertical="center" wrapText="1"/>
    </xf>
    <xf numFmtId="0" fontId="15" fillId="10" borderId="0" xfId="0" applyFont="1" applyFill="1" applyAlignment="1">
      <alignment horizontal="center" vertical="center" wrapText="1"/>
    </xf>
    <xf numFmtId="8" fontId="14" fillId="0" borderId="8" xfId="0" applyNumberFormat="1" applyFont="1" applyBorder="1" applyAlignment="1">
      <alignment horizontal="right" vertical="center"/>
    </xf>
    <xf numFmtId="8" fontId="16" fillId="0" borderId="9" xfId="0" applyNumberFormat="1" applyFont="1" applyBorder="1" applyAlignment="1">
      <alignment vertical="center"/>
    </xf>
    <xf numFmtId="166" fontId="16" fillId="0" borderId="8" xfId="0" applyNumberFormat="1" applyFont="1" applyBorder="1" applyAlignment="1">
      <alignment horizontal="center" vertical="center"/>
    </xf>
    <xf numFmtId="166" fontId="16" fillId="0" borderId="0" xfId="0" applyNumberFormat="1" applyFont="1" applyAlignment="1">
      <alignment horizontal="center"/>
    </xf>
    <xf numFmtId="8" fontId="14" fillId="0" borderId="1" xfId="0" applyNumberFormat="1" applyFont="1" applyBorder="1" applyAlignment="1">
      <alignment horizontal="right"/>
    </xf>
    <xf numFmtId="166" fontId="16" fillId="0" borderId="1" xfId="0" applyNumberFormat="1" applyFont="1" applyBorder="1" applyAlignment="1">
      <alignment horizontal="center"/>
    </xf>
    <xf numFmtId="8" fontId="16" fillId="0" borderId="0" xfId="0" applyNumberFormat="1" applyFont="1"/>
    <xf numFmtId="8" fontId="0" fillId="0" borderId="0" xfId="0" applyNumberFormat="1"/>
    <xf numFmtId="8" fontId="14" fillId="0" borderId="1" xfId="0" applyNumberFormat="1" applyFont="1" applyBorder="1" applyAlignment="1">
      <alignment horizontal="right" vertical="center"/>
    </xf>
    <xf numFmtId="166" fontId="16" fillId="0" borderId="1" xfId="0" applyNumberFormat="1" applyFont="1" applyBorder="1" applyAlignment="1">
      <alignment horizontal="center" vertical="center"/>
    </xf>
    <xf numFmtId="8" fontId="14" fillId="0" borderId="12" xfId="0" applyNumberFormat="1" applyFont="1" applyBorder="1" applyAlignment="1">
      <alignment horizontal="right" vertical="center"/>
    </xf>
    <xf numFmtId="8" fontId="16" fillId="0" borderId="13" xfId="0" applyNumberFormat="1" applyFont="1" applyBorder="1" applyAlignment="1">
      <alignment vertical="center"/>
    </xf>
    <xf numFmtId="166" fontId="16" fillId="0" borderId="12" xfId="0" applyNumberFormat="1" applyFont="1" applyBorder="1" applyAlignment="1">
      <alignment horizontal="center" vertical="center"/>
    </xf>
    <xf numFmtId="8" fontId="14" fillId="0" borderId="14" xfId="0" applyNumberFormat="1" applyFont="1" applyBorder="1" applyAlignment="1">
      <alignment horizontal="right" vertical="center"/>
    </xf>
    <xf numFmtId="166" fontId="16" fillId="0" borderId="14" xfId="0" applyNumberFormat="1" applyFont="1" applyBorder="1" applyAlignment="1">
      <alignment horizontal="center" vertical="center"/>
    </xf>
    <xf numFmtId="166" fontId="16" fillId="11" borderId="1" xfId="0" applyNumberFormat="1" applyFont="1" applyFill="1" applyBorder="1" applyAlignment="1">
      <alignment horizontal="center"/>
    </xf>
    <xf numFmtId="9" fontId="17" fillId="0" borderId="1" xfId="0" applyNumberFormat="1" applyFont="1" applyBorder="1" applyAlignment="1">
      <alignment horizontal="center" vertical="center"/>
    </xf>
    <xf numFmtId="9" fontId="17" fillId="0" borderId="0" xfId="0" applyNumberFormat="1" applyFont="1" applyAlignment="1">
      <alignment horizontal="center" vertical="center"/>
    </xf>
    <xf numFmtId="0" fontId="18" fillId="0" borderId="1" xfId="0" applyFont="1" applyBorder="1" applyAlignment="1">
      <alignment horizontal="right" vertical="center"/>
    </xf>
    <xf numFmtId="0" fontId="16" fillId="0" borderId="1" xfId="0" applyFont="1" applyBorder="1" applyAlignment="1">
      <alignment horizontal="left" vertical="center" wrapText="1"/>
    </xf>
    <xf numFmtId="2" fontId="14" fillId="0" borderId="1" xfId="0" applyNumberFormat="1" applyFont="1" applyBorder="1" applyAlignment="1">
      <alignment horizontal="center" vertical="center"/>
    </xf>
    <xf numFmtId="167" fontId="14" fillId="0" borderId="1" xfId="0" applyNumberFormat="1" applyFont="1" applyBorder="1" applyAlignment="1">
      <alignment horizontal="center" vertical="center"/>
    </xf>
    <xf numFmtId="0" fontId="0" fillId="0" borderId="0" xfId="0" applyAlignment="1">
      <alignment horizontal="center" vertical="center"/>
    </xf>
    <xf numFmtId="10" fontId="0" fillId="0" borderId="0" xfId="2" applyNumberFormat="1" applyFont="1"/>
    <xf numFmtId="6" fontId="16" fillId="0" borderId="1" xfId="0" applyNumberFormat="1" applyFont="1" applyBorder="1" applyAlignment="1">
      <alignment horizontal="center" vertical="center"/>
    </xf>
    <xf numFmtId="6" fontId="16" fillId="0" borderId="1" xfId="0" applyNumberFormat="1" applyFont="1" applyBorder="1" applyAlignment="1">
      <alignment horizontal="right" vertical="center"/>
    </xf>
    <xf numFmtId="6" fontId="16" fillId="13" borderId="1" xfId="0" applyNumberFormat="1" applyFont="1" applyFill="1" applyBorder="1" applyAlignment="1">
      <alignment horizontal="right" vertical="center"/>
    </xf>
    <xf numFmtId="6" fontId="16" fillId="7" borderId="1" xfId="0" applyNumberFormat="1" applyFont="1" applyFill="1" applyBorder="1" applyAlignment="1">
      <alignment horizontal="center" vertical="center"/>
    </xf>
    <xf numFmtId="3" fontId="3" fillId="2" borderId="1" xfId="0" applyNumberFormat="1" applyFont="1" applyFill="1" applyBorder="1" applyAlignment="1">
      <alignment horizontal="center" vertical="center"/>
    </xf>
    <xf numFmtId="3" fontId="3" fillId="5" borderId="1" xfId="0" applyNumberFormat="1" applyFont="1" applyFill="1" applyBorder="1" applyAlignment="1">
      <alignment horizontal="center" vertical="center"/>
    </xf>
    <xf numFmtId="3" fontId="9" fillId="5" borderId="1" xfId="0" applyNumberFormat="1" applyFont="1" applyFill="1" applyBorder="1" applyAlignment="1">
      <alignment horizontal="center" vertical="center"/>
    </xf>
    <xf numFmtId="0" fontId="1" fillId="0" borderId="1" xfId="0" applyFont="1" applyBorder="1" applyAlignment="1">
      <alignment horizontal="center"/>
    </xf>
    <xf numFmtId="4" fontId="1" fillId="0" borderId="1" xfId="0" applyNumberFormat="1"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vertical="center"/>
    </xf>
    <xf numFmtId="0" fontId="2" fillId="0" borderId="4" xfId="0" applyFont="1" applyBorder="1" applyAlignment="1">
      <alignment vertical="center" wrapText="1"/>
    </xf>
    <xf numFmtId="3" fontId="3" fillId="0" borderId="0" xfId="0" applyNumberFormat="1" applyFont="1" applyAlignment="1">
      <alignment horizontal="center" vertical="center"/>
    </xf>
    <xf numFmtId="3" fontId="9" fillId="0" borderId="0" xfId="0" applyNumberFormat="1" applyFont="1" applyAlignment="1">
      <alignment horizontal="center" vertical="center"/>
    </xf>
    <xf numFmtId="10" fontId="16" fillId="0" borderId="1" xfId="2" applyNumberFormat="1" applyFont="1" applyBorder="1" applyAlignment="1">
      <alignment horizontal="center" vertical="center"/>
    </xf>
    <xf numFmtId="10" fontId="3" fillId="2" borderId="1" xfId="2" applyNumberFormat="1" applyFont="1" applyFill="1" applyBorder="1" applyAlignment="1">
      <alignment horizontal="center" vertical="center"/>
    </xf>
    <xf numFmtId="10" fontId="3" fillId="5" borderId="1" xfId="2" applyNumberFormat="1" applyFont="1" applyFill="1" applyBorder="1" applyAlignment="1">
      <alignment horizontal="center" vertical="center"/>
    </xf>
    <xf numFmtId="10" fontId="9" fillId="5" borderId="1" xfId="2" applyNumberFormat="1" applyFont="1" applyFill="1" applyBorder="1" applyAlignment="1">
      <alignment horizontal="center" vertical="center"/>
    </xf>
    <xf numFmtId="10" fontId="16" fillId="13" borderId="1" xfId="2" applyNumberFormat="1" applyFont="1" applyFill="1" applyBorder="1" applyAlignment="1">
      <alignment horizontal="center" vertical="center"/>
    </xf>
    <xf numFmtId="10" fontId="0" fillId="7" borderId="1" xfId="2" applyNumberFormat="1" applyFont="1" applyFill="1" applyBorder="1" applyAlignment="1">
      <alignment horizontal="center" vertical="center"/>
    </xf>
    <xf numFmtId="10" fontId="0" fillId="0" borderId="3" xfId="2" applyNumberFormat="1" applyFont="1" applyBorder="1" applyAlignment="1">
      <alignment horizontal="center" vertical="center"/>
    </xf>
    <xf numFmtId="10" fontId="0" fillId="7" borderId="3" xfId="2" applyNumberFormat="1" applyFont="1" applyFill="1" applyBorder="1" applyAlignment="1">
      <alignment horizontal="center" vertical="center"/>
    </xf>
    <xf numFmtId="0" fontId="12" fillId="0" borderId="4" xfId="0" applyFont="1" applyBorder="1" applyAlignment="1">
      <alignment horizontal="center" vertical="center" wrapText="1"/>
    </xf>
    <xf numFmtId="0" fontId="7" fillId="0" borderId="6" xfId="0" applyFont="1" applyBorder="1" applyAlignment="1">
      <alignment horizontal="center" vertical="center" wrapText="1"/>
    </xf>
    <xf numFmtId="2" fontId="0" fillId="0" borderId="6" xfId="0" applyNumberFormat="1" applyBorder="1" applyAlignment="1">
      <alignment horizontal="center" vertical="center"/>
    </xf>
    <xf numFmtId="3" fontId="19" fillId="0" borderId="0" xfId="0" applyNumberFormat="1" applyFont="1"/>
    <xf numFmtId="3" fontId="20" fillId="0" borderId="0" xfId="0" applyNumberFormat="1" applyFont="1"/>
    <xf numFmtId="0" fontId="7" fillId="2" borderId="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0" xfId="0" applyFont="1" applyFill="1" applyAlignment="1">
      <alignment horizontal="center" vertical="center"/>
    </xf>
    <xf numFmtId="0" fontId="3" fillId="2" borderId="1" xfId="0" applyFont="1" applyFill="1" applyBorder="1" applyAlignment="1">
      <alignment horizontal="center" vertical="center" textRotation="90"/>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0" fillId="0" borderId="1" xfId="0" applyBorder="1" applyAlignment="1">
      <alignment horizontal="left" wrapText="1"/>
    </xf>
    <xf numFmtId="0" fontId="3" fillId="0" borderId="4" xfId="0" applyFont="1" applyBorder="1" applyAlignment="1">
      <alignment horizontal="lef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13" fillId="0" borderId="5" xfId="0" applyFont="1" applyBorder="1" applyAlignment="1">
      <alignment horizontal="center" vertical="center"/>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12" borderId="1" xfId="0" applyFont="1" applyFill="1" applyBorder="1" applyAlignment="1">
      <alignment horizont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0" fillId="0" borderId="2" xfId="0" applyBorder="1" applyAlignment="1">
      <alignment horizontal="left" wrapText="1"/>
    </xf>
    <xf numFmtId="0" fontId="3" fillId="0" borderId="1" xfId="0" applyFont="1" applyBorder="1" applyAlignment="1">
      <alignment horizontal="left"/>
    </xf>
    <xf numFmtId="0" fontId="0" fillId="0" borderId="1" xfId="0" applyBorder="1" applyAlignment="1">
      <alignment horizontal="left"/>
    </xf>
    <xf numFmtId="0" fontId="12" fillId="0" borderId="1"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0" fillId="0" borderId="1" xfId="0" applyBorder="1" applyAlignment="1">
      <alignment horizontal="center"/>
    </xf>
  </cellXfs>
  <cellStyles count="3">
    <cellStyle name="Moneda" xfId="1" builtinId="4"/>
    <cellStyle name="Normal" xfId="0" builtinId="0"/>
    <cellStyle name="Porcentaje" xfId="2" builtinId="5"/>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A115B-276C-4F3B-8E8C-0477BD9F410B}">
  <dimension ref="A1:V35"/>
  <sheetViews>
    <sheetView showGridLines="0" tabSelected="1" zoomScale="90" zoomScaleNormal="90" workbookViewId="0">
      <selection activeCell="M34" sqref="M34:M35"/>
    </sheetView>
  </sheetViews>
  <sheetFormatPr baseColWidth="10" defaultRowHeight="14.4" x14ac:dyDescent="0.3"/>
  <cols>
    <col min="1" max="1" width="8" customWidth="1"/>
    <col min="2" max="2" width="26.6640625" bestFit="1" customWidth="1"/>
    <col min="3" max="3" width="7.88671875" customWidth="1"/>
    <col min="4" max="4" width="7.77734375" customWidth="1"/>
    <col min="5" max="5" width="9.5546875" customWidth="1"/>
    <col min="6" max="6" width="10.33203125" customWidth="1"/>
    <col min="7" max="7" width="14.33203125" customWidth="1"/>
    <col min="8" max="8" width="15.44140625" hidden="1" customWidth="1"/>
    <col min="9" max="9" width="13" customWidth="1"/>
    <col min="10" max="10" width="6.5546875" customWidth="1"/>
    <col min="11" max="11" width="11.21875" bestFit="1" customWidth="1"/>
    <col min="12" max="12" width="8" bestFit="1" customWidth="1"/>
    <col min="13" max="13" width="23.21875" bestFit="1" customWidth="1"/>
    <col min="17" max="17" width="18.77734375" hidden="1" customWidth="1"/>
    <col min="18" max="18" width="9.21875" customWidth="1"/>
    <col min="19" max="19" width="16.77734375" customWidth="1"/>
  </cols>
  <sheetData>
    <row r="1" spans="1:22" x14ac:dyDescent="0.3">
      <c r="A1" s="161" t="s">
        <v>6</v>
      </c>
      <c r="B1" s="161"/>
      <c r="C1" s="161"/>
      <c r="D1" s="161"/>
      <c r="E1" s="161"/>
      <c r="F1" s="161"/>
      <c r="G1" s="161"/>
      <c r="H1" s="161"/>
      <c r="I1" s="161"/>
      <c r="J1" s="4"/>
    </row>
    <row r="2" spans="1:22" x14ac:dyDescent="0.3">
      <c r="A2" s="162"/>
      <c r="B2" s="163"/>
      <c r="C2" s="163"/>
      <c r="D2" s="163"/>
      <c r="E2" s="163"/>
      <c r="F2" s="163"/>
      <c r="G2" s="163"/>
      <c r="H2" s="163"/>
      <c r="I2" s="163"/>
      <c r="J2" s="4"/>
      <c r="K2" s="8"/>
      <c r="L2" s="81"/>
      <c r="M2" s="81"/>
      <c r="N2" s="81"/>
      <c r="O2" s="81"/>
      <c r="P2" s="81"/>
    </row>
    <row r="3" spans="1:22" x14ac:dyDescent="0.3">
      <c r="A3" s="161" t="s">
        <v>32</v>
      </c>
      <c r="B3" s="161"/>
      <c r="C3" s="161"/>
      <c r="D3" s="161"/>
      <c r="E3" s="161"/>
      <c r="F3" s="161"/>
      <c r="G3" s="161"/>
      <c r="H3" s="161"/>
      <c r="I3" s="161"/>
      <c r="J3" s="4"/>
    </row>
    <row r="4" spans="1:22" ht="46.2" customHeight="1" x14ac:dyDescent="0.3">
      <c r="A4" s="38" t="s">
        <v>30</v>
      </c>
      <c r="B4" s="32" t="s">
        <v>0</v>
      </c>
      <c r="C4" s="33" t="s">
        <v>5</v>
      </c>
      <c r="D4" s="33" t="s">
        <v>1</v>
      </c>
      <c r="E4" s="33" t="s">
        <v>2</v>
      </c>
      <c r="F4" s="33" t="s">
        <v>3</v>
      </c>
      <c r="G4" s="33" t="s">
        <v>4</v>
      </c>
      <c r="H4" s="33" t="s">
        <v>51</v>
      </c>
      <c r="I4" s="84" t="s">
        <v>194</v>
      </c>
      <c r="J4" s="157"/>
      <c r="K4" s="156" t="s">
        <v>31</v>
      </c>
      <c r="L4" s="80" t="s">
        <v>53</v>
      </c>
      <c r="M4" s="80" t="s">
        <v>54</v>
      </c>
      <c r="N4" s="80" t="s">
        <v>55</v>
      </c>
      <c r="O4" s="80" t="s">
        <v>56</v>
      </c>
      <c r="P4" s="80" t="s">
        <v>57</v>
      </c>
      <c r="Q4" s="80" t="s">
        <v>51</v>
      </c>
      <c r="R4" s="80" t="s">
        <v>195</v>
      </c>
    </row>
    <row r="5" spans="1:22" ht="25.5" customHeight="1" x14ac:dyDescent="0.3">
      <c r="A5" s="69" t="s">
        <v>81</v>
      </c>
      <c r="B5" s="59" t="s">
        <v>69</v>
      </c>
      <c r="C5" s="72">
        <v>7.46</v>
      </c>
      <c r="D5" s="72">
        <v>0.4</v>
      </c>
      <c r="E5" s="72">
        <v>5.39</v>
      </c>
      <c r="F5" s="72">
        <v>0.32</v>
      </c>
      <c r="G5" s="72">
        <v>0.19</v>
      </c>
      <c r="H5" s="134">
        <v>19698638869</v>
      </c>
      <c r="I5" s="154">
        <f>+H5/$B$34</f>
        <v>1.0571063908734413</v>
      </c>
      <c r="J5" s="158"/>
      <c r="K5" s="143" t="s">
        <v>8</v>
      </c>
      <c r="L5" s="2">
        <f t="shared" ref="L5:R5" si="0">AVERAGE(C5:C23)</f>
        <v>5.0147368421052629</v>
      </c>
      <c r="M5" s="2">
        <f t="shared" si="0"/>
        <v>0.43210526315789471</v>
      </c>
      <c r="N5" s="2">
        <f t="shared" si="0"/>
        <v>327.81</v>
      </c>
      <c r="O5" s="2">
        <f t="shared" si="0"/>
        <v>0.4352631578947368</v>
      </c>
      <c r="P5" s="2">
        <f t="shared" si="0"/>
        <v>0.24473684210526322</v>
      </c>
      <c r="Q5" s="135">
        <f t="shared" si="0"/>
        <v>23177453492.263157</v>
      </c>
      <c r="R5" s="148">
        <f t="shared" si="0"/>
        <v>1.2437932576854809</v>
      </c>
    </row>
    <row r="6" spans="1:22" ht="26.25" customHeight="1" x14ac:dyDescent="0.3">
      <c r="A6" s="69" t="s">
        <v>82</v>
      </c>
      <c r="B6" s="59" t="s">
        <v>70</v>
      </c>
      <c r="C6" s="72">
        <v>5.78</v>
      </c>
      <c r="D6" s="72">
        <v>0.2</v>
      </c>
      <c r="E6" s="72">
        <v>1004.43</v>
      </c>
      <c r="F6" s="72">
        <v>0.16</v>
      </c>
      <c r="G6" s="72">
        <v>0.13</v>
      </c>
      <c r="H6" s="134">
        <v>11526781282</v>
      </c>
      <c r="I6" s="155">
        <f t="shared" ref="I6:I23" si="1">+H6/$B$34</f>
        <v>0.61857239174927481</v>
      </c>
      <c r="J6" s="158"/>
      <c r="K6" s="144" t="s">
        <v>13</v>
      </c>
      <c r="L6" s="2">
        <f t="shared" ref="L6:R6" si="2">STDEV(C5:C23)</f>
        <v>3.8127277613876567</v>
      </c>
      <c r="M6" s="2">
        <f t="shared" si="2"/>
        <v>0.10119172931554922</v>
      </c>
      <c r="N6" s="2">
        <f t="shared" si="2"/>
        <v>834.99198956902842</v>
      </c>
      <c r="O6" s="2">
        <f t="shared" si="2"/>
        <v>0.19001077224002708</v>
      </c>
      <c r="P6" s="2">
        <f t="shared" si="2"/>
        <v>0.12937320781593373</v>
      </c>
      <c r="Q6" s="135">
        <f t="shared" si="2"/>
        <v>23726020084.289341</v>
      </c>
      <c r="R6" s="148">
        <f t="shared" si="2"/>
        <v>1.2732314972565977</v>
      </c>
    </row>
    <row r="7" spans="1:22" ht="35.25" customHeight="1" x14ac:dyDescent="0.3">
      <c r="A7" s="69" t="s">
        <v>62</v>
      </c>
      <c r="B7" s="59" t="s">
        <v>71</v>
      </c>
      <c r="C7" s="72">
        <v>3.51</v>
      </c>
      <c r="D7" s="72">
        <v>0.5</v>
      </c>
      <c r="E7" s="72">
        <v>7.14</v>
      </c>
      <c r="F7" s="72">
        <v>0.41</v>
      </c>
      <c r="G7" s="72">
        <v>0.2</v>
      </c>
      <c r="H7" s="134">
        <v>27287284692</v>
      </c>
      <c r="I7" s="154">
        <f t="shared" si="1"/>
        <v>1.4643429543190851</v>
      </c>
      <c r="J7" s="158"/>
      <c r="K7" s="144" t="s">
        <v>10</v>
      </c>
      <c r="L7" s="2">
        <f t="shared" ref="L7:R7" si="3">MEDIAN(C5:C23)</f>
        <v>3.78</v>
      </c>
      <c r="M7" s="2">
        <f t="shared" si="3"/>
        <v>0.48</v>
      </c>
      <c r="N7" s="2">
        <f t="shared" si="3"/>
        <v>17.47</v>
      </c>
      <c r="O7" s="2">
        <f t="shared" si="3"/>
        <v>0.39</v>
      </c>
      <c r="P7" s="2">
        <f t="shared" si="3"/>
        <v>0.2</v>
      </c>
      <c r="Q7" s="135">
        <f t="shared" si="3"/>
        <v>17491708382</v>
      </c>
      <c r="R7" s="148">
        <f t="shared" si="3"/>
        <v>0.93867382619037854</v>
      </c>
    </row>
    <row r="8" spans="1:22" ht="24" customHeight="1" x14ac:dyDescent="0.3">
      <c r="A8" s="69" t="s">
        <v>63</v>
      </c>
      <c r="B8" s="59" t="s">
        <v>64</v>
      </c>
      <c r="C8" s="72">
        <v>2.37</v>
      </c>
      <c r="D8" s="72">
        <v>0.5</v>
      </c>
      <c r="E8" s="72">
        <v>17.47</v>
      </c>
      <c r="F8" s="72">
        <v>0.49</v>
      </c>
      <c r="G8" s="72">
        <v>0.24</v>
      </c>
      <c r="H8" s="137">
        <v>9589715984</v>
      </c>
      <c r="I8" s="155">
        <f t="shared" si="1"/>
        <v>0.51462185386325698</v>
      </c>
      <c r="J8" s="158"/>
      <c r="K8" s="144" t="s">
        <v>11</v>
      </c>
      <c r="L8" s="77">
        <f t="shared" ref="L8:R8" si="4">_xlfn.QUARTILE.INC(C5:C23,1)</f>
        <v>3.0549999999999997</v>
      </c>
      <c r="M8" s="2">
        <f t="shared" si="4"/>
        <v>0.35499999999999998</v>
      </c>
      <c r="N8" s="77">
        <f t="shared" si="4"/>
        <v>7.08</v>
      </c>
      <c r="O8" s="77">
        <f t="shared" si="4"/>
        <v>0.31</v>
      </c>
      <c r="P8" s="77">
        <f t="shared" si="4"/>
        <v>0.16999999999999998</v>
      </c>
      <c r="Q8" s="136">
        <f t="shared" si="4"/>
        <v>11292445922.5</v>
      </c>
      <c r="R8" s="152">
        <f t="shared" si="4"/>
        <v>0.6059970352598012</v>
      </c>
    </row>
    <row r="9" spans="1:22" ht="25.5" customHeight="1" x14ac:dyDescent="0.3">
      <c r="A9" s="69" t="s">
        <v>83</v>
      </c>
      <c r="B9" s="59" t="s">
        <v>75</v>
      </c>
      <c r="C9" s="72">
        <v>3.78</v>
      </c>
      <c r="D9" s="72">
        <v>0.52</v>
      </c>
      <c r="E9" s="72">
        <v>6.3</v>
      </c>
      <c r="F9" s="72">
        <v>0.19</v>
      </c>
      <c r="G9" s="72">
        <v>0.09</v>
      </c>
      <c r="H9" s="137">
        <v>1011157312</v>
      </c>
      <c r="I9" s="155">
        <f t="shared" si="1"/>
        <v>5.4262675903752576E-2</v>
      </c>
      <c r="J9" s="158"/>
      <c r="K9" s="145" t="s">
        <v>49</v>
      </c>
      <c r="L9" s="2">
        <f t="shared" ref="L9:R9" si="5">_xlfn.QUARTILE.INC(C5:C23,2)</f>
        <v>3.78</v>
      </c>
      <c r="M9" s="2">
        <f t="shared" si="5"/>
        <v>0.48</v>
      </c>
      <c r="N9" s="2">
        <f t="shared" si="5"/>
        <v>17.47</v>
      </c>
      <c r="O9" s="2">
        <f t="shared" si="5"/>
        <v>0.39</v>
      </c>
      <c r="P9" s="2">
        <f t="shared" si="5"/>
        <v>0.2</v>
      </c>
      <c r="Q9" s="135">
        <f t="shared" si="5"/>
        <v>17491708382</v>
      </c>
      <c r="R9" s="148">
        <f t="shared" si="5"/>
        <v>0.93867382619037854</v>
      </c>
    </row>
    <row r="10" spans="1:22" ht="25.5" customHeight="1" x14ac:dyDescent="0.3">
      <c r="A10" s="69" t="s">
        <v>84</v>
      </c>
      <c r="B10" s="59" t="s">
        <v>76</v>
      </c>
      <c r="C10" s="72">
        <v>4.0199999999999996</v>
      </c>
      <c r="D10" s="72">
        <v>0.49</v>
      </c>
      <c r="E10" s="72">
        <v>13.49</v>
      </c>
      <c r="F10" s="72">
        <v>0.39</v>
      </c>
      <c r="G10" s="72">
        <v>0.2</v>
      </c>
      <c r="H10" s="134">
        <v>12210075229</v>
      </c>
      <c r="I10" s="155">
        <f t="shared" si="1"/>
        <v>0.65524063075920724</v>
      </c>
      <c r="J10" s="158"/>
      <c r="K10" s="145" t="s">
        <v>50</v>
      </c>
      <c r="L10" s="2">
        <f t="shared" ref="L10:R10" si="6">_xlfn.QUARTILE.INC(C5:C23,3)</f>
        <v>6.085</v>
      </c>
      <c r="M10" s="77">
        <f t="shared" si="6"/>
        <v>0.5</v>
      </c>
      <c r="N10" s="78">
        <f t="shared" si="6"/>
        <v>101.77500000000001</v>
      </c>
      <c r="O10" s="2">
        <f t="shared" si="6"/>
        <v>0.505</v>
      </c>
      <c r="P10" s="2">
        <f t="shared" si="6"/>
        <v>0.27</v>
      </c>
      <c r="Q10" s="135">
        <f t="shared" si="6"/>
        <v>22532053985</v>
      </c>
      <c r="R10" s="148">
        <f t="shared" si="6"/>
        <v>1.209158583262969</v>
      </c>
    </row>
    <row r="11" spans="1:22" ht="19.5" customHeight="1" x14ac:dyDescent="0.3">
      <c r="A11" s="69" t="s">
        <v>42</v>
      </c>
      <c r="B11" s="59" t="s">
        <v>41</v>
      </c>
      <c r="C11" s="72">
        <v>1.43</v>
      </c>
      <c r="D11" s="72">
        <v>0.55000000000000004</v>
      </c>
      <c r="E11" s="72">
        <v>4.9400000000000004</v>
      </c>
      <c r="F11" s="72">
        <v>0.35</v>
      </c>
      <c r="G11" s="72">
        <v>0.16</v>
      </c>
      <c r="H11" s="134">
        <v>21035314000</v>
      </c>
      <c r="I11" s="154">
        <f t="shared" si="1"/>
        <v>1.1288376324530494</v>
      </c>
      <c r="J11" s="158"/>
      <c r="K11" s="144" t="s">
        <v>58</v>
      </c>
      <c r="L11" s="2">
        <f t="shared" ref="L11:R11" si="7">MAX(C5:C23)</f>
        <v>18.29</v>
      </c>
      <c r="M11" s="2">
        <f t="shared" si="7"/>
        <v>0.56000000000000005</v>
      </c>
      <c r="N11" s="78">
        <f t="shared" si="7"/>
        <v>3556.84</v>
      </c>
      <c r="O11" s="2">
        <f t="shared" si="7"/>
        <v>0.87</v>
      </c>
      <c r="P11" s="2">
        <f t="shared" si="7"/>
        <v>0.56000000000000005</v>
      </c>
      <c r="Q11" s="135">
        <f t="shared" si="7"/>
        <v>90722403787</v>
      </c>
      <c r="R11" s="148">
        <f t="shared" si="7"/>
        <v>4.8685207884877135</v>
      </c>
    </row>
    <row r="12" spans="1:22" ht="21.75" customHeight="1" x14ac:dyDescent="0.3">
      <c r="A12" s="69" t="s">
        <v>86</v>
      </c>
      <c r="B12" s="59" t="s">
        <v>43</v>
      </c>
      <c r="C12" s="72">
        <v>5.14</v>
      </c>
      <c r="D12" s="72">
        <v>0.48</v>
      </c>
      <c r="E12" s="72">
        <v>5.37</v>
      </c>
      <c r="F12" s="72">
        <v>0.36</v>
      </c>
      <c r="G12" s="72">
        <v>0.18</v>
      </c>
      <c r="H12" s="134">
        <v>90722403787</v>
      </c>
      <c r="I12" s="155">
        <f t="shared" si="1"/>
        <v>4.8685207884877135</v>
      </c>
      <c r="J12" s="158"/>
      <c r="K12" s="144" t="s">
        <v>59</v>
      </c>
      <c r="L12" s="2">
        <f t="shared" ref="L12:R12" si="8">MIN(C5:C23)</f>
        <v>1.43</v>
      </c>
      <c r="M12" s="2">
        <f t="shared" si="8"/>
        <v>0.2</v>
      </c>
      <c r="N12" s="2">
        <f t="shared" si="8"/>
        <v>4.9400000000000004</v>
      </c>
      <c r="O12" s="2">
        <f t="shared" si="8"/>
        <v>0.16</v>
      </c>
      <c r="P12" s="2">
        <f t="shared" si="8"/>
        <v>0.09</v>
      </c>
      <c r="Q12" s="135">
        <f t="shared" si="8"/>
        <v>851654374</v>
      </c>
      <c r="R12" s="148">
        <f t="shared" si="8"/>
        <v>4.5703121294716292E-2</v>
      </c>
    </row>
    <row r="13" spans="1:22" x14ac:dyDescent="0.3">
      <c r="A13" s="69" t="s">
        <v>46</v>
      </c>
      <c r="B13" s="59" t="s">
        <v>45</v>
      </c>
      <c r="C13" s="72">
        <v>6.39</v>
      </c>
      <c r="D13" s="72">
        <v>0.37</v>
      </c>
      <c r="E13" s="72">
        <v>439.97</v>
      </c>
      <c r="F13" s="72">
        <v>0.87</v>
      </c>
      <c r="G13" s="72">
        <v>0.55000000000000004</v>
      </c>
      <c r="H13" s="134">
        <v>21951281706</v>
      </c>
      <c r="I13" s="154">
        <f t="shared" si="1"/>
        <v>1.1779920599383957</v>
      </c>
      <c r="J13" s="158"/>
    </row>
    <row r="14" spans="1:22" ht="29.4" customHeight="1" x14ac:dyDescent="0.3">
      <c r="A14" s="69" t="s">
        <v>87</v>
      </c>
      <c r="B14" s="59" t="s">
        <v>79</v>
      </c>
      <c r="C14" s="72">
        <v>3.13</v>
      </c>
      <c r="D14" s="72">
        <v>0.49</v>
      </c>
      <c r="E14" s="72">
        <v>24.91</v>
      </c>
      <c r="F14" s="72">
        <v>0.36</v>
      </c>
      <c r="G14" s="72">
        <v>0.18</v>
      </c>
      <c r="H14" s="134">
        <v>78018120707</v>
      </c>
      <c r="I14" s="154">
        <f t="shared" si="1"/>
        <v>4.1867590218679931</v>
      </c>
      <c r="J14" s="158"/>
      <c r="K14" s="165" t="s">
        <v>5</v>
      </c>
      <c r="L14" s="166"/>
      <c r="M14" s="83" t="s">
        <v>16</v>
      </c>
      <c r="N14" s="167" t="s">
        <v>21</v>
      </c>
      <c r="O14" s="167"/>
      <c r="P14" s="167"/>
      <c r="Q14" s="167"/>
      <c r="R14" s="167"/>
      <c r="S14" s="167"/>
      <c r="T14" s="167"/>
      <c r="U14" s="167"/>
      <c r="V14" s="167"/>
    </row>
    <row r="15" spans="1:22" ht="43.2" customHeight="1" x14ac:dyDescent="0.3">
      <c r="A15" s="69" t="s">
        <v>95</v>
      </c>
      <c r="B15" s="59" t="s">
        <v>72</v>
      </c>
      <c r="C15" s="72">
        <v>8.81</v>
      </c>
      <c r="D15" s="72">
        <v>0.34</v>
      </c>
      <c r="E15" s="72">
        <v>844.84</v>
      </c>
      <c r="F15" s="72">
        <v>0.56999999999999995</v>
      </c>
      <c r="G15" s="72">
        <v>0.37</v>
      </c>
      <c r="H15" s="137">
        <v>1976505018</v>
      </c>
      <c r="I15" s="155">
        <f t="shared" si="1"/>
        <v>0.1060670282863708</v>
      </c>
      <c r="J15" s="158"/>
      <c r="K15" s="165" t="s">
        <v>1</v>
      </c>
      <c r="L15" s="166"/>
      <c r="M15" s="83" t="s">
        <v>17</v>
      </c>
      <c r="N15" s="167" t="s">
        <v>22</v>
      </c>
      <c r="O15" s="167"/>
      <c r="P15" s="167"/>
      <c r="Q15" s="167"/>
      <c r="R15" s="167"/>
      <c r="S15" s="167"/>
      <c r="T15" s="167"/>
      <c r="U15" s="167"/>
      <c r="V15" s="167"/>
    </row>
    <row r="16" spans="1:22" ht="50.4" customHeight="1" x14ac:dyDescent="0.3">
      <c r="A16" s="69" t="s">
        <v>97</v>
      </c>
      <c r="B16" s="59" t="s">
        <v>77</v>
      </c>
      <c r="C16" s="72">
        <v>18.29</v>
      </c>
      <c r="D16" s="72">
        <v>0.31</v>
      </c>
      <c r="E16" s="72">
        <v>3556.84</v>
      </c>
      <c r="F16" s="72">
        <v>0.43</v>
      </c>
      <c r="G16" s="72">
        <v>0.28999999999999998</v>
      </c>
      <c r="H16" s="137">
        <v>11058110563</v>
      </c>
      <c r="I16" s="155">
        <f t="shared" si="1"/>
        <v>0.59342167877032759</v>
      </c>
      <c r="J16" s="158"/>
      <c r="K16" s="165" t="s">
        <v>2</v>
      </c>
      <c r="L16" s="166"/>
      <c r="M16" s="83" t="s">
        <v>18</v>
      </c>
      <c r="N16" s="167" t="s">
        <v>23</v>
      </c>
      <c r="O16" s="167"/>
      <c r="P16" s="167"/>
      <c r="Q16" s="167"/>
      <c r="R16" s="167"/>
      <c r="S16" s="167"/>
      <c r="T16" s="167"/>
      <c r="U16" s="167"/>
      <c r="V16" s="167"/>
    </row>
    <row r="17" spans="1:22" ht="46.8" customHeight="1" x14ac:dyDescent="0.3">
      <c r="A17" s="69" t="s">
        <v>98</v>
      </c>
      <c r="B17" s="59" t="s">
        <v>103</v>
      </c>
      <c r="C17" s="72">
        <v>3.52</v>
      </c>
      <c r="D17" s="72">
        <v>0.46</v>
      </c>
      <c r="E17" s="72">
        <v>36.39</v>
      </c>
      <c r="F17" s="72">
        <v>0.67</v>
      </c>
      <c r="G17" s="72">
        <v>0.35</v>
      </c>
      <c r="H17" s="134">
        <v>17491708382</v>
      </c>
      <c r="I17" s="155">
        <f t="shared" si="1"/>
        <v>0.93867382619037854</v>
      </c>
      <c r="J17" s="158"/>
      <c r="K17" s="165" t="s">
        <v>14</v>
      </c>
      <c r="L17" s="166"/>
      <c r="M17" s="83" t="s">
        <v>19</v>
      </c>
      <c r="N17" s="171" t="s">
        <v>196</v>
      </c>
      <c r="O17" s="171"/>
      <c r="P17" s="171"/>
      <c r="Q17" s="171"/>
      <c r="R17" s="171"/>
      <c r="S17" s="171"/>
      <c r="T17" s="171"/>
      <c r="U17" s="171"/>
      <c r="V17" s="171"/>
    </row>
    <row r="18" spans="1:22" ht="40.799999999999997" customHeight="1" x14ac:dyDescent="0.3">
      <c r="A18" s="69" t="s">
        <v>99</v>
      </c>
      <c r="B18" s="59" t="s">
        <v>91</v>
      </c>
      <c r="C18" s="72">
        <v>4.47</v>
      </c>
      <c r="D18" s="72">
        <v>0.28999999999999998</v>
      </c>
      <c r="E18" s="72">
        <v>16.48</v>
      </c>
      <c r="F18" s="72">
        <v>0.28999999999999998</v>
      </c>
      <c r="G18" s="72">
        <v>0.2</v>
      </c>
      <c r="H18" s="134">
        <v>20590554000</v>
      </c>
      <c r="I18" s="154">
        <f t="shared" si="1"/>
        <v>1.1049700626411691</v>
      </c>
      <c r="J18" s="158"/>
      <c r="K18" s="165" t="s">
        <v>15</v>
      </c>
      <c r="L18" s="166"/>
      <c r="M18" s="83" t="s">
        <v>20</v>
      </c>
      <c r="N18" s="167" t="s">
        <v>25</v>
      </c>
      <c r="O18" s="167"/>
      <c r="P18" s="167"/>
      <c r="Q18" s="167"/>
      <c r="R18" s="167"/>
      <c r="S18" s="167"/>
      <c r="T18" s="167"/>
      <c r="U18" s="167"/>
      <c r="V18" s="167"/>
    </row>
    <row r="19" spans="1:22" ht="20.399999999999999" x14ac:dyDescent="0.3">
      <c r="A19" s="69" t="s">
        <v>100</v>
      </c>
      <c r="B19" s="59" t="s">
        <v>104</v>
      </c>
      <c r="C19" s="72">
        <v>7.22</v>
      </c>
      <c r="D19" s="72">
        <v>0.31</v>
      </c>
      <c r="E19" s="72">
        <v>102.33</v>
      </c>
      <c r="F19" s="72">
        <v>0.82</v>
      </c>
      <c r="G19" s="72">
        <v>0.56000000000000005</v>
      </c>
      <c r="H19" s="134">
        <v>23112826264</v>
      </c>
      <c r="I19" s="154">
        <f t="shared" si="1"/>
        <v>1.240325106587542</v>
      </c>
      <c r="J19" s="158"/>
      <c r="K19" s="168" t="s">
        <v>51</v>
      </c>
      <c r="L19" s="169"/>
      <c r="M19" s="83" t="s">
        <v>191</v>
      </c>
      <c r="N19" s="167" t="s">
        <v>192</v>
      </c>
      <c r="O19" s="167"/>
      <c r="P19" s="167"/>
      <c r="Q19" s="167"/>
      <c r="R19" s="167"/>
      <c r="S19" s="167"/>
      <c r="T19" s="167"/>
      <c r="U19" s="167"/>
      <c r="V19" s="167"/>
    </row>
    <row r="20" spans="1:22" ht="27.6" customHeight="1" x14ac:dyDescent="0.3">
      <c r="A20" s="69" t="s">
        <v>101</v>
      </c>
      <c r="B20" s="59" t="s">
        <v>105</v>
      </c>
      <c r="C20" s="72">
        <v>3.07</v>
      </c>
      <c r="D20" s="72">
        <v>0.56000000000000005</v>
      </c>
      <c r="E20" s="72">
        <v>18.190000000000001</v>
      </c>
      <c r="F20" s="72">
        <v>0.47</v>
      </c>
      <c r="G20" s="72">
        <v>0.2</v>
      </c>
      <c r="H20" s="134">
        <v>17243260088</v>
      </c>
      <c r="I20" s="155">
        <f t="shared" si="1"/>
        <v>0.92534111416212173</v>
      </c>
      <c r="J20" s="158"/>
      <c r="K20" s="168" t="s">
        <v>9</v>
      </c>
      <c r="L20" s="169"/>
      <c r="M20" s="170" t="s">
        <v>26</v>
      </c>
      <c r="N20" s="170"/>
      <c r="O20" s="170"/>
      <c r="P20" s="170"/>
      <c r="Q20" s="170"/>
      <c r="R20" s="170"/>
      <c r="S20" s="170"/>
      <c r="T20" s="170"/>
      <c r="U20" s="170"/>
      <c r="V20" s="170"/>
    </row>
    <row r="21" spans="1:22" x14ac:dyDescent="0.3">
      <c r="A21" s="69" t="s">
        <v>93</v>
      </c>
      <c r="B21" s="59" t="s">
        <v>94</v>
      </c>
      <c r="C21" s="72">
        <v>2.25</v>
      </c>
      <c r="D21" s="72">
        <v>0.48</v>
      </c>
      <c r="E21" s="72">
        <v>15.67</v>
      </c>
      <c r="F21" s="72">
        <v>0.3</v>
      </c>
      <c r="G21" s="72">
        <v>0.15</v>
      </c>
      <c r="H21" s="134">
        <v>41450902320</v>
      </c>
      <c r="I21" s="154">
        <f t="shared" si="1"/>
        <v>2.2244183489702798</v>
      </c>
      <c r="J21" s="158"/>
      <c r="K21" s="168" t="s">
        <v>10</v>
      </c>
      <c r="L21" s="169"/>
      <c r="M21" s="171" t="s">
        <v>27</v>
      </c>
      <c r="N21" s="171"/>
      <c r="O21" s="171"/>
      <c r="P21" s="171"/>
      <c r="Q21" s="171"/>
      <c r="R21" s="171"/>
      <c r="S21" s="171"/>
      <c r="T21" s="171"/>
      <c r="U21" s="171"/>
      <c r="V21" s="171"/>
    </row>
    <row r="22" spans="1:22" ht="20.399999999999999" x14ac:dyDescent="0.3">
      <c r="A22" s="69" t="s">
        <v>109</v>
      </c>
      <c r="B22" s="59" t="s">
        <v>108</v>
      </c>
      <c r="C22" s="72">
        <v>1.6</v>
      </c>
      <c r="D22" s="72">
        <v>0.52</v>
      </c>
      <c r="E22" s="72">
        <v>7.02</v>
      </c>
      <c r="F22" s="72">
        <v>0.52</v>
      </c>
      <c r="G22" s="72">
        <v>0.25</v>
      </c>
      <c r="H22" s="137">
        <v>851654374</v>
      </c>
      <c r="I22" s="155">
        <f t="shared" si="1"/>
        <v>4.5703121294716292E-2</v>
      </c>
      <c r="J22" s="158"/>
      <c r="K22" s="168" t="s">
        <v>29</v>
      </c>
      <c r="L22" s="169"/>
      <c r="M22" s="170" t="s">
        <v>28</v>
      </c>
      <c r="N22" s="170"/>
      <c r="O22" s="170"/>
      <c r="P22" s="170"/>
      <c r="Q22" s="170"/>
      <c r="R22" s="170"/>
      <c r="S22" s="170"/>
      <c r="T22" s="170"/>
      <c r="U22" s="170"/>
      <c r="V22" s="170"/>
    </row>
    <row r="23" spans="1:22" x14ac:dyDescent="0.3">
      <c r="A23" s="69" t="s">
        <v>88</v>
      </c>
      <c r="B23" s="59" t="s">
        <v>80</v>
      </c>
      <c r="C23" s="72">
        <v>3.04</v>
      </c>
      <c r="D23" s="72">
        <v>0.44</v>
      </c>
      <c r="E23" s="72">
        <v>101.22</v>
      </c>
      <c r="F23" s="72">
        <v>0.3</v>
      </c>
      <c r="G23" s="72">
        <v>0.16</v>
      </c>
      <c r="H23" s="134">
        <v>13545321776</v>
      </c>
      <c r="I23" s="153">
        <f t="shared" si="1"/>
        <v>0.72689520890606019</v>
      </c>
      <c r="J23" s="6"/>
    </row>
    <row r="24" spans="1:22" x14ac:dyDescent="0.3">
      <c r="A24" s="164" t="s">
        <v>31</v>
      </c>
      <c r="B24" s="61" t="s">
        <v>8</v>
      </c>
      <c r="C24" s="30">
        <f t="shared" ref="C24:I31" si="9">L5</f>
        <v>5.0147368421052629</v>
      </c>
      <c r="D24" s="30">
        <f t="shared" si="9"/>
        <v>0.43210526315789471</v>
      </c>
      <c r="E24" s="30">
        <f t="shared" si="9"/>
        <v>327.81</v>
      </c>
      <c r="F24" s="30">
        <f t="shared" si="9"/>
        <v>0.4352631578947368</v>
      </c>
      <c r="G24" s="30">
        <f t="shared" si="9"/>
        <v>0.24473684210526322</v>
      </c>
      <c r="H24" s="138">
        <f t="shared" si="9"/>
        <v>23177453492.263157</v>
      </c>
      <c r="I24" s="149">
        <f t="shared" si="9"/>
        <v>1.2437932576854809</v>
      </c>
      <c r="J24" s="146"/>
    </row>
    <row r="25" spans="1:22" x14ac:dyDescent="0.3">
      <c r="A25" s="164"/>
      <c r="B25" s="61" t="s">
        <v>9</v>
      </c>
      <c r="C25" s="30">
        <f t="shared" si="9"/>
        <v>3.8127277613876567</v>
      </c>
      <c r="D25" s="30">
        <f t="shared" si="9"/>
        <v>0.10119172931554922</v>
      </c>
      <c r="E25" s="30">
        <f t="shared" si="9"/>
        <v>834.99198956902842</v>
      </c>
      <c r="F25" s="49">
        <f t="shared" si="9"/>
        <v>0.19001077224002708</v>
      </c>
      <c r="G25" s="49">
        <f t="shared" si="9"/>
        <v>0.12937320781593373</v>
      </c>
      <c r="H25" s="139">
        <f t="shared" si="9"/>
        <v>23726020084.289341</v>
      </c>
      <c r="I25" s="150">
        <f t="shared" si="9"/>
        <v>1.2732314972565977</v>
      </c>
      <c r="J25" s="146"/>
    </row>
    <row r="26" spans="1:22" x14ac:dyDescent="0.3">
      <c r="A26" s="164"/>
      <c r="B26" s="61" t="s">
        <v>10</v>
      </c>
      <c r="C26" s="30">
        <f t="shared" si="9"/>
        <v>3.78</v>
      </c>
      <c r="D26" s="30">
        <f t="shared" si="9"/>
        <v>0.48</v>
      </c>
      <c r="E26" s="30">
        <f t="shared" si="9"/>
        <v>17.47</v>
      </c>
      <c r="F26" s="30">
        <f t="shared" si="9"/>
        <v>0.39</v>
      </c>
      <c r="G26" s="30">
        <f t="shared" si="9"/>
        <v>0.2</v>
      </c>
      <c r="H26" s="138">
        <f t="shared" si="9"/>
        <v>17491708382</v>
      </c>
      <c r="I26" s="149">
        <f t="shared" si="9"/>
        <v>0.93867382619037854</v>
      </c>
      <c r="J26" s="146"/>
    </row>
    <row r="27" spans="1:22" x14ac:dyDescent="0.3">
      <c r="A27" s="164"/>
      <c r="B27" s="61" t="s">
        <v>11</v>
      </c>
      <c r="C27" s="49">
        <f t="shared" si="9"/>
        <v>3.0549999999999997</v>
      </c>
      <c r="D27" s="49">
        <f t="shared" si="9"/>
        <v>0.35499999999999998</v>
      </c>
      <c r="E27" s="49">
        <f t="shared" si="9"/>
        <v>7.08</v>
      </c>
      <c r="F27" s="49">
        <f t="shared" si="9"/>
        <v>0.31</v>
      </c>
      <c r="G27" s="49">
        <f t="shared" si="9"/>
        <v>0.16999999999999998</v>
      </c>
      <c r="H27" s="139">
        <f t="shared" si="9"/>
        <v>11292445922.5</v>
      </c>
      <c r="I27" s="150">
        <f t="shared" si="9"/>
        <v>0.6059970352598012</v>
      </c>
      <c r="J27" s="146"/>
    </row>
    <row r="28" spans="1:22" x14ac:dyDescent="0.3">
      <c r="A28" s="164"/>
      <c r="B28" s="62" t="s">
        <v>49</v>
      </c>
      <c r="C28" s="49">
        <f t="shared" si="9"/>
        <v>3.78</v>
      </c>
      <c r="D28" s="49">
        <f t="shared" si="9"/>
        <v>0.48</v>
      </c>
      <c r="E28" s="49">
        <f t="shared" si="9"/>
        <v>17.47</v>
      </c>
      <c r="F28" s="49">
        <f t="shared" si="9"/>
        <v>0.39</v>
      </c>
      <c r="G28" s="49">
        <f t="shared" si="9"/>
        <v>0.2</v>
      </c>
      <c r="H28" s="139">
        <f t="shared" si="9"/>
        <v>17491708382</v>
      </c>
      <c r="I28" s="150">
        <f t="shared" si="9"/>
        <v>0.93867382619037854</v>
      </c>
      <c r="J28" s="146"/>
    </row>
    <row r="29" spans="1:22" x14ac:dyDescent="0.3">
      <c r="A29" s="164"/>
      <c r="B29" s="63" t="s">
        <v>50</v>
      </c>
      <c r="C29" s="49">
        <f t="shared" si="9"/>
        <v>6.085</v>
      </c>
      <c r="D29" s="49">
        <f t="shared" si="9"/>
        <v>0.5</v>
      </c>
      <c r="E29" s="49">
        <f t="shared" si="9"/>
        <v>101.77500000000001</v>
      </c>
      <c r="F29" s="49">
        <f t="shared" si="9"/>
        <v>0.505</v>
      </c>
      <c r="G29" s="49">
        <f t="shared" si="9"/>
        <v>0.27</v>
      </c>
      <c r="H29" s="139">
        <f t="shared" si="9"/>
        <v>22532053985</v>
      </c>
      <c r="I29" s="150">
        <f t="shared" si="9"/>
        <v>1.209158583262969</v>
      </c>
      <c r="J29" s="146"/>
    </row>
    <row r="30" spans="1:22" x14ac:dyDescent="0.3">
      <c r="A30" s="164"/>
      <c r="B30" s="64" t="s">
        <v>66</v>
      </c>
      <c r="C30" s="66">
        <f t="shared" si="9"/>
        <v>18.29</v>
      </c>
      <c r="D30" s="66">
        <f t="shared" si="9"/>
        <v>0.56000000000000005</v>
      </c>
      <c r="E30" s="66">
        <f t="shared" si="9"/>
        <v>3556.84</v>
      </c>
      <c r="F30" s="66">
        <f t="shared" si="9"/>
        <v>0.87</v>
      </c>
      <c r="G30" s="66">
        <f t="shared" si="9"/>
        <v>0.56000000000000005</v>
      </c>
      <c r="H30" s="140">
        <f t="shared" si="9"/>
        <v>90722403787</v>
      </c>
      <c r="I30" s="151">
        <f t="shared" si="9"/>
        <v>4.8685207884877135</v>
      </c>
      <c r="J30" s="147"/>
    </row>
    <row r="31" spans="1:22" x14ac:dyDescent="0.3">
      <c r="A31" s="164"/>
      <c r="B31" s="67" t="s">
        <v>67</v>
      </c>
      <c r="C31" s="66">
        <f t="shared" si="9"/>
        <v>1.43</v>
      </c>
      <c r="D31" s="66">
        <f t="shared" si="9"/>
        <v>0.2</v>
      </c>
      <c r="E31" s="66">
        <f t="shared" si="9"/>
        <v>4.9400000000000004</v>
      </c>
      <c r="F31" s="66">
        <f t="shared" si="9"/>
        <v>0.16</v>
      </c>
      <c r="G31" s="66">
        <f t="shared" si="9"/>
        <v>0.09</v>
      </c>
      <c r="H31" s="140">
        <f t="shared" si="9"/>
        <v>851654374</v>
      </c>
      <c r="I31" s="151">
        <f t="shared" si="9"/>
        <v>4.5703121294716292E-2</v>
      </c>
      <c r="J31" s="147"/>
    </row>
    <row r="33" spans="1:13" x14ac:dyDescent="0.3">
      <c r="A33" s="8"/>
      <c r="B33" s="141" t="s">
        <v>193</v>
      </c>
      <c r="D33" s="82"/>
    </row>
    <row r="34" spans="1:13" ht="15.6" x14ac:dyDescent="0.3">
      <c r="B34" s="142">
        <v>18634490377.760242</v>
      </c>
      <c r="M34" s="159"/>
    </row>
    <row r="35" spans="1:13" ht="15.6" x14ac:dyDescent="0.3">
      <c r="M35" s="160"/>
    </row>
  </sheetData>
  <autoFilter ref="A4:G31" xr:uid="{9CCA115B-276C-4F3B-8E8C-0477BD9F410B}"/>
  <mergeCells count="22">
    <mergeCell ref="K14:L14"/>
    <mergeCell ref="K15:L15"/>
    <mergeCell ref="K16:L16"/>
    <mergeCell ref="N16:V16"/>
    <mergeCell ref="N14:V14"/>
    <mergeCell ref="N15:V15"/>
    <mergeCell ref="A1:I1"/>
    <mergeCell ref="A2:I2"/>
    <mergeCell ref="A24:A31"/>
    <mergeCell ref="K18:L18"/>
    <mergeCell ref="N18:V18"/>
    <mergeCell ref="K19:L19"/>
    <mergeCell ref="K20:L20"/>
    <mergeCell ref="M20:V20"/>
    <mergeCell ref="K22:L22"/>
    <mergeCell ref="M22:V22"/>
    <mergeCell ref="N19:V19"/>
    <mergeCell ref="A3:I3"/>
    <mergeCell ref="K21:L21"/>
    <mergeCell ref="M21:V21"/>
    <mergeCell ref="K17:L17"/>
    <mergeCell ref="N17:V17"/>
  </mergeCells>
  <conditionalFormatting sqref="C5:C23">
    <cfRule type="cellIs" dxfId="16" priority="12" operator="greaterThan">
      <formula>3.06</formula>
    </cfRule>
  </conditionalFormatting>
  <conditionalFormatting sqref="D5:D23">
    <cfRule type="cellIs" dxfId="15" priority="11" operator="lessThan">
      <formula>0.5</formula>
    </cfRule>
  </conditionalFormatting>
  <conditionalFormatting sqref="E5:E23">
    <cfRule type="cellIs" dxfId="14" priority="10" operator="greaterThan">
      <formula>6.93</formula>
    </cfRule>
  </conditionalFormatting>
  <conditionalFormatting sqref="F5:F23">
    <cfRule type="cellIs" dxfId="13" priority="9" operator="greaterThan">
      <formula>0.31</formula>
    </cfRule>
  </conditionalFormatting>
  <conditionalFormatting sqref="G5:G23">
    <cfRule type="cellIs" dxfId="12" priority="8" operator="greaterThan">
      <formula>0.17</formula>
    </cfRule>
  </conditionalFormatting>
  <conditionalFormatting sqref="H5:H23">
    <cfRule type="cellIs" dxfId="11" priority="2" operator="greaterThan">
      <formula>$Q$8</formula>
    </cfRule>
  </conditionalFormatting>
  <conditionalFormatting sqref="I5:I23">
    <cfRule type="cellIs" dxfId="10" priority="1" operator="greaterThan">
      <formula>$R$8</formula>
    </cfRule>
  </conditionalFormatting>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F3473-11EC-455E-93AC-A1362A02CB90}">
  <dimension ref="A1:AF54"/>
  <sheetViews>
    <sheetView showGridLines="0" topLeftCell="E1" zoomScale="90" zoomScaleNormal="90" workbookViewId="0">
      <selection activeCell="P21" sqref="P21"/>
    </sheetView>
  </sheetViews>
  <sheetFormatPr baseColWidth="10" defaultColWidth="8.88671875" defaultRowHeight="14.4" x14ac:dyDescent="0.3"/>
  <cols>
    <col min="1" max="1" width="10.33203125" style="85" bestFit="1" customWidth="1"/>
    <col min="2" max="2" width="12.77734375" style="86" bestFit="1" customWidth="1"/>
    <col min="3" max="3" width="50" style="86" customWidth="1"/>
    <col min="4" max="4" width="18.6640625" style="86" customWidth="1"/>
    <col min="5" max="5" width="19.21875" style="86" customWidth="1"/>
    <col min="6" max="6" width="17.88671875" style="86" customWidth="1"/>
    <col min="7" max="7" width="19.109375" style="86" customWidth="1"/>
    <col min="8" max="8" width="18.6640625" style="86" customWidth="1"/>
    <col min="9" max="10" width="17.6640625" style="86" customWidth="1"/>
    <col min="11" max="11" width="10.33203125" style="132" customWidth="1"/>
    <col min="12" max="12" width="17.33203125" style="132" customWidth="1"/>
    <col min="13" max="13" width="18.88671875" style="132" bestFit="1" customWidth="1"/>
    <col min="14" max="14" width="14.5546875" style="132" customWidth="1"/>
    <col min="15" max="15" width="16.33203125" style="132" customWidth="1"/>
    <col min="16" max="16" width="17.88671875" style="85" bestFit="1" customWidth="1"/>
    <col min="17" max="17" width="13.44140625" style="85" bestFit="1" customWidth="1"/>
    <col min="18" max="18" width="27.33203125" customWidth="1"/>
    <col min="19" max="19" width="12" customWidth="1"/>
    <col min="20" max="20" width="17.109375" customWidth="1"/>
    <col min="21" max="21" width="14.44140625" customWidth="1"/>
    <col min="22" max="22" width="14.77734375" customWidth="1"/>
    <col min="23" max="24" width="14.88671875" customWidth="1"/>
    <col min="25" max="25" width="14.21875" bestFit="1" customWidth="1"/>
    <col min="26" max="26" width="10.109375" customWidth="1"/>
    <col min="27" max="27" width="10.44140625" customWidth="1"/>
    <col min="28" max="28" width="9.44140625" customWidth="1"/>
    <col min="29" max="29" width="16.77734375" customWidth="1"/>
    <col min="30" max="31" width="6.77734375" bestFit="1" customWidth="1"/>
  </cols>
  <sheetData>
    <row r="1" spans="1:32" ht="15.6" x14ac:dyDescent="0.3">
      <c r="K1" s="172" t="s">
        <v>113</v>
      </c>
      <c r="L1" s="172"/>
      <c r="M1" s="172"/>
      <c r="N1" s="172"/>
      <c r="O1" s="172"/>
      <c r="P1" s="87"/>
      <c r="Q1" s="87"/>
      <c r="R1" s="88"/>
      <c r="S1" s="172" t="s">
        <v>114</v>
      </c>
      <c r="T1" s="172"/>
      <c r="U1" s="172"/>
      <c r="V1" s="172"/>
      <c r="W1" s="172"/>
      <c r="X1" s="87"/>
      <c r="Y1" s="88"/>
      <c r="Z1" s="88"/>
    </row>
    <row r="2" spans="1:32" ht="39.6" x14ac:dyDescent="0.3">
      <c r="A2" s="89" t="s">
        <v>115</v>
      </c>
      <c r="B2" s="89" t="s">
        <v>30</v>
      </c>
      <c r="C2" s="89" t="s">
        <v>116</v>
      </c>
      <c r="D2" s="90" t="s">
        <v>117</v>
      </c>
      <c r="E2" s="90" t="s">
        <v>118</v>
      </c>
      <c r="F2" s="90" t="s">
        <v>119</v>
      </c>
      <c r="G2" s="90" t="s">
        <v>120</v>
      </c>
      <c r="H2" s="90" t="s">
        <v>121</v>
      </c>
      <c r="I2" s="90" t="s">
        <v>122</v>
      </c>
      <c r="J2" s="90" t="s">
        <v>123</v>
      </c>
      <c r="K2" s="90" t="s">
        <v>5</v>
      </c>
      <c r="L2" s="90" t="s">
        <v>1</v>
      </c>
      <c r="M2" s="90" t="s">
        <v>124</v>
      </c>
      <c r="N2" s="90" t="s">
        <v>125</v>
      </c>
      <c r="O2" s="90" t="s">
        <v>4</v>
      </c>
      <c r="P2" s="90" t="s">
        <v>51</v>
      </c>
      <c r="Q2" s="90" t="s">
        <v>126</v>
      </c>
      <c r="R2" s="91"/>
      <c r="S2" s="90" t="s">
        <v>5</v>
      </c>
      <c r="T2" s="90" t="s">
        <v>1</v>
      </c>
      <c r="U2" s="90" t="s">
        <v>124</v>
      </c>
      <c r="V2" s="90" t="s">
        <v>125</v>
      </c>
      <c r="W2" s="90" t="s">
        <v>4</v>
      </c>
      <c r="X2" s="92"/>
    </row>
    <row r="3" spans="1:32" ht="14.4" customHeight="1" x14ac:dyDescent="0.3">
      <c r="A3" s="93">
        <v>1</v>
      </c>
      <c r="B3" s="94" t="s">
        <v>171</v>
      </c>
      <c r="C3" s="74" t="s">
        <v>127</v>
      </c>
      <c r="D3" s="95">
        <v>81497593000</v>
      </c>
      <c r="E3" s="95">
        <v>93780094000</v>
      </c>
      <c r="F3" s="95">
        <v>15005539000</v>
      </c>
      <c r="G3" s="95">
        <v>35429627000</v>
      </c>
      <c r="H3" s="95">
        <v>58350467000</v>
      </c>
      <c r="I3" s="95">
        <v>40207224000</v>
      </c>
      <c r="J3" s="95">
        <v>539827000</v>
      </c>
      <c r="K3" s="93">
        <v>5.43</v>
      </c>
      <c r="L3" s="93">
        <v>0.37</v>
      </c>
      <c r="M3" s="93">
        <v>74.48</v>
      </c>
      <c r="N3" s="93">
        <v>0.68</v>
      </c>
      <c r="O3" s="93">
        <v>0.42</v>
      </c>
      <c r="P3" s="96">
        <f>+D3-F3</f>
        <v>66492054000</v>
      </c>
      <c r="Q3" s="97">
        <f>+H3/E3</f>
        <v>0.62220525178829533</v>
      </c>
      <c r="R3" s="91"/>
      <c r="S3" s="93">
        <v>5.43</v>
      </c>
      <c r="T3" s="93">
        <v>0.37</v>
      </c>
      <c r="U3" s="93">
        <v>74.48</v>
      </c>
      <c r="V3" s="93">
        <v>0.68</v>
      </c>
      <c r="W3" s="93">
        <v>0.42</v>
      </c>
      <c r="X3" s="98"/>
      <c r="AF3" s="99"/>
    </row>
    <row r="4" spans="1:32" x14ac:dyDescent="0.3">
      <c r="A4" s="93">
        <f>1+A3</f>
        <v>2</v>
      </c>
      <c r="B4" s="100" t="s">
        <v>172</v>
      </c>
      <c r="C4" s="74" t="s">
        <v>128</v>
      </c>
      <c r="D4" s="100">
        <v>3314023000</v>
      </c>
      <c r="E4" s="100">
        <v>3438525986</v>
      </c>
      <c r="F4" s="100">
        <v>608816651</v>
      </c>
      <c r="G4" s="100">
        <v>1126311983</v>
      </c>
      <c r="H4" s="100">
        <v>2312214003</v>
      </c>
      <c r="I4" s="100">
        <v>661922624</v>
      </c>
      <c r="J4" s="100">
        <v>19168334</v>
      </c>
      <c r="K4" s="93">
        <v>5.44</v>
      </c>
      <c r="L4" s="93">
        <v>0.32</v>
      </c>
      <c r="M4" s="93">
        <v>34.53</v>
      </c>
      <c r="N4" s="93">
        <v>0.28000000000000003</v>
      </c>
      <c r="O4" s="93">
        <v>0.19</v>
      </c>
      <c r="P4" s="96">
        <f t="shared" ref="P4:P28" si="0">+D4-F4</f>
        <v>2705206349</v>
      </c>
      <c r="Q4" s="97">
        <f t="shared" ref="Q4:Q28" si="1">+H4/E4</f>
        <v>0.67244337033199897</v>
      </c>
      <c r="R4" s="91"/>
      <c r="S4" s="93">
        <v>5.44</v>
      </c>
      <c r="T4" s="93">
        <v>0.32</v>
      </c>
      <c r="U4" s="93">
        <v>34.53</v>
      </c>
      <c r="V4" s="93">
        <v>0.28000000000000003</v>
      </c>
      <c r="W4" s="93">
        <v>0.19</v>
      </c>
      <c r="X4" s="98"/>
    </row>
    <row r="5" spans="1:32" x14ac:dyDescent="0.3">
      <c r="A5" s="93">
        <f t="shared" ref="A5:A28" si="2">1+A4</f>
        <v>3</v>
      </c>
      <c r="B5" s="100" t="s">
        <v>62</v>
      </c>
      <c r="C5" s="101" t="s">
        <v>129</v>
      </c>
      <c r="D5" s="100">
        <v>38126322374</v>
      </c>
      <c r="E5" s="100">
        <v>52059072825</v>
      </c>
      <c r="F5" s="100">
        <v>10839037682</v>
      </c>
      <c r="G5" s="100">
        <v>26230807562</v>
      </c>
      <c r="H5" s="100">
        <v>25828265263</v>
      </c>
      <c r="I5" s="100">
        <v>10700371976</v>
      </c>
      <c r="J5" s="100">
        <v>1498462980</v>
      </c>
      <c r="K5" s="93">
        <v>3.51</v>
      </c>
      <c r="L5" s="93">
        <v>0.5</v>
      </c>
      <c r="M5" s="93">
        <v>7.14</v>
      </c>
      <c r="N5" s="93">
        <v>0.41</v>
      </c>
      <c r="O5" s="93">
        <v>0.2</v>
      </c>
      <c r="P5" s="96">
        <f t="shared" si="0"/>
        <v>27287284692</v>
      </c>
      <c r="Q5" s="97">
        <f t="shared" si="1"/>
        <v>0.49613379304359517</v>
      </c>
      <c r="R5" s="91"/>
      <c r="S5" s="93">
        <v>3.51</v>
      </c>
      <c r="T5" s="93">
        <v>0.5</v>
      </c>
      <c r="U5" s="93">
        <v>7.14</v>
      </c>
      <c r="V5" s="93">
        <v>0.41</v>
      </c>
      <c r="W5" s="93">
        <v>0.2</v>
      </c>
      <c r="X5" s="98"/>
      <c r="Y5" s="91"/>
      <c r="Z5" s="99"/>
      <c r="AA5" s="99"/>
      <c r="AB5" s="99"/>
      <c r="AC5" s="99"/>
      <c r="AD5" s="99"/>
      <c r="AE5" s="99"/>
    </row>
    <row r="6" spans="1:32" x14ac:dyDescent="0.3">
      <c r="A6" s="93">
        <f t="shared" si="2"/>
        <v>4</v>
      </c>
      <c r="B6" s="100" t="s">
        <v>173</v>
      </c>
      <c r="C6" s="74" t="s">
        <v>94</v>
      </c>
      <c r="D6" s="100">
        <v>74425576867</v>
      </c>
      <c r="E6" s="100">
        <v>95327422186</v>
      </c>
      <c r="F6" s="100">
        <v>32974674547</v>
      </c>
      <c r="G6" s="100">
        <v>46686022170</v>
      </c>
      <c r="H6" s="100">
        <v>48641400016</v>
      </c>
      <c r="I6" s="100">
        <v>14815883700</v>
      </c>
      <c r="J6" s="100">
        <v>945100228</v>
      </c>
      <c r="K6" s="93">
        <v>2.25</v>
      </c>
      <c r="L6" s="93">
        <v>0.48</v>
      </c>
      <c r="M6" s="93">
        <v>15.67</v>
      </c>
      <c r="N6" s="93">
        <v>0.3</v>
      </c>
      <c r="O6" s="93">
        <v>0.15</v>
      </c>
      <c r="P6" s="96">
        <f t="shared" si="0"/>
        <v>41450902320</v>
      </c>
      <c r="Q6" s="97">
        <f t="shared" si="1"/>
        <v>0.51025611414407457</v>
      </c>
      <c r="R6" s="91"/>
      <c r="S6" s="93">
        <v>2.25</v>
      </c>
      <c r="T6" s="93">
        <v>0.48</v>
      </c>
      <c r="U6" s="93">
        <v>15.67</v>
      </c>
      <c r="V6" s="93">
        <v>0.3</v>
      </c>
      <c r="W6" s="93">
        <v>0.15</v>
      </c>
      <c r="X6" s="98"/>
      <c r="Y6" s="91"/>
      <c r="Z6" s="99"/>
      <c r="AA6" s="99"/>
      <c r="AB6" s="99"/>
      <c r="AC6" s="99"/>
      <c r="AD6" s="99"/>
      <c r="AE6" s="99"/>
    </row>
    <row r="7" spans="1:32" x14ac:dyDescent="0.3">
      <c r="A7" s="93">
        <f t="shared" si="2"/>
        <v>5</v>
      </c>
      <c r="B7" s="100" t="s">
        <v>174</v>
      </c>
      <c r="C7" s="74" t="s">
        <v>130</v>
      </c>
      <c r="D7" s="100">
        <v>24419546349</v>
      </c>
      <c r="E7" s="100">
        <v>30898518712</v>
      </c>
      <c r="F7" s="100">
        <v>6927837967</v>
      </c>
      <c r="G7" s="100">
        <v>14409065158</v>
      </c>
      <c r="H7" s="100">
        <v>16489453554</v>
      </c>
      <c r="I7" s="100">
        <v>11053249095</v>
      </c>
      <c r="J7" s="100">
        <v>303687225</v>
      </c>
      <c r="K7" s="93">
        <v>3.52</v>
      </c>
      <c r="L7" s="93">
        <v>0.46</v>
      </c>
      <c r="M7" s="93">
        <v>36.39</v>
      </c>
      <c r="N7" s="93">
        <v>0.67</v>
      </c>
      <c r="O7" s="93">
        <v>0.35</v>
      </c>
      <c r="P7" s="96">
        <f t="shared" si="0"/>
        <v>17491708382</v>
      </c>
      <c r="Q7" s="97">
        <f t="shared" si="1"/>
        <v>0.53366485648375184</v>
      </c>
      <c r="R7" s="91"/>
      <c r="S7" s="93">
        <v>3.52</v>
      </c>
      <c r="T7" s="93">
        <v>0.46</v>
      </c>
      <c r="U7" s="93">
        <v>36.39</v>
      </c>
      <c r="V7" s="93">
        <v>0.67</v>
      </c>
      <c r="W7" s="93">
        <v>0.35</v>
      </c>
      <c r="X7" s="98"/>
      <c r="Y7" s="91"/>
      <c r="Z7" s="99"/>
      <c r="AA7" s="99"/>
      <c r="AB7" s="99"/>
      <c r="AC7" s="99"/>
      <c r="AD7" s="99"/>
      <c r="AE7" s="99"/>
    </row>
    <row r="8" spans="1:32" x14ac:dyDescent="0.3">
      <c r="A8" s="93">
        <f t="shared" si="2"/>
        <v>6</v>
      </c>
      <c r="B8" s="100" t="s">
        <v>131</v>
      </c>
      <c r="C8" s="74" t="s">
        <v>132</v>
      </c>
      <c r="D8" s="100">
        <v>1779741853</v>
      </c>
      <c r="E8" s="100">
        <v>2128811853</v>
      </c>
      <c r="F8" s="100">
        <v>53908277</v>
      </c>
      <c r="G8" s="100">
        <v>179979612</v>
      </c>
      <c r="H8" s="100">
        <v>1948832241</v>
      </c>
      <c r="I8" s="100">
        <v>3999560651</v>
      </c>
      <c r="J8" s="100">
        <v>486398</v>
      </c>
      <c r="K8" s="93">
        <v>33.01</v>
      </c>
      <c r="L8" s="93">
        <v>0.08</v>
      </c>
      <c r="M8" s="93">
        <v>8222.7999999999993</v>
      </c>
      <c r="N8" s="93">
        <v>2.0499999999999998</v>
      </c>
      <c r="O8" s="93">
        <v>1.87</v>
      </c>
      <c r="P8" s="96">
        <f t="shared" si="0"/>
        <v>1725833576</v>
      </c>
      <c r="Q8" s="97">
        <f t="shared" si="1"/>
        <v>0.91545536927259863</v>
      </c>
      <c r="R8" s="91"/>
      <c r="S8" s="93">
        <v>1.43</v>
      </c>
      <c r="T8" s="93">
        <v>0.08</v>
      </c>
      <c r="U8" s="93">
        <v>4.9400000000000004</v>
      </c>
      <c r="V8" s="93">
        <v>0.35</v>
      </c>
      <c r="W8" s="93">
        <v>0.16</v>
      </c>
      <c r="X8" s="98"/>
      <c r="Y8" s="91"/>
      <c r="Z8" s="99"/>
      <c r="AA8" s="99"/>
      <c r="AB8" s="99"/>
      <c r="AC8" s="99"/>
      <c r="AD8" s="99"/>
      <c r="AE8" s="99"/>
    </row>
    <row r="9" spans="1:32" x14ac:dyDescent="0.3">
      <c r="A9" s="93">
        <f t="shared" si="2"/>
        <v>7</v>
      </c>
      <c r="B9" s="86" t="s">
        <v>175</v>
      </c>
      <c r="C9" s="101" t="s">
        <v>133</v>
      </c>
      <c r="D9" s="100">
        <v>69564050000</v>
      </c>
      <c r="E9" s="100">
        <v>117724640000</v>
      </c>
      <c r="F9" s="100">
        <v>48528736000</v>
      </c>
      <c r="G9" s="100">
        <v>65762179000</v>
      </c>
      <c r="H9" s="100">
        <v>51962461000</v>
      </c>
      <c r="I9" s="100">
        <v>18345795000</v>
      </c>
      <c r="J9" s="100">
        <v>3715489000</v>
      </c>
      <c r="K9" s="93">
        <v>1.43</v>
      </c>
      <c r="L9" s="93">
        <v>0.55000000000000004</v>
      </c>
      <c r="M9" s="93">
        <v>4.9400000000000004</v>
      </c>
      <c r="N9" s="93">
        <v>0.35</v>
      </c>
      <c r="O9" s="93">
        <v>0.16</v>
      </c>
      <c r="P9" s="96">
        <f t="shared" si="0"/>
        <v>21035314000</v>
      </c>
      <c r="Q9" s="97">
        <f t="shared" si="1"/>
        <v>0.44138984837838535</v>
      </c>
      <c r="R9" s="91"/>
      <c r="S9" s="93">
        <v>8.2200000000000006</v>
      </c>
      <c r="T9" s="93">
        <v>0.55000000000000004</v>
      </c>
      <c r="U9" s="93">
        <v>127.27</v>
      </c>
      <c r="V9" s="93">
        <v>0.31</v>
      </c>
      <c r="W9" s="93">
        <v>0.16</v>
      </c>
      <c r="X9" s="98"/>
      <c r="Y9" s="91"/>
      <c r="Z9" s="99"/>
      <c r="AA9" s="99"/>
      <c r="AB9" s="99"/>
      <c r="AC9" s="99"/>
      <c r="AD9" s="99"/>
      <c r="AE9" s="99"/>
    </row>
    <row r="10" spans="1:32" x14ac:dyDescent="0.3">
      <c r="A10" s="93">
        <f t="shared" si="2"/>
        <v>8</v>
      </c>
      <c r="B10" s="100" t="s">
        <v>176</v>
      </c>
      <c r="C10" s="74" t="s">
        <v>134</v>
      </c>
      <c r="D10" s="100">
        <v>20884143653</v>
      </c>
      <c r="E10" s="100">
        <v>21926190528</v>
      </c>
      <c r="F10" s="100">
        <v>2539411018</v>
      </c>
      <c r="G10" s="100">
        <v>10745027538</v>
      </c>
      <c r="H10" s="100">
        <v>11181162990</v>
      </c>
      <c r="I10" s="100">
        <v>3511676264</v>
      </c>
      <c r="J10" s="100">
        <v>27591130</v>
      </c>
      <c r="K10" s="93">
        <v>8.2200000000000006</v>
      </c>
      <c r="L10" s="93">
        <v>0.49</v>
      </c>
      <c r="M10" s="93">
        <v>127.27</v>
      </c>
      <c r="N10" s="93">
        <v>0.31</v>
      </c>
      <c r="O10" s="93">
        <v>0.16</v>
      </c>
      <c r="P10" s="96">
        <f t="shared" si="0"/>
        <v>18344732635</v>
      </c>
      <c r="Q10" s="97">
        <f t="shared" si="1"/>
        <v>0.50994553639956408</v>
      </c>
      <c r="R10" s="91"/>
      <c r="S10" s="93">
        <v>2.37</v>
      </c>
      <c r="T10" s="93">
        <v>0.49</v>
      </c>
      <c r="U10" s="93">
        <v>17.47</v>
      </c>
      <c r="V10" s="93">
        <v>0.49</v>
      </c>
      <c r="W10" s="93">
        <v>0.24</v>
      </c>
      <c r="X10" s="98"/>
      <c r="Y10" s="91"/>
      <c r="Z10" s="99"/>
      <c r="AA10" s="99"/>
      <c r="AB10" s="99"/>
      <c r="AC10" s="99"/>
      <c r="AD10" s="99"/>
      <c r="AE10" s="99"/>
    </row>
    <row r="11" spans="1:32" x14ac:dyDescent="0.3">
      <c r="A11" s="93">
        <f t="shared" si="2"/>
        <v>9</v>
      </c>
      <c r="B11" s="100" t="s">
        <v>63</v>
      </c>
      <c r="C11" s="74" t="s">
        <v>64</v>
      </c>
      <c r="D11" s="100">
        <v>16583084264</v>
      </c>
      <c r="E11" s="100">
        <v>23026819474</v>
      </c>
      <c r="F11" s="100">
        <v>6993368280</v>
      </c>
      <c r="G11" s="100">
        <v>11643060175</v>
      </c>
      <c r="H11" s="100">
        <v>11383759299</v>
      </c>
      <c r="I11" s="100">
        <v>5615935447</v>
      </c>
      <c r="J11" s="100">
        <v>321385560</v>
      </c>
      <c r="K11" s="93">
        <v>2.37</v>
      </c>
      <c r="L11" s="93">
        <v>0.5</v>
      </c>
      <c r="M11" s="93">
        <v>17.47</v>
      </c>
      <c r="N11" s="93">
        <v>0.49</v>
      </c>
      <c r="O11" s="93">
        <v>0.24</v>
      </c>
      <c r="P11" s="96">
        <f t="shared" si="0"/>
        <v>9589715984</v>
      </c>
      <c r="Q11" s="97">
        <f t="shared" si="1"/>
        <v>0.49436958985384888</v>
      </c>
      <c r="R11" s="91"/>
      <c r="S11" s="93">
        <v>5.77</v>
      </c>
      <c r="T11" s="93">
        <v>0.5</v>
      </c>
      <c r="U11" s="93">
        <v>24.91</v>
      </c>
      <c r="V11" s="93">
        <v>0.13</v>
      </c>
      <c r="W11" s="93">
        <v>0.11</v>
      </c>
      <c r="X11" s="98"/>
      <c r="Y11" s="91"/>
      <c r="Z11" s="99"/>
      <c r="AA11" s="99"/>
      <c r="AB11" s="99"/>
      <c r="AC11" s="99"/>
      <c r="AD11" s="99"/>
      <c r="AE11" s="99"/>
    </row>
    <row r="12" spans="1:32" x14ac:dyDescent="0.3">
      <c r="A12" s="93">
        <f t="shared" si="2"/>
        <v>10</v>
      </c>
      <c r="B12" s="100" t="s">
        <v>177</v>
      </c>
      <c r="C12" s="74" t="s">
        <v>135</v>
      </c>
      <c r="D12" s="100">
        <v>14465373180</v>
      </c>
      <c r="E12" s="100">
        <v>17731156155</v>
      </c>
      <c r="F12" s="100">
        <v>2506449446</v>
      </c>
      <c r="G12" s="100">
        <v>2761412228</v>
      </c>
      <c r="H12" s="100">
        <v>14969743927</v>
      </c>
      <c r="I12" s="100">
        <v>2006054687</v>
      </c>
      <c r="J12" s="100">
        <v>413011</v>
      </c>
      <c r="K12" s="93">
        <v>5.77</v>
      </c>
      <c r="L12" s="93">
        <v>0.15</v>
      </c>
      <c r="M12" s="93">
        <v>4857.1400000000003</v>
      </c>
      <c r="N12" s="93">
        <v>0.13</v>
      </c>
      <c r="O12" s="93">
        <v>0.11</v>
      </c>
      <c r="P12" s="96">
        <f t="shared" si="0"/>
        <v>11958923734</v>
      </c>
      <c r="Q12" s="97">
        <f t="shared" si="1"/>
        <v>0.84426214490128948</v>
      </c>
      <c r="R12" s="91"/>
      <c r="S12" s="93">
        <v>5.77</v>
      </c>
      <c r="T12" s="93">
        <v>0.15</v>
      </c>
      <c r="U12" s="93">
        <v>18.190000000000001</v>
      </c>
      <c r="V12" s="93">
        <v>0.13</v>
      </c>
      <c r="W12" s="93">
        <v>0.11</v>
      </c>
      <c r="X12" s="98"/>
      <c r="Y12" s="91"/>
      <c r="Z12" s="99"/>
      <c r="AA12" s="99"/>
      <c r="AB12" s="99"/>
      <c r="AC12" s="99"/>
      <c r="AD12" s="99"/>
      <c r="AE12" s="99"/>
    </row>
    <row r="13" spans="1:32" x14ac:dyDescent="0.3">
      <c r="A13" s="93">
        <f t="shared" si="2"/>
        <v>11</v>
      </c>
      <c r="B13" s="100" t="s">
        <v>178</v>
      </c>
      <c r="C13" s="74" t="s">
        <v>43</v>
      </c>
      <c r="D13" s="100">
        <v>14465373180</v>
      </c>
      <c r="E13" s="100">
        <v>17731156155</v>
      </c>
      <c r="F13" s="100">
        <v>2506449446</v>
      </c>
      <c r="G13" s="100">
        <v>2761412228</v>
      </c>
      <c r="H13" s="100">
        <v>14969743927</v>
      </c>
      <c r="I13" s="100">
        <v>2006054687</v>
      </c>
      <c r="J13" s="100">
        <v>413011</v>
      </c>
      <c r="K13" s="93">
        <v>5.77</v>
      </c>
      <c r="L13" s="93">
        <v>0.15</v>
      </c>
      <c r="M13" s="93">
        <v>4857.1400000000003</v>
      </c>
      <c r="N13" s="93">
        <v>0.13</v>
      </c>
      <c r="O13" s="93">
        <v>0.11</v>
      </c>
      <c r="P13" s="96">
        <f t="shared" si="0"/>
        <v>11958923734</v>
      </c>
      <c r="Q13" s="97">
        <f t="shared" si="1"/>
        <v>0.84426214490128948</v>
      </c>
      <c r="R13" s="91"/>
      <c r="S13" s="93">
        <v>3.13</v>
      </c>
      <c r="T13" s="93">
        <v>0.15</v>
      </c>
      <c r="U13" s="93">
        <v>102.33</v>
      </c>
      <c r="V13" s="93">
        <v>0.36</v>
      </c>
      <c r="W13" s="93">
        <v>0.18</v>
      </c>
      <c r="X13" s="98"/>
      <c r="Y13" s="91"/>
      <c r="Z13" s="99"/>
      <c r="AA13" s="99"/>
      <c r="AB13" s="99"/>
      <c r="AC13" s="99"/>
      <c r="AD13" s="99"/>
      <c r="AE13" s="99"/>
    </row>
    <row r="14" spans="1:32" x14ac:dyDescent="0.3">
      <c r="A14" s="93">
        <f t="shared" si="2"/>
        <v>12</v>
      </c>
      <c r="B14" s="100" t="s">
        <v>179</v>
      </c>
      <c r="C14" s="74" t="s">
        <v>136</v>
      </c>
      <c r="D14" s="100">
        <v>114602408442</v>
      </c>
      <c r="E14" s="100">
        <v>214378764112</v>
      </c>
      <c r="F14" s="100">
        <v>36584287735</v>
      </c>
      <c r="G14" s="100">
        <v>106363651404</v>
      </c>
      <c r="H14" s="100">
        <v>108015112708</v>
      </c>
      <c r="I14" s="100">
        <v>39725914465</v>
      </c>
      <c r="J14" s="100">
        <v>1594656186</v>
      </c>
      <c r="K14" s="93">
        <v>3.13</v>
      </c>
      <c r="L14" s="93">
        <v>0.49</v>
      </c>
      <c r="M14" s="93">
        <v>24.91</v>
      </c>
      <c r="N14" s="93">
        <v>0.36</v>
      </c>
      <c r="O14" s="93">
        <v>0.18</v>
      </c>
      <c r="P14" s="96">
        <f t="shared" si="0"/>
        <v>78018120707</v>
      </c>
      <c r="Q14" s="97">
        <f t="shared" si="1"/>
        <v>0.50385173715978981</v>
      </c>
      <c r="R14" s="91"/>
      <c r="S14" s="93">
        <v>3.07</v>
      </c>
      <c r="T14" s="93">
        <v>0.49</v>
      </c>
      <c r="U14" s="93">
        <v>24.9</v>
      </c>
      <c r="V14" s="93">
        <v>0.47</v>
      </c>
      <c r="W14" s="93">
        <v>0.2</v>
      </c>
      <c r="X14" s="98"/>
      <c r="Y14" s="91"/>
      <c r="Z14" s="99"/>
      <c r="AA14" s="99"/>
      <c r="AB14" s="99"/>
      <c r="AC14" s="99"/>
      <c r="AD14" s="99"/>
      <c r="AE14" s="99"/>
    </row>
    <row r="15" spans="1:32" x14ac:dyDescent="0.3">
      <c r="A15" s="93">
        <f t="shared" si="2"/>
        <v>13</v>
      </c>
      <c r="B15" s="100" t="s">
        <v>180</v>
      </c>
      <c r="C15" s="74" t="s">
        <v>137</v>
      </c>
      <c r="D15" s="100">
        <v>25538140522</v>
      </c>
      <c r="E15" s="100">
        <v>29888008051</v>
      </c>
      <c r="F15" s="100">
        <v>8294880434</v>
      </c>
      <c r="G15" s="100">
        <v>16738004434</v>
      </c>
      <c r="H15" s="100">
        <v>13150003617</v>
      </c>
      <c r="I15" s="100">
        <v>6193605148</v>
      </c>
      <c r="J15" s="100">
        <v>340322476</v>
      </c>
      <c r="K15" s="93">
        <v>3.07</v>
      </c>
      <c r="L15" s="93">
        <v>0.56000000000000005</v>
      </c>
      <c r="M15" s="93">
        <v>18.190000000000001</v>
      </c>
      <c r="N15" s="93">
        <v>0.47</v>
      </c>
      <c r="O15" s="93">
        <v>0.2</v>
      </c>
      <c r="P15" s="96">
        <f t="shared" si="0"/>
        <v>17243260088</v>
      </c>
      <c r="Q15" s="97">
        <f t="shared" si="1"/>
        <v>0.43997591256537499</v>
      </c>
      <c r="R15" s="91"/>
      <c r="S15" s="93">
        <v>5.9</v>
      </c>
      <c r="T15" s="93">
        <v>0.56000000000000005</v>
      </c>
      <c r="U15" s="93">
        <v>101.22</v>
      </c>
      <c r="V15" s="93">
        <v>0.4</v>
      </c>
      <c r="W15" s="93">
        <v>0.25</v>
      </c>
      <c r="X15" s="98"/>
      <c r="Y15" s="91"/>
      <c r="Z15" s="99"/>
      <c r="AA15" s="99"/>
      <c r="AB15" s="99"/>
      <c r="AC15" s="99"/>
      <c r="AD15" s="99"/>
      <c r="AE15" s="99"/>
    </row>
    <row r="16" spans="1:32" x14ac:dyDescent="0.3">
      <c r="A16" s="93">
        <f t="shared" si="2"/>
        <v>14</v>
      </c>
      <c r="B16" s="100" t="s">
        <v>181</v>
      </c>
      <c r="C16" s="74" t="s">
        <v>138</v>
      </c>
      <c r="D16" s="100">
        <v>27958788822</v>
      </c>
      <c r="E16" s="100">
        <v>32105940717</v>
      </c>
      <c r="F16" s="100">
        <v>4734338847</v>
      </c>
      <c r="G16" s="100">
        <v>12120297987</v>
      </c>
      <c r="H16" s="100">
        <v>19985642730</v>
      </c>
      <c r="I16" s="100">
        <v>8138557574</v>
      </c>
      <c r="J16" s="100">
        <v>144362</v>
      </c>
      <c r="K16" s="93">
        <v>5.9</v>
      </c>
      <c r="L16" s="93">
        <v>0.37</v>
      </c>
      <c r="M16" s="93">
        <v>56376.03</v>
      </c>
      <c r="N16" s="93">
        <v>0.4</v>
      </c>
      <c r="O16" s="93">
        <v>0.25</v>
      </c>
      <c r="P16" s="96">
        <f t="shared" si="0"/>
        <v>23224449975</v>
      </c>
      <c r="Q16" s="97">
        <f t="shared" si="1"/>
        <v>0.62249048879037083</v>
      </c>
      <c r="R16" s="91"/>
      <c r="S16" s="93">
        <v>7.22</v>
      </c>
      <c r="T16" s="93">
        <v>0.37</v>
      </c>
      <c r="U16" s="93">
        <v>16.48</v>
      </c>
      <c r="V16" s="93">
        <v>0.82</v>
      </c>
      <c r="W16" s="93">
        <v>0.56000000000000005</v>
      </c>
      <c r="X16" s="98"/>
      <c r="Y16" s="91"/>
      <c r="Z16" s="99"/>
      <c r="AA16" s="99"/>
      <c r="AB16" s="99"/>
      <c r="AC16" s="99"/>
      <c r="AD16" s="99"/>
      <c r="AE16" s="99"/>
    </row>
    <row r="17" spans="1:31" x14ac:dyDescent="0.3">
      <c r="A17" s="93">
        <f t="shared" si="2"/>
        <v>15</v>
      </c>
      <c r="B17" s="100" t="s">
        <v>182</v>
      </c>
      <c r="C17" s="74" t="s">
        <v>139</v>
      </c>
      <c r="D17" s="100">
        <v>26824737105</v>
      </c>
      <c r="E17" s="100">
        <v>43783903383</v>
      </c>
      <c r="F17" s="100">
        <v>3711910841</v>
      </c>
      <c r="G17" s="100">
        <v>13870411625</v>
      </c>
      <c r="H17" s="100">
        <v>29913491758</v>
      </c>
      <c r="I17" s="100">
        <v>24729486135</v>
      </c>
      <c r="J17" s="100">
        <v>241659459</v>
      </c>
      <c r="K17" s="93">
        <v>7.22</v>
      </c>
      <c r="L17" s="93">
        <v>0.31</v>
      </c>
      <c r="M17" s="93">
        <v>102.33</v>
      </c>
      <c r="N17" s="93">
        <v>0.82</v>
      </c>
      <c r="O17" s="93">
        <v>0.56000000000000005</v>
      </c>
      <c r="P17" s="96">
        <f t="shared" si="0"/>
        <v>23112826264</v>
      </c>
      <c r="Q17" s="97">
        <f t="shared" si="1"/>
        <v>0.6832075134172374</v>
      </c>
      <c r="R17" s="91"/>
      <c r="S17" s="93">
        <v>7.52</v>
      </c>
      <c r="T17" s="93">
        <v>0.31</v>
      </c>
      <c r="U17" s="93">
        <v>844.84</v>
      </c>
      <c r="V17" s="93">
        <v>0.57999999999999996</v>
      </c>
      <c r="W17" s="93">
        <v>0.34</v>
      </c>
      <c r="X17" s="98"/>
      <c r="Y17" s="91"/>
      <c r="Z17" s="99"/>
      <c r="AA17" s="99"/>
      <c r="AB17" s="99"/>
      <c r="AC17" s="99"/>
      <c r="AD17" s="99"/>
      <c r="AE17" s="99"/>
    </row>
    <row r="18" spans="1:31" x14ac:dyDescent="0.3">
      <c r="A18" s="93">
        <f t="shared" si="2"/>
        <v>16</v>
      </c>
      <c r="B18" s="100" t="s">
        <v>140</v>
      </c>
      <c r="C18" s="102" t="s">
        <v>141</v>
      </c>
      <c r="D18" s="100">
        <v>1642739980</v>
      </c>
      <c r="E18" s="100">
        <v>3972087303</v>
      </c>
      <c r="F18" s="100">
        <v>218199331</v>
      </c>
      <c r="G18" s="100">
        <v>1607002741</v>
      </c>
      <c r="H18" s="100">
        <v>2365084562</v>
      </c>
      <c r="I18" s="100">
        <v>1386578734</v>
      </c>
      <c r="J18" s="100">
        <v>55675427</v>
      </c>
      <c r="K18" s="93">
        <v>7.52</v>
      </c>
      <c r="L18" s="93">
        <v>0.4</v>
      </c>
      <c r="M18" s="93">
        <v>24.9</v>
      </c>
      <c r="N18" s="93">
        <v>0.57999999999999996</v>
      </c>
      <c r="O18" s="93">
        <v>0.34</v>
      </c>
      <c r="P18" s="96">
        <f t="shared" si="0"/>
        <v>1424540649</v>
      </c>
      <c r="Q18" s="97">
        <f t="shared" si="1"/>
        <v>0.59542612777259996</v>
      </c>
      <c r="R18" s="91"/>
      <c r="S18" s="93">
        <v>3.04</v>
      </c>
      <c r="T18" s="93">
        <v>0.4</v>
      </c>
      <c r="U18" s="93">
        <v>439.97</v>
      </c>
      <c r="V18" s="93">
        <v>0.3</v>
      </c>
      <c r="W18" s="93">
        <v>0.16</v>
      </c>
      <c r="X18" s="98"/>
      <c r="Y18" s="91"/>
      <c r="Z18" s="99"/>
      <c r="AA18" s="99"/>
      <c r="AB18" s="99"/>
      <c r="AC18" s="99"/>
      <c r="AD18" s="99"/>
      <c r="AE18" s="99"/>
    </row>
    <row r="19" spans="1:31" x14ac:dyDescent="0.3">
      <c r="A19" s="93">
        <f t="shared" si="2"/>
        <v>17</v>
      </c>
      <c r="B19" s="100" t="s">
        <v>183</v>
      </c>
      <c r="C19" s="102" t="s">
        <v>80</v>
      </c>
      <c r="D19" s="100">
        <v>20183853572</v>
      </c>
      <c r="E19" s="100">
        <v>21985138950</v>
      </c>
      <c r="F19" s="100">
        <v>6638531796</v>
      </c>
      <c r="G19" s="100">
        <v>9830329808</v>
      </c>
      <c r="H19" s="100">
        <v>12154809142</v>
      </c>
      <c r="I19" s="100">
        <v>3704027303</v>
      </c>
      <c r="J19" s="100">
        <v>36590611</v>
      </c>
      <c r="K19" s="93">
        <v>3.04</v>
      </c>
      <c r="L19" s="93">
        <v>0.44</v>
      </c>
      <c r="M19" s="93">
        <v>101.22</v>
      </c>
      <c r="N19" s="93">
        <v>0.3</v>
      </c>
      <c r="O19" s="93">
        <v>0.16</v>
      </c>
      <c r="P19" s="96">
        <f t="shared" si="0"/>
        <v>13545321776</v>
      </c>
      <c r="Q19" s="97">
        <f t="shared" si="1"/>
        <v>0.55286478605585521</v>
      </c>
      <c r="R19" s="91"/>
      <c r="S19" s="93">
        <v>4.47</v>
      </c>
      <c r="T19" s="93">
        <v>0.44</v>
      </c>
      <c r="U19" s="93">
        <v>13.49</v>
      </c>
      <c r="V19" s="93">
        <v>0.28999999999999998</v>
      </c>
      <c r="W19" s="93">
        <v>0.2</v>
      </c>
      <c r="X19" s="91"/>
      <c r="Y19" s="91"/>
      <c r="Z19" s="99"/>
      <c r="AA19" s="99"/>
      <c r="AB19" s="99"/>
      <c r="AC19" s="99"/>
      <c r="AD19" s="99"/>
      <c r="AE19" s="99"/>
    </row>
    <row r="20" spans="1:31" x14ac:dyDescent="0.3">
      <c r="A20" s="93">
        <f t="shared" si="2"/>
        <v>18</v>
      </c>
      <c r="B20" s="100" t="s">
        <v>184</v>
      </c>
      <c r="C20" s="102" t="s">
        <v>91</v>
      </c>
      <c r="D20" s="100">
        <v>26520040000</v>
      </c>
      <c r="E20" s="100">
        <v>40633140000</v>
      </c>
      <c r="F20" s="100">
        <v>5929486000</v>
      </c>
      <c r="G20" s="100">
        <v>12079042000</v>
      </c>
      <c r="H20" s="100">
        <v>28554098000</v>
      </c>
      <c r="I20" s="100">
        <v>8496788000</v>
      </c>
      <c r="J20" s="100">
        <v>515281000</v>
      </c>
      <c r="K20" s="93">
        <v>4.47</v>
      </c>
      <c r="L20" s="93">
        <v>0.28999999999999998</v>
      </c>
      <c r="M20" s="93">
        <v>16.48</v>
      </c>
      <c r="N20" s="93">
        <v>0.28999999999999998</v>
      </c>
      <c r="O20" s="93">
        <v>0.2</v>
      </c>
      <c r="P20" s="96">
        <f t="shared" si="0"/>
        <v>20590554000</v>
      </c>
      <c r="Q20" s="97">
        <f t="shared" si="1"/>
        <v>0.70272929928624761</v>
      </c>
      <c r="R20" s="91"/>
      <c r="S20" s="93">
        <v>8.81</v>
      </c>
      <c r="T20" s="93">
        <v>0.28999999999999998</v>
      </c>
      <c r="U20" s="93">
        <v>6.3</v>
      </c>
      <c r="V20" s="93">
        <v>0.43</v>
      </c>
      <c r="W20" s="93">
        <v>0.28999999999999998</v>
      </c>
      <c r="X20" s="91"/>
      <c r="Y20" s="91"/>
      <c r="Z20" s="99"/>
      <c r="AA20" s="99"/>
      <c r="AB20" s="99"/>
      <c r="AC20" s="99"/>
      <c r="AD20" s="99"/>
      <c r="AE20" s="99"/>
    </row>
    <row r="21" spans="1:31" x14ac:dyDescent="0.3">
      <c r="A21" s="93">
        <f t="shared" si="2"/>
        <v>19</v>
      </c>
      <c r="B21" s="100" t="s">
        <v>185</v>
      </c>
      <c r="C21" s="102" t="s">
        <v>142</v>
      </c>
      <c r="D21" s="100">
        <v>11697601426</v>
      </c>
      <c r="E21" s="100">
        <v>14895485312</v>
      </c>
      <c r="F21" s="100">
        <v>639490863</v>
      </c>
      <c r="G21" s="100">
        <v>4738173338</v>
      </c>
      <c r="H21" s="100">
        <v>10157311974</v>
      </c>
      <c r="I21" s="100">
        <v>4447659211</v>
      </c>
      <c r="J21" s="100">
        <v>1250450</v>
      </c>
      <c r="K21" s="93">
        <v>18.29</v>
      </c>
      <c r="L21" s="93">
        <v>0.31</v>
      </c>
      <c r="M21" s="93">
        <v>3556.84</v>
      </c>
      <c r="N21" s="93">
        <v>0.43</v>
      </c>
      <c r="O21" s="93">
        <v>0.28999999999999998</v>
      </c>
      <c r="P21" s="96">
        <f t="shared" si="0"/>
        <v>11058110563</v>
      </c>
      <c r="Q21" s="97">
        <f t="shared" si="1"/>
        <v>0.68190540699047486</v>
      </c>
      <c r="R21" s="91"/>
      <c r="S21" s="93">
        <v>6.39</v>
      </c>
      <c r="T21" s="93">
        <v>0.31</v>
      </c>
      <c r="U21" s="93">
        <v>7.02</v>
      </c>
      <c r="V21" s="93">
        <v>0.56999999999999995</v>
      </c>
      <c r="W21" s="93">
        <v>0.37</v>
      </c>
      <c r="X21" s="91"/>
      <c r="Y21" s="91"/>
      <c r="Z21" s="99"/>
      <c r="AA21" s="99"/>
      <c r="AB21" s="99"/>
      <c r="AC21" s="99"/>
      <c r="AD21" s="99"/>
      <c r="AE21" s="99"/>
    </row>
    <row r="22" spans="1:31" x14ac:dyDescent="0.3">
      <c r="A22" s="93">
        <f t="shared" si="2"/>
        <v>20</v>
      </c>
      <c r="B22" s="100" t="s">
        <v>95</v>
      </c>
      <c r="C22" s="41" t="s">
        <v>72</v>
      </c>
      <c r="D22" s="100">
        <v>2229371878</v>
      </c>
      <c r="E22" s="100">
        <v>2829353145</v>
      </c>
      <c r="F22" s="100">
        <v>252866860</v>
      </c>
      <c r="G22" s="100">
        <v>980999664</v>
      </c>
      <c r="H22" s="100">
        <v>1848353481</v>
      </c>
      <c r="I22" s="100">
        <v>1070834834</v>
      </c>
      <c r="J22" s="100">
        <v>1267500</v>
      </c>
      <c r="K22" s="93">
        <v>8.81</v>
      </c>
      <c r="L22" s="93">
        <v>0.34</v>
      </c>
      <c r="M22" s="93">
        <v>844.84</v>
      </c>
      <c r="N22" s="93">
        <v>0.56999999999999995</v>
      </c>
      <c r="O22" s="93">
        <v>0.37</v>
      </c>
      <c r="P22" s="96">
        <f t="shared" si="0"/>
        <v>1976505018</v>
      </c>
      <c r="Q22" s="97">
        <f t="shared" si="1"/>
        <v>0.6532777586517925</v>
      </c>
      <c r="R22" s="91"/>
      <c r="S22" s="93">
        <v>4.0199999999999996</v>
      </c>
      <c r="T22" s="93">
        <v>0.34</v>
      </c>
      <c r="U22" s="93">
        <v>1004.43</v>
      </c>
      <c r="V22" s="93">
        <v>0.87</v>
      </c>
      <c r="W22" s="93">
        <v>0.55000000000000004</v>
      </c>
      <c r="X22" s="91"/>
      <c r="Y22" s="91"/>
      <c r="Z22" s="99"/>
      <c r="AA22" s="99"/>
      <c r="AB22" s="99"/>
      <c r="AC22" s="99"/>
      <c r="AD22" s="99"/>
      <c r="AE22" s="99"/>
    </row>
    <row r="23" spans="1:31" x14ac:dyDescent="0.3">
      <c r="A23" s="93">
        <f t="shared" si="2"/>
        <v>21</v>
      </c>
      <c r="B23" s="100" t="s">
        <v>186</v>
      </c>
      <c r="C23" s="102" t="s">
        <v>45</v>
      </c>
      <c r="D23" s="100">
        <v>26017930155</v>
      </c>
      <c r="E23" s="100">
        <v>28665382627</v>
      </c>
      <c r="F23" s="100">
        <v>4066648449</v>
      </c>
      <c r="G23" s="100">
        <v>10622804847</v>
      </c>
      <c r="H23" s="100">
        <v>18042577780</v>
      </c>
      <c r="I23" s="100">
        <v>15777258050</v>
      </c>
      <c r="J23" s="100">
        <v>35859452</v>
      </c>
      <c r="K23" s="93">
        <v>6.39</v>
      </c>
      <c r="L23" s="93">
        <v>0.37</v>
      </c>
      <c r="M23" s="93">
        <v>439.97</v>
      </c>
      <c r="N23" s="93">
        <v>0.87</v>
      </c>
      <c r="O23" s="93">
        <v>0.55000000000000004</v>
      </c>
      <c r="P23" s="96">
        <f t="shared" si="0"/>
        <v>21951281706</v>
      </c>
      <c r="Q23" s="97">
        <f t="shared" si="1"/>
        <v>0.62942044119116858</v>
      </c>
      <c r="R23" s="91"/>
      <c r="S23" s="93">
        <v>3.78</v>
      </c>
      <c r="T23" s="93">
        <v>0.37</v>
      </c>
      <c r="U23" s="93">
        <v>5.39</v>
      </c>
      <c r="V23" s="93">
        <v>0.39</v>
      </c>
      <c r="W23" s="93">
        <v>0.2</v>
      </c>
      <c r="X23" s="91"/>
      <c r="Y23" s="91"/>
      <c r="Z23" s="99"/>
      <c r="AA23" s="99"/>
      <c r="AB23" s="99"/>
      <c r="AC23" s="99"/>
      <c r="AD23" s="99"/>
      <c r="AE23" s="99"/>
    </row>
    <row r="24" spans="1:31" x14ac:dyDescent="0.3">
      <c r="A24" s="93">
        <f t="shared" si="2"/>
        <v>22</v>
      </c>
      <c r="B24" s="100" t="s">
        <v>187</v>
      </c>
      <c r="C24" s="102" t="s">
        <v>76</v>
      </c>
      <c r="D24" s="100">
        <v>16251727371</v>
      </c>
      <c r="E24" s="100">
        <v>22312023166</v>
      </c>
      <c r="F24" s="100">
        <v>4041652142</v>
      </c>
      <c r="G24" s="100">
        <v>11011235912</v>
      </c>
      <c r="H24" s="100">
        <v>11300787254</v>
      </c>
      <c r="I24" s="100">
        <v>4469370811</v>
      </c>
      <c r="J24" s="100">
        <v>331093648</v>
      </c>
      <c r="K24" s="93">
        <v>4.0199999999999996</v>
      </c>
      <c r="L24" s="93">
        <v>0.49</v>
      </c>
      <c r="M24" s="93">
        <v>13.49</v>
      </c>
      <c r="N24" s="93">
        <v>0.39</v>
      </c>
      <c r="O24" s="93">
        <v>0.2</v>
      </c>
      <c r="P24" s="96">
        <f t="shared" si="0"/>
        <v>12210075229</v>
      </c>
      <c r="Q24" s="97">
        <f t="shared" si="1"/>
        <v>0.50648868414678838</v>
      </c>
      <c r="R24" s="91"/>
      <c r="S24" s="93">
        <v>1.6</v>
      </c>
      <c r="T24" s="93">
        <v>0.49</v>
      </c>
      <c r="U24" s="103"/>
      <c r="V24" s="93">
        <v>0.19</v>
      </c>
      <c r="W24" s="93">
        <v>0.09</v>
      </c>
      <c r="X24" s="91"/>
      <c r="Y24" s="91"/>
      <c r="Z24" s="99"/>
      <c r="AA24" s="99"/>
      <c r="AB24" s="99"/>
      <c r="AC24" s="99"/>
      <c r="AD24" s="99"/>
      <c r="AE24" s="99"/>
    </row>
    <row r="25" spans="1:31" x14ac:dyDescent="0.3">
      <c r="A25" s="93">
        <f t="shared" si="2"/>
        <v>23</v>
      </c>
      <c r="B25" s="100" t="s">
        <v>188</v>
      </c>
      <c r="C25" s="102" t="s">
        <v>75</v>
      </c>
      <c r="D25" s="100">
        <v>1374731610</v>
      </c>
      <c r="E25" s="100">
        <v>2995570826</v>
      </c>
      <c r="F25" s="100">
        <v>363574298</v>
      </c>
      <c r="G25" s="100">
        <v>1575503371</v>
      </c>
      <c r="H25" s="100">
        <v>1420067455</v>
      </c>
      <c r="I25" s="100">
        <v>283579391</v>
      </c>
      <c r="J25" s="100">
        <v>44941690</v>
      </c>
      <c r="K25" s="93">
        <v>3.78</v>
      </c>
      <c r="L25" s="93">
        <v>0.52</v>
      </c>
      <c r="M25" s="93">
        <v>6.3</v>
      </c>
      <c r="N25" s="93">
        <v>0.19</v>
      </c>
      <c r="O25" s="93">
        <v>0.09</v>
      </c>
      <c r="P25" s="96">
        <f t="shared" si="0"/>
        <v>1011157312</v>
      </c>
      <c r="Q25" s="97">
        <f t="shared" si="1"/>
        <v>0.47405571007520553</v>
      </c>
      <c r="R25" s="91"/>
      <c r="S25" s="93">
        <v>5.78</v>
      </c>
      <c r="T25" s="93">
        <v>0.52</v>
      </c>
      <c r="U25" s="103"/>
      <c r="V25" s="93">
        <v>0.52</v>
      </c>
      <c r="W25" s="93">
        <v>0.25</v>
      </c>
      <c r="X25" s="91"/>
      <c r="Y25" s="91"/>
      <c r="Z25" s="99"/>
      <c r="AA25" s="99"/>
      <c r="AB25" s="99"/>
      <c r="AC25" s="99"/>
      <c r="AD25" s="99"/>
      <c r="AE25" s="99"/>
    </row>
    <row r="26" spans="1:31" x14ac:dyDescent="0.3">
      <c r="A26" s="93">
        <f t="shared" si="2"/>
        <v>24</v>
      </c>
      <c r="B26" s="100" t="s">
        <v>109</v>
      </c>
      <c r="C26" s="102" t="s">
        <v>143</v>
      </c>
      <c r="D26" s="95">
        <v>2263546664</v>
      </c>
      <c r="E26" s="95">
        <v>3248225345</v>
      </c>
      <c r="F26" s="95">
        <v>1411892290</v>
      </c>
      <c r="G26" s="95">
        <v>1692857857</v>
      </c>
      <c r="H26" s="95">
        <v>1555367488</v>
      </c>
      <c r="I26" s="95">
        <v>824267015</v>
      </c>
      <c r="J26" s="95">
        <v>117368783</v>
      </c>
      <c r="K26" s="93">
        <v>1.6</v>
      </c>
      <c r="L26" s="93">
        <v>0.52</v>
      </c>
      <c r="M26" s="93">
        <v>7.02</v>
      </c>
      <c r="N26" s="93">
        <v>0.52</v>
      </c>
      <c r="O26" s="93">
        <v>0.25</v>
      </c>
      <c r="P26" s="96">
        <f t="shared" si="0"/>
        <v>851654374</v>
      </c>
      <c r="Q26" s="97">
        <f t="shared" si="1"/>
        <v>0.47883607902825476</v>
      </c>
      <c r="R26" s="91"/>
      <c r="S26" s="93">
        <v>7.46</v>
      </c>
      <c r="T26" s="93">
        <v>0.52</v>
      </c>
      <c r="U26" s="103"/>
      <c r="V26" s="93">
        <v>0.16</v>
      </c>
      <c r="W26" s="93">
        <v>0.13</v>
      </c>
      <c r="X26" s="91"/>
      <c r="Y26" s="91"/>
      <c r="Z26" s="99"/>
      <c r="AA26" s="99"/>
      <c r="AB26" s="99"/>
      <c r="AC26" s="99"/>
      <c r="AD26" s="99"/>
      <c r="AE26" s="99"/>
    </row>
    <row r="27" spans="1:31" x14ac:dyDescent="0.3">
      <c r="A27" s="93">
        <f t="shared" si="2"/>
        <v>25</v>
      </c>
      <c r="B27" s="100" t="s">
        <v>189</v>
      </c>
      <c r="C27" s="102" t="s">
        <v>70</v>
      </c>
      <c r="D27" s="100">
        <v>13933982562</v>
      </c>
      <c r="E27" s="100">
        <v>22556380890</v>
      </c>
      <c r="F27" s="100">
        <v>2407201280</v>
      </c>
      <c r="G27" s="100">
        <v>4586151089</v>
      </c>
      <c r="H27" s="100">
        <v>17970229801</v>
      </c>
      <c r="I27" s="100">
        <v>2989673711</v>
      </c>
      <c r="J27" s="100">
        <v>2976471</v>
      </c>
      <c r="K27" s="93">
        <v>5.78</v>
      </c>
      <c r="L27" s="93">
        <v>0.2</v>
      </c>
      <c r="M27" s="93">
        <v>1004.43</v>
      </c>
      <c r="N27" s="93">
        <v>0.16</v>
      </c>
      <c r="O27" s="93">
        <v>0.13</v>
      </c>
      <c r="P27" s="96">
        <f t="shared" si="0"/>
        <v>11526781282</v>
      </c>
      <c r="Q27" s="97">
        <f t="shared" si="1"/>
        <v>0.79668054412783951</v>
      </c>
      <c r="R27" s="91"/>
      <c r="S27" s="103"/>
      <c r="T27" s="93">
        <v>0.2</v>
      </c>
      <c r="U27" s="103"/>
      <c r="V27" s="93">
        <v>0.32</v>
      </c>
      <c r="W27" s="93">
        <v>0.19</v>
      </c>
      <c r="X27" s="91"/>
      <c r="Y27" s="91"/>
      <c r="Z27" s="99"/>
      <c r="AA27" s="99"/>
      <c r="AB27" s="99"/>
      <c r="AC27" s="99"/>
      <c r="AD27" s="99"/>
      <c r="AE27" s="99"/>
    </row>
    <row r="28" spans="1:31" x14ac:dyDescent="0.3">
      <c r="A28" s="93">
        <f t="shared" si="2"/>
        <v>26</v>
      </c>
      <c r="B28" s="100" t="s">
        <v>190</v>
      </c>
      <c r="C28" s="102" t="s">
        <v>69</v>
      </c>
      <c r="D28" s="100">
        <v>22747857586</v>
      </c>
      <c r="E28" s="100">
        <v>26748119521</v>
      </c>
      <c r="F28" s="100">
        <v>3049218717</v>
      </c>
      <c r="G28" s="100">
        <v>10754364960</v>
      </c>
      <c r="H28" s="100">
        <v>15993754561</v>
      </c>
      <c r="I28" s="100">
        <v>5239672503</v>
      </c>
      <c r="J28" s="100">
        <v>971078955</v>
      </c>
      <c r="K28" s="93">
        <v>7.46</v>
      </c>
      <c r="L28" s="93">
        <v>0.4</v>
      </c>
      <c r="M28" s="93">
        <v>5.39</v>
      </c>
      <c r="N28" s="93">
        <v>0.32</v>
      </c>
      <c r="O28" s="93">
        <v>0.19</v>
      </c>
      <c r="P28" s="96">
        <f t="shared" si="0"/>
        <v>19698638869</v>
      </c>
      <c r="Q28" s="97">
        <f t="shared" si="1"/>
        <v>0.59793940087800457</v>
      </c>
      <c r="R28" s="91"/>
      <c r="S28" s="103"/>
      <c r="T28" s="93">
        <v>0.4</v>
      </c>
      <c r="U28" s="103"/>
      <c r="V28" s="104"/>
      <c r="W28" s="103"/>
      <c r="X28" s="91"/>
      <c r="Y28" s="91"/>
      <c r="Z28" s="99"/>
      <c r="AA28" s="99"/>
      <c r="AB28" s="99"/>
      <c r="AC28" s="99"/>
      <c r="AD28" s="99"/>
      <c r="AE28" s="99"/>
    </row>
    <row r="29" spans="1:31" ht="40.200000000000003" thickBot="1" x14ac:dyDescent="0.35">
      <c r="A29" s="105"/>
      <c r="B29" s="106"/>
      <c r="C29" s="107" t="s">
        <v>144</v>
      </c>
      <c r="D29" s="95"/>
      <c r="E29" s="95"/>
      <c r="F29" s="95"/>
      <c r="G29" s="95"/>
      <c r="H29" s="95"/>
      <c r="I29" s="95"/>
      <c r="J29" s="95"/>
      <c r="K29" s="108" t="s">
        <v>5</v>
      </c>
      <c r="L29" s="108" t="s">
        <v>1</v>
      </c>
      <c r="M29" s="108" t="s">
        <v>124</v>
      </c>
      <c r="N29" s="108" t="s">
        <v>125</v>
      </c>
      <c r="O29" s="108" t="s">
        <v>4</v>
      </c>
      <c r="P29" s="108" t="s">
        <v>51</v>
      </c>
      <c r="Q29" s="92"/>
      <c r="R29" s="91"/>
      <c r="S29" s="90" t="s">
        <v>5</v>
      </c>
      <c r="T29" s="90" t="s">
        <v>1</v>
      </c>
      <c r="U29" s="90" t="s">
        <v>124</v>
      </c>
      <c r="V29" s="90" t="s">
        <v>125</v>
      </c>
      <c r="W29" s="90" t="s">
        <v>4</v>
      </c>
      <c r="X29" s="109"/>
      <c r="Y29" s="91"/>
      <c r="Z29" s="91"/>
    </row>
    <row r="30" spans="1:31" x14ac:dyDescent="0.3">
      <c r="A30" s="105"/>
      <c r="B30" s="173" t="s">
        <v>145</v>
      </c>
      <c r="C30" s="110" t="s">
        <v>146</v>
      </c>
      <c r="D30" s="111"/>
      <c r="E30" s="111"/>
      <c r="F30" s="111"/>
      <c r="G30" s="111"/>
      <c r="H30" s="111"/>
      <c r="I30" s="111"/>
      <c r="J30" s="111"/>
      <c r="K30" s="112">
        <f t="shared" ref="K30:P30" si="3">+K37-K35</f>
        <v>3.7874999999999996</v>
      </c>
      <c r="L30" s="112">
        <f t="shared" si="3"/>
        <v>0.17749999999999999</v>
      </c>
      <c r="M30" s="112">
        <f t="shared" si="3"/>
        <v>727.75000000000011</v>
      </c>
      <c r="N30" s="112">
        <f t="shared" si="3"/>
        <v>0.25750000000000001</v>
      </c>
      <c r="O30" s="112">
        <f t="shared" si="3"/>
        <v>0.16750000000000001</v>
      </c>
      <c r="P30" s="112">
        <f t="shared" si="3"/>
        <v>11765475150.75</v>
      </c>
      <c r="Q30" s="113"/>
      <c r="R30" s="114" t="s">
        <v>8</v>
      </c>
      <c r="S30" s="115">
        <f>AVERAGE(S3:S26)</f>
        <v>4.8291666666666666</v>
      </c>
      <c r="T30" s="115">
        <f>AVERAGE(T3:T28)</f>
        <v>0.38692307692307687</v>
      </c>
      <c r="U30" s="115">
        <f>AVERAGE(U3:U23)</f>
        <v>139.39809523809521</v>
      </c>
      <c r="V30" s="115">
        <f>AVERAGE(V3:V27)</f>
        <v>0.4168</v>
      </c>
      <c r="W30" s="115">
        <f>AVERAGE(W3:W27)</f>
        <v>0.24200000000000002</v>
      </c>
      <c r="X30" s="113"/>
      <c r="Y30" s="116"/>
      <c r="Z30" s="116"/>
      <c r="AA30" s="117"/>
    </row>
    <row r="31" spans="1:31" x14ac:dyDescent="0.3">
      <c r="A31" s="105"/>
      <c r="B31" s="174"/>
      <c r="C31" s="118" t="s">
        <v>147</v>
      </c>
      <c r="D31" s="95"/>
      <c r="E31" s="95"/>
      <c r="F31" s="95"/>
      <c r="G31" s="95"/>
      <c r="H31" s="95"/>
      <c r="I31" s="95"/>
      <c r="J31" s="95"/>
      <c r="K31" s="119">
        <f t="shared" ref="K31:P31" si="4">+K35-(1.5*K30)</f>
        <v>-2.4562499999999998</v>
      </c>
      <c r="L31" s="119">
        <f t="shared" si="4"/>
        <v>4.6250000000000013E-2</v>
      </c>
      <c r="M31" s="119">
        <f t="shared" si="4"/>
        <v>-1075.7525000000003</v>
      </c>
      <c r="N31" s="119">
        <f t="shared" si="4"/>
        <v>-8.6249999999999993E-2</v>
      </c>
      <c r="O31" s="119">
        <f t="shared" si="4"/>
        <v>-9.1250000000000026E-2</v>
      </c>
      <c r="P31" s="119">
        <f t="shared" si="4"/>
        <v>-7691398097.375</v>
      </c>
      <c r="Q31" s="113"/>
      <c r="R31" s="114" t="s">
        <v>148</v>
      </c>
      <c r="S31" s="115">
        <f>MEDIAN(S3:S26)</f>
        <v>4.9499999999999993</v>
      </c>
      <c r="T31" s="115">
        <f>MEDIAN(T3:T28)</f>
        <v>0.4</v>
      </c>
      <c r="U31" s="115">
        <f>MEDIAN(U3:U23)</f>
        <v>24.9</v>
      </c>
      <c r="V31" s="115">
        <f>MEDIAN(V3:V27)</f>
        <v>0.39</v>
      </c>
      <c r="W31" s="115">
        <f>MEDIAN(W3:W27)</f>
        <v>0.2</v>
      </c>
      <c r="X31" s="113"/>
      <c r="Y31" s="91"/>
      <c r="Z31" s="91"/>
    </row>
    <row r="32" spans="1:31" ht="15" thickBot="1" x14ac:dyDescent="0.35">
      <c r="A32" s="105"/>
      <c r="B32" s="175"/>
      <c r="C32" s="120" t="s">
        <v>149</v>
      </c>
      <c r="D32" s="121"/>
      <c r="E32" s="121"/>
      <c r="F32" s="121"/>
      <c r="G32" s="121"/>
      <c r="H32" s="121"/>
      <c r="I32" s="121"/>
      <c r="J32" s="121"/>
      <c r="K32" s="122">
        <f t="shared" ref="K32:P32" si="5">+K37+(1.5*K30)</f>
        <v>12.693749999999998</v>
      </c>
      <c r="L32" s="122">
        <f t="shared" si="5"/>
        <v>0.75624999999999998</v>
      </c>
      <c r="M32" s="122">
        <f t="shared" si="5"/>
        <v>1835.2475000000004</v>
      </c>
      <c r="N32" s="122">
        <f t="shared" si="5"/>
        <v>0.94374999999999998</v>
      </c>
      <c r="O32" s="122">
        <f t="shared" si="5"/>
        <v>0.5787500000000001</v>
      </c>
      <c r="P32" s="122">
        <f t="shared" si="5"/>
        <v>39370502505.625</v>
      </c>
      <c r="Q32" s="113"/>
      <c r="R32" s="114" t="s">
        <v>150</v>
      </c>
      <c r="S32" s="115">
        <f>_xlfn.QUARTILE.INC(S3:S26,0)</f>
        <v>1.43</v>
      </c>
      <c r="T32" s="115">
        <f>_xlfn.QUARTILE.INC(T3:T28,0)</f>
        <v>0.08</v>
      </c>
      <c r="U32" s="115">
        <f>_xlfn.QUARTILE.INC(U3:U23,0)</f>
        <v>4.9400000000000004</v>
      </c>
      <c r="V32" s="115">
        <f>_xlfn.QUARTILE.INC(V3:V27,0)</f>
        <v>0.13</v>
      </c>
      <c r="W32" s="115">
        <f>_xlfn.QUARTILE.INC(W3:W27,0)</f>
        <v>0.09</v>
      </c>
      <c r="X32" s="113"/>
      <c r="Y32" s="91"/>
      <c r="Z32" s="91"/>
    </row>
    <row r="33" spans="1:26" x14ac:dyDescent="0.3">
      <c r="A33" s="105"/>
      <c r="B33" s="106"/>
      <c r="C33" s="123" t="s">
        <v>8</v>
      </c>
      <c r="D33" s="95"/>
      <c r="E33" s="95"/>
      <c r="F33" s="95"/>
      <c r="G33" s="95"/>
      <c r="H33" s="95"/>
      <c r="I33" s="95"/>
      <c r="J33" s="95"/>
      <c r="K33" s="124">
        <f>AVERAGE(K3:K28)</f>
        <v>6.4307692307692301</v>
      </c>
      <c r="L33" s="124">
        <f t="shared" ref="L33:P33" si="6">AVERAGE(L3:L28)</f>
        <v>0.38692307692307687</v>
      </c>
      <c r="M33" s="124">
        <f t="shared" si="6"/>
        <v>3107.5888461538457</v>
      </c>
      <c r="N33" s="124">
        <f t="shared" si="6"/>
        <v>0.47961538461538455</v>
      </c>
      <c r="O33" s="124">
        <f t="shared" si="6"/>
        <v>0.30461538461538462</v>
      </c>
      <c r="P33" s="124">
        <f t="shared" si="6"/>
        <v>18749379893</v>
      </c>
      <c r="Q33" s="113"/>
      <c r="R33" s="114" t="s">
        <v>151</v>
      </c>
      <c r="S33" s="125">
        <f>_xlfn.QUARTILE.INC(S3:S26,1)</f>
        <v>3.1149999999999998</v>
      </c>
      <c r="T33" s="115">
        <f>_xlfn.QUARTILE.INC(T3:T28,1)</f>
        <v>0.3125</v>
      </c>
      <c r="U33" s="125">
        <f>_xlfn.QUARTILE.INC(U3:U23,1)</f>
        <v>13.49</v>
      </c>
      <c r="V33" s="125">
        <f>_xlfn.QUARTILE.INC(V3:V27,1)</f>
        <v>0.3</v>
      </c>
      <c r="W33" s="125">
        <f>_xlfn.QUARTILE.INC(W3:W27,1)</f>
        <v>0.16</v>
      </c>
      <c r="X33" s="113"/>
      <c r="Y33" s="91"/>
      <c r="Z33" s="91"/>
    </row>
    <row r="34" spans="1:26" x14ac:dyDescent="0.3">
      <c r="A34" s="105"/>
      <c r="B34" s="106"/>
      <c r="C34" s="118" t="s">
        <v>148</v>
      </c>
      <c r="D34" s="95"/>
      <c r="E34" s="106"/>
      <c r="F34" s="106"/>
      <c r="G34" s="106"/>
      <c r="H34" s="106"/>
      <c r="I34" s="106"/>
      <c r="J34" s="106"/>
      <c r="K34" s="119">
        <f>MEDIAN(K3:K28)</f>
        <v>5.4350000000000005</v>
      </c>
      <c r="L34" s="119">
        <f t="shared" ref="L34:P34" si="7">MEDIAN(L3:L28)</f>
        <v>0.4</v>
      </c>
      <c r="M34" s="119">
        <f t="shared" si="7"/>
        <v>35.46</v>
      </c>
      <c r="N34" s="119">
        <f t="shared" si="7"/>
        <v>0.39500000000000002</v>
      </c>
      <c r="O34" s="119">
        <f t="shared" si="7"/>
        <v>0.2</v>
      </c>
      <c r="P34" s="119">
        <f t="shared" si="7"/>
        <v>15394290932</v>
      </c>
      <c r="Q34" s="113"/>
      <c r="R34" s="114" t="s">
        <v>152</v>
      </c>
      <c r="S34" s="115">
        <f>_xlfn.QUARTILE.INC(S3:S26,2)</f>
        <v>4.9499999999999993</v>
      </c>
      <c r="T34" s="115">
        <f>_xlfn.QUARTILE.INC(T3:T28,2)</f>
        <v>0.4</v>
      </c>
      <c r="U34" s="115">
        <f>_xlfn.QUARTILE.INC(U3:U23,2)</f>
        <v>24.9</v>
      </c>
      <c r="V34" s="115">
        <f>_xlfn.QUARTILE.INC(V3:V27,2)</f>
        <v>0.39</v>
      </c>
      <c r="W34" s="115">
        <f>_xlfn.QUARTILE.INC(W3:W27,2)</f>
        <v>0.2</v>
      </c>
      <c r="X34" s="113"/>
      <c r="Y34" s="91"/>
      <c r="Z34" s="91"/>
    </row>
    <row r="35" spans="1:26" x14ac:dyDescent="0.3">
      <c r="A35" s="105"/>
      <c r="B35" s="106"/>
      <c r="C35" s="118" t="s">
        <v>151</v>
      </c>
      <c r="D35" s="95"/>
      <c r="E35" s="95"/>
      <c r="F35" s="95"/>
      <c r="G35" s="106"/>
      <c r="H35" s="106"/>
      <c r="I35" s="106"/>
      <c r="J35" s="106"/>
      <c r="K35" s="119">
        <f>_xlfn.QUARTILE.INC(K3:K28,1)</f>
        <v>3.2249999999999996</v>
      </c>
      <c r="L35" s="119">
        <f t="shared" ref="L35:P35" si="8">_xlfn.QUARTILE.INC(L3:L28,1)</f>
        <v>0.3125</v>
      </c>
      <c r="M35" s="119">
        <f t="shared" si="8"/>
        <v>15.8725</v>
      </c>
      <c r="N35" s="119">
        <f t="shared" si="8"/>
        <v>0.3</v>
      </c>
      <c r="O35" s="119">
        <f t="shared" si="8"/>
        <v>0.16</v>
      </c>
      <c r="P35" s="119">
        <f t="shared" si="8"/>
        <v>9956814628.75</v>
      </c>
      <c r="Q35" s="113"/>
      <c r="R35" s="114" t="s">
        <v>153</v>
      </c>
      <c r="S35" s="115">
        <f>_xlfn.QUARTILE.INC(S3:S26,3)</f>
        <v>6.0225</v>
      </c>
      <c r="T35" s="115">
        <f>_xlfn.QUARTILE.INC(T3:T28,3)</f>
        <v>0.49</v>
      </c>
      <c r="U35" s="115">
        <f>_xlfn.QUARTILE.INC(U3:U23,3)</f>
        <v>101.22</v>
      </c>
      <c r="V35" s="115">
        <f>_xlfn.QUARTILE.INC(V3:V27,3)</f>
        <v>0.52</v>
      </c>
      <c r="W35" s="115">
        <f>_xlfn.QUARTILE.INC(W3:W27,3)</f>
        <v>0.28999999999999998</v>
      </c>
      <c r="X35" s="113"/>
      <c r="Y35" s="91"/>
      <c r="Z35" s="91"/>
    </row>
    <row r="36" spans="1:26" x14ac:dyDescent="0.3">
      <c r="A36" s="105"/>
      <c r="B36" s="106"/>
      <c r="C36" s="118" t="s">
        <v>152</v>
      </c>
      <c r="D36" s="95"/>
      <c r="E36" s="95"/>
      <c r="F36" s="95"/>
      <c r="G36" s="106"/>
      <c r="H36" s="106"/>
      <c r="I36" s="106"/>
      <c r="J36" s="106"/>
      <c r="K36" s="119">
        <f>_xlfn.QUARTILE.INC(K3:K28,2)</f>
        <v>5.4350000000000005</v>
      </c>
      <c r="L36" s="119">
        <f t="shared" ref="L36:P36" si="9">_xlfn.QUARTILE.INC(L3:L28,2)</f>
        <v>0.4</v>
      </c>
      <c r="M36" s="119">
        <f t="shared" si="9"/>
        <v>35.46</v>
      </c>
      <c r="N36" s="119">
        <f t="shared" si="9"/>
        <v>0.39500000000000002</v>
      </c>
      <c r="O36" s="119">
        <f t="shared" si="9"/>
        <v>0.2</v>
      </c>
      <c r="P36" s="119">
        <f t="shared" si="9"/>
        <v>15394290932</v>
      </c>
      <c r="Q36" s="113"/>
      <c r="R36" s="114" t="s">
        <v>154</v>
      </c>
      <c r="S36" s="115">
        <f>_xlfn.QUARTILE.INC(S3:S26,4)</f>
        <v>8.81</v>
      </c>
      <c r="T36" s="125">
        <f>_xlfn.QUARTILE.INC(T3:T28,4)</f>
        <v>0.56000000000000005</v>
      </c>
      <c r="U36" s="115">
        <f>_xlfn.QUARTILE.INC(U3:U23,4)</f>
        <v>1004.43</v>
      </c>
      <c r="V36" s="115">
        <f>_xlfn.QUARTILE.INC(V3:V27,4)</f>
        <v>0.87</v>
      </c>
      <c r="W36" s="115">
        <f>_xlfn.QUARTILE.INC(W3:W27,4)</f>
        <v>0.56000000000000005</v>
      </c>
      <c r="X36" s="113"/>
      <c r="Y36" s="91"/>
      <c r="Z36" s="91"/>
    </row>
    <row r="37" spans="1:26" x14ac:dyDescent="0.3">
      <c r="A37" s="105"/>
      <c r="B37" s="106"/>
      <c r="C37" s="118" t="s">
        <v>153</v>
      </c>
      <c r="D37" s="95"/>
      <c r="E37" s="95"/>
      <c r="F37" s="95"/>
      <c r="G37" s="106"/>
      <c r="H37" s="106"/>
      <c r="I37" s="106"/>
      <c r="J37" s="106"/>
      <c r="K37" s="119">
        <f>_xlfn.QUARTILE.INC(K3:K28,3)</f>
        <v>7.0124999999999993</v>
      </c>
      <c r="L37" s="119">
        <f t="shared" ref="L37:P37" si="10">_xlfn.QUARTILE.INC(L3:L28,3)</f>
        <v>0.49</v>
      </c>
      <c r="M37" s="119">
        <f t="shared" si="10"/>
        <v>743.62250000000006</v>
      </c>
      <c r="N37" s="119">
        <f t="shared" si="10"/>
        <v>0.5575</v>
      </c>
      <c r="O37" s="119">
        <f t="shared" si="10"/>
        <v>0.32750000000000001</v>
      </c>
      <c r="P37" s="119">
        <f t="shared" si="10"/>
        <v>21722289779.5</v>
      </c>
      <c r="Q37" s="113"/>
      <c r="R37" s="114" t="s">
        <v>155</v>
      </c>
      <c r="S37" s="115">
        <f>_xlfn.STDEV.S(S3:S26)</f>
        <v>2.1204714747815694</v>
      </c>
      <c r="T37" s="115">
        <f>_xlfn.STDEV.S(T3:T28)</f>
        <v>0.13217470955577637</v>
      </c>
      <c r="U37" s="115">
        <f>_xlfn.STDEV.S(U3:U23)</f>
        <v>278.91638147694101</v>
      </c>
      <c r="V37" s="115">
        <f>_xlfn.STDEV.S(V3:V27)</f>
        <v>0.19832044776068866</v>
      </c>
      <c r="W37" s="115">
        <f>_xlfn.STDEV.S(W3:W27)</f>
        <v>0.12635927614016576</v>
      </c>
      <c r="X37" s="113"/>
      <c r="Y37" s="91"/>
      <c r="Z37" s="91"/>
    </row>
    <row r="38" spans="1:26" x14ac:dyDescent="0.3">
      <c r="A38" s="105"/>
      <c r="B38" s="106"/>
      <c r="C38" s="118" t="s">
        <v>154</v>
      </c>
      <c r="D38" s="95"/>
      <c r="E38" s="95"/>
      <c r="F38" s="95"/>
      <c r="G38" s="106"/>
      <c r="H38" s="106"/>
      <c r="I38" s="106"/>
      <c r="J38" s="106"/>
      <c r="K38" s="119">
        <f>_xlfn.QUARTILE.INC(K3:K28,4)</f>
        <v>33.01</v>
      </c>
      <c r="L38" s="119">
        <f t="shared" ref="L38:P38" si="11">_xlfn.QUARTILE.INC(L3:L28,4)</f>
        <v>0.56000000000000005</v>
      </c>
      <c r="M38" s="119">
        <f t="shared" si="11"/>
        <v>56376.03</v>
      </c>
      <c r="N38" s="119">
        <f t="shared" si="11"/>
        <v>2.0499999999999998</v>
      </c>
      <c r="O38" s="119">
        <f t="shared" si="11"/>
        <v>1.87</v>
      </c>
      <c r="P38" s="119">
        <f t="shared" si="11"/>
        <v>78018120707</v>
      </c>
      <c r="Q38" s="113"/>
      <c r="R38" s="114" t="s">
        <v>156</v>
      </c>
      <c r="S38" s="126">
        <f t="shared" ref="S38:W38" si="12">+S37/S30</f>
        <v>0.43909676785813345</v>
      </c>
      <c r="T38" s="126">
        <f t="shared" si="12"/>
        <v>0.34160461714216561</v>
      </c>
      <c r="U38" s="126">
        <f t="shared" si="12"/>
        <v>2.0008622140822321</v>
      </c>
      <c r="V38" s="126">
        <f t="shared" si="12"/>
        <v>0.47581681324541425</v>
      </c>
      <c r="W38" s="126">
        <f t="shared" si="12"/>
        <v>0.52214576917423861</v>
      </c>
      <c r="X38" s="127"/>
      <c r="Y38" s="91"/>
      <c r="Z38" s="91"/>
    </row>
    <row r="39" spans="1:26" x14ac:dyDescent="0.3">
      <c r="A39" s="105"/>
      <c r="B39" s="106"/>
      <c r="C39" s="128" t="s">
        <v>155</v>
      </c>
      <c r="D39" s="95"/>
      <c r="E39" s="95"/>
      <c r="F39" s="95"/>
      <c r="G39" s="106"/>
      <c r="H39" s="106"/>
      <c r="I39" s="106"/>
      <c r="J39" s="106"/>
      <c r="K39" s="119">
        <f>_xlfn.STDEV.S(K3:K28)</f>
        <v>6.3626321113683275</v>
      </c>
      <c r="L39" s="119">
        <f t="shared" ref="L39:P39" si="13">_xlfn.STDEV.S(L3:L28)</f>
        <v>0.13217470955577637</v>
      </c>
      <c r="M39" s="119">
        <f t="shared" si="13"/>
        <v>11057.278260323677</v>
      </c>
      <c r="N39" s="119">
        <f t="shared" si="13"/>
        <v>0.37463027928058107</v>
      </c>
      <c r="O39" s="119">
        <f t="shared" si="13"/>
        <v>0.342441011203165</v>
      </c>
      <c r="P39" s="119">
        <f t="shared" si="13"/>
        <v>18508598472.55471</v>
      </c>
      <c r="Q39" s="113"/>
      <c r="R39" s="91"/>
      <c r="S39" s="91"/>
      <c r="T39" s="91"/>
      <c r="U39" s="91"/>
      <c r="V39" s="91"/>
      <c r="W39" s="91"/>
      <c r="X39" s="91"/>
      <c r="Y39" s="91"/>
      <c r="Z39" s="91"/>
    </row>
    <row r="40" spans="1:26" ht="14.4" customHeight="1" x14ac:dyDescent="0.3">
      <c r="A40" s="105"/>
      <c r="B40" s="106"/>
      <c r="C40" s="128" t="s">
        <v>156</v>
      </c>
      <c r="D40" s="95"/>
      <c r="E40" s="95"/>
      <c r="F40" s="95"/>
      <c r="G40" s="106"/>
      <c r="H40" s="106"/>
      <c r="I40" s="106"/>
      <c r="J40" s="106"/>
      <c r="K40" s="126">
        <f>+K39/K33</f>
        <v>0.98940451492569692</v>
      </c>
      <c r="L40" s="126">
        <f t="shared" ref="L40:P40" si="14">+L39/L33</f>
        <v>0.34160461714216561</v>
      </c>
      <c r="M40" s="126">
        <f t="shared" si="14"/>
        <v>3.5581535420970778</v>
      </c>
      <c r="N40" s="126">
        <f t="shared" si="14"/>
        <v>0.78110563442623171</v>
      </c>
      <c r="O40" s="126">
        <f t="shared" si="14"/>
        <v>1.124175036778067</v>
      </c>
      <c r="P40" s="126">
        <f t="shared" si="14"/>
        <v>0.98715789952417654</v>
      </c>
      <c r="Q40" s="127"/>
      <c r="R40" s="91"/>
      <c r="S40" s="91"/>
      <c r="T40" s="91"/>
      <c r="U40" s="91"/>
      <c r="V40" s="91"/>
      <c r="W40" s="91"/>
      <c r="X40" s="91"/>
      <c r="Y40" s="91"/>
      <c r="Z40" s="91"/>
    </row>
    <row r="41" spans="1:26" ht="12" customHeight="1" x14ac:dyDescent="0.3">
      <c r="A41" s="105"/>
      <c r="B41" s="106"/>
      <c r="C41" s="106"/>
      <c r="D41" s="106"/>
      <c r="E41" s="95"/>
      <c r="F41" s="95"/>
      <c r="G41" s="106"/>
      <c r="H41" s="106"/>
      <c r="I41" s="106"/>
      <c r="J41" s="106"/>
      <c r="K41" s="98"/>
      <c r="L41" s="98"/>
      <c r="M41" s="98"/>
      <c r="N41" s="98"/>
      <c r="O41" s="98"/>
      <c r="P41" s="105"/>
      <c r="Q41" s="105"/>
      <c r="R41" s="176" t="s">
        <v>157</v>
      </c>
      <c r="S41" s="176"/>
      <c r="T41" s="176"/>
      <c r="U41" s="176"/>
      <c r="V41" s="176"/>
      <c r="W41" s="176"/>
      <c r="X41" s="176"/>
      <c r="Y41" s="176"/>
      <c r="Z41" s="91"/>
    </row>
    <row r="42" spans="1:26" ht="21.6" customHeight="1" x14ac:dyDescent="0.3">
      <c r="A42" s="105"/>
      <c r="B42" s="106"/>
      <c r="C42" s="106"/>
      <c r="D42" s="106"/>
      <c r="E42" s="95"/>
      <c r="F42" s="95"/>
      <c r="G42" s="106"/>
      <c r="H42" s="106"/>
      <c r="I42" s="106"/>
      <c r="J42" s="106"/>
      <c r="K42" s="98"/>
      <c r="L42" s="98"/>
      <c r="M42" s="98"/>
      <c r="N42" s="98"/>
      <c r="O42" s="98"/>
      <c r="P42" s="105"/>
      <c r="Q42" s="105"/>
      <c r="R42" s="177" t="s">
        <v>158</v>
      </c>
      <c r="S42" s="177"/>
      <c r="T42" s="178" t="s">
        <v>159</v>
      </c>
      <c r="U42" s="178"/>
      <c r="V42" s="178"/>
      <c r="W42" s="178"/>
      <c r="X42" s="129"/>
      <c r="Y42" s="130">
        <f>+S32</f>
        <v>1.43</v>
      </c>
      <c r="Z42" s="91"/>
    </row>
    <row r="43" spans="1:26" ht="21.6" customHeight="1" x14ac:dyDescent="0.3">
      <c r="A43" s="105"/>
      <c r="B43" s="106"/>
      <c r="C43" s="106"/>
      <c r="D43" s="95"/>
      <c r="E43" s="95"/>
      <c r="F43" s="95"/>
      <c r="G43" s="106"/>
      <c r="H43" s="106"/>
      <c r="I43" s="106"/>
      <c r="J43" s="106"/>
      <c r="K43" s="98"/>
      <c r="L43" s="98"/>
      <c r="M43" s="98"/>
      <c r="N43" s="98"/>
      <c r="O43" s="98"/>
      <c r="P43" s="105"/>
      <c r="Q43" s="105"/>
      <c r="R43" s="177" t="s">
        <v>160</v>
      </c>
      <c r="S43" s="177"/>
      <c r="T43" s="178" t="s">
        <v>161</v>
      </c>
      <c r="U43" s="178"/>
      <c r="V43" s="178"/>
      <c r="W43" s="178"/>
      <c r="X43" s="129"/>
      <c r="Y43" s="130">
        <v>0.59</v>
      </c>
      <c r="Z43" s="91"/>
    </row>
    <row r="44" spans="1:26" ht="21.6" customHeight="1" x14ac:dyDescent="0.3">
      <c r="A44" s="105"/>
      <c r="C44" s="106"/>
      <c r="D44" s="95"/>
      <c r="E44" s="95"/>
      <c r="F44" s="95"/>
      <c r="G44" s="106"/>
      <c r="H44" s="106"/>
      <c r="I44" s="106"/>
      <c r="J44" s="106"/>
      <c r="K44" s="98"/>
      <c r="L44" s="98"/>
      <c r="M44" s="98"/>
      <c r="N44" s="98"/>
      <c r="O44" s="98"/>
      <c r="P44" s="105"/>
      <c r="Q44" s="105"/>
      <c r="R44" s="177" t="s">
        <v>162</v>
      </c>
      <c r="S44" s="177"/>
      <c r="T44" s="178" t="s">
        <v>163</v>
      </c>
      <c r="U44" s="178"/>
      <c r="V44" s="178"/>
      <c r="W44" s="178"/>
      <c r="X44" s="129"/>
      <c r="Y44" s="130">
        <f>+U32</f>
        <v>4.9400000000000004</v>
      </c>
      <c r="Z44" s="91"/>
    </row>
    <row r="45" spans="1:26" ht="27.6" customHeight="1" x14ac:dyDescent="0.3">
      <c r="A45" s="105"/>
      <c r="B45" s="106"/>
      <c r="D45" s="95"/>
      <c r="E45" s="95"/>
      <c r="F45" s="95"/>
      <c r="G45" s="106"/>
      <c r="H45" s="106"/>
      <c r="I45" s="106"/>
      <c r="J45" s="106"/>
      <c r="K45" s="98"/>
      <c r="L45" s="98"/>
      <c r="M45" s="98"/>
      <c r="N45" s="98"/>
      <c r="O45" s="98"/>
      <c r="P45" s="105"/>
      <c r="Q45" s="105"/>
      <c r="R45" s="177" t="s">
        <v>164</v>
      </c>
      <c r="S45" s="177"/>
      <c r="T45" s="178" t="s">
        <v>165</v>
      </c>
      <c r="U45" s="178"/>
      <c r="V45" s="178"/>
      <c r="W45" s="178"/>
      <c r="X45" s="129"/>
      <c r="Y45" s="131" t="e">
        <f>+#REF!</f>
        <v>#REF!</v>
      </c>
      <c r="Z45" s="91"/>
    </row>
    <row r="46" spans="1:26" x14ac:dyDescent="0.3">
      <c r="A46" s="105"/>
      <c r="B46" s="106"/>
      <c r="C46" s="106"/>
      <c r="D46" s="95"/>
      <c r="E46" s="95"/>
      <c r="F46" s="95"/>
      <c r="G46" s="106"/>
      <c r="H46" s="106"/>
      <c r="I46" s="106"/>
      <c r="J46" s="106"/>
      <c r="K46" s="98"/>
      <c r="L46" s="98"/>
      <c r="M46" s="98"/>
      <c r="N46" s="98"/>
      <c r="O46" s="98"/>
      <c r="P46" s="105"/>
      <c r="Q46" s="105"/>
      <c r="R46" s="176" t="s">
        <v>166</v>
      </c>
      <c r="S46" s="176"/>
      <c r="T46" s="176"/>
      <c r="U46" s="176"/>
      <c r="V46" s="176"/>
      <c r="W46" s="176"/>
      <c r="X46" s="176"/>
      <c r="Y46" s="176"/>
      <c r="Z46" s="91"/>
    </row>
    <row r="47" spans="1:26" ht="28.2" customHeight="1" x14ac:dyDescent="0.3">
      <c r="A47" s="105"/>
      <c r="B47" s="106"/>
      <c r="C47" s="106"/>
      <c r="D47" s="95"/>
      <c r="E47" s="106"/>
      <c r="F47" s="106"/>
      <c r="G47" s="106"/>
      <c r="H47" s="106"/>
      <c r="I47" s="106"/>
      <c r="J47" s="106"/>
      <c r="K47" s="98"/>
      <c r="L47" s="98"/>
      <c r="M47" s="98"/>
      <c r="N47" s="98"/>
      <c r="O47" s="98"/>
      <c r="P47" s="105"/>
      <c r="Q47" s="105"/>
      <c r="R47" s="177" t="s">
        <v>167</v>
      </c>
      <c r="S47" s="177"/>
      <c r="T47" s="178" t="s">
        <v>168</v>
      </c>
      <c r="U47" s="178"/>
      <c r="V47" s="178"/>
      <c r="W47" s="178"/>
      <c r="X47" s="129"/>
      <c r="Y47" s="130">
        <f>+V33</f>
        <v>0.3</v>
      </c>
      <c r="Z47" s="91"/>
    </row>
    <row r="48" spans="1:26" x14ac:dyDescent="0.3">
      <c r="A48" s="105"/>
      <c r="B48" s="106"/>
      <c r="C48" s="106"/>
      <c r="D48" s="95"/>
      <c r="E48" s="106"/>
      <c r="F48" s="106"/>
      <c r="G48" s="106"/>
      <c r="H48" s="106"/>
      <c r="I48" s="106"/>
      <c r="J48" s="106"/>
      <c r="K48" s="98"/>
      <c r="L48" s="98"/>
      <c r="M48" s="98"/>
      <c r="N48" s="98"/>
      <c r="O48" s="98"/>
      <c r="P48" s="105"/>
      <c r="Q48" s="105"/>
      <c r="R48" s="177" t="s">
        <v>169</v>
      </c>
      <c r="S48" s="177"/>
      <c r="T48" s="178" t="s">
        <v>170</v>
      </c>
      <c r="U48" s="178"/>
      <c r="V48" s="178"/>
      <c r="W48" s="178"/>
      <c r="X48" s="129"/>
      <c r="Y48" s="130">
        <f>+W33</f>
        <v>0.16</v>
      </c>
      <c r="Z48" s="91"/>
    </row>
    <row r="49" spans="1:26" x14ac:dyDescent="0.3">
      <c r="A49" s="105"/>
      <c r="B49" s="106"/>
      <c r="C49" s="106"/>
      <c r="D49" s="95"/>
      <c r="E49" s="106"/>
      <c r="F49" s="106"/>
      <c r="G49" s="106"/>
      <c r="H49" s="106"/>
      <c r="I49" s="106"/>
      <c r="J49" s="106"/>
      <c r="K49" s="98"/>
      <c r="L49" s="98"/>
      <c r="M49" s="98"/>
      <c r="N49" s="98"/>
      <c r="O49" s="98"/>
      <c r="P49" s="105"/>
      <c r="Q49" s="105"/>
      <c r="R49" s="91"/>
      <c r="S49" s="91"/>
      <c r="T49" s="91"/>
      <c r="U49" s="91"/>
      <c r="V49" s="91"/>
      <c r="W49" s="91"/>
      <c r="X49" s="91"/>
      <c r="Y49" s="91"/>
      <c r="Z49" s="91"/>
    </row>
    <row r="52" spans="1:26" x14ac:dyDescent="0.3">
      <c r="Y52" s="131">
        <v>2560000000</v>
      </c>
    </row>
    <row r="54" spans="1:26" x14ac:dyDescent="0.3">
      <c r="Y54" s="133" t="e">
        <f>+Y45/Y52</f>
        <v>#REF!</v>
      </c>
    </row>
  </sheetData>
  <autoFilter ref="A2:O19" xr:uid="{00000000-0001-0000-0000-000000000000}"/>
  <mergeCells count="17">
    <mergeCell ref="R46:Y46"/>
    <mergeCell ref="R47:S47"/>
    <mergeCell ref="T47:W47"/>
    <mergeCell ref="R48:S48"/>
    <mergeCell ref="T48:W48"/>
    <mergeCell ref="R43:S43"/>
    <mergeCell ref="T43:W43"/>
    <mergeCell ref="R44:S44"/>
    <mergeCell ref="T44:W44"/>
    <mergeCell ref="R45:S45"/>
    <mergeCell ref="T45:W45"/>
    <mergeCell ref="K1:O1"/>
    <mergeCell ref="S1:W1"/>
    <mergeCell ref="B30:B32"/>
    <mergeCell ref="R41:Y41"/>
    <mergeCell ref="R42:S42"/>
    <mergeCell ref="T42:W42"/>
  </mergeCells>
  <conditionalFormatting sqref="K3:K28">
    <cfRule type="cellIs" dxfId="9" priority="10" operator="greaterThan">
      <formula>$K$32</formula>
    </cfRule>
  </conditionalFormatting>
  <conditionalFormatting sqref="L3:L28">
    <cfRule type="cellIs" dxfId="8" priority="9" operator="greaterThan">
      <formula>$L$32</formula>
    </cfRule>
  </conditionalFormatting>
  <conditionalFormatting sqref="M3:M28">
    <cfRule type="cellIs" dxfId="7" priority="8" operator="greaterThan">
      <formula>$M$32</formula>
    </cfRule>
  </conditionalFormatting>
  <conditionalFormatting sqref="N3:N28">
    <cfRule type="cellIs" dxfId="6" priority="7" operator="greaterThan">
      <formula>$N$32</formula>
    </cfRule>
  </conditionalFormatting>
  <conditionalFormatting sqref="O3:O28">
    <cfRule type="cellIs" dxfId="5" priority="6" operator="greaterThan">
      <formula>$O$32</formula>
    </cfRule>
  </conditionalFormatting>
  <conditionalFormatting sqref="S3:S26">
    <cfRule type="cellIs" dxfId="4" priority="5" operator="greaterThan">
      <formula>$K$32</formula>
    </cfRule>
  </conditionalFormatting>
  <conditionalFormatting sqref="T3:T28">
    <cfRule type="cellIs" dxfId="3" priority="4" operator="greaterThan">
      <formula>$L$32</formula>
    </cfRule>
  </conditionalFormatting>
  <conditionalFormatting sqref="U3:U23">
    <cfRule type="cellIs" dxfId="2" priority="3" operator="greaterThan">
      <formula>$M$32</formula>
    </cfRule>
  </conditionalFormatting>
  <conditionalFormatting sqref="V3:V27">
    <cfRule type="cellIs" dxfId="1" priority="2" operator="greaterThan">
      <formula>$N$32</formula>
    </cfRule>
  </conditionalFormatting>
  <conditionalFormatting sqref="W3:W27">
    <cfRule type="cellIs" dxfId="0" priority="1" operator="greaterThan">
      <formula>$O$32</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7BD7A-5A72-4E9C-A3B0-5C258CC5F6A5}">
  <dimension ref="A1:X38"/>
  <sheetViews>
    <sheetView showGridLines="0" topLeftCell="A26" zoomScaleNormal="100" workbookViewId="0">
      <selection activeCell="C45" sqref="C45"/>
    </sheetView>
  </sheetViews>
  <sheetFormatPr baseColWidth="10" defaultRowHeight="14.4" x14ac:dyDescent="0.3"/>
  <cols>
    <col min="1" max="1" width="12.44140625" bestFit="1" customWidth="1"/>
    <col min="2" max="2" width="20.77734375" customWidth="1"/>
    <col min="3" max="3" width="13.77734375" customWidth="1"/>
    <col min="4" max="4" width="6.21875" customWidth="1"/>
    <col min="5" max="5" width="8.77734375" bestFit="1" customWidth="1"/>
    <col min="6" max="6" width="14.44140625" bestFit="1" customWidth="1"/>
    <col min="7" max="7" width="12.21875" bestFit="1" customWidth="1"/>
    <col min="8" max="9" width="12.77734375" bestFit="1" customWidth="1"/>
    <col min="10" max="10" width="13.77734375" customWidth="1"/>
    <col min="12" max="12" width="17.77734375" bestFit="1" customWidth="1"/>
    <col min="13" max="13" width="6.5546875" bestFit="1" customWidth="1"/>
    <col min="14" max="14" width="9.21875" bestFit="1" customWidth="1"/>
    <col min="15" max="15" width="13.21875" customWidth="1"/>
    <col min="21" max="21" width="16.77734375" customWidth="1"/>
  </cols>
  <sheetData>
    <row r="1" spans="1:24" x14ac:dyDescent="0.3">
      <c r="A1" s="161" t="s">
        <v>6</v>
      </c>
      <c r="B1" s="161"/>
      <c r="C1" s="161"/>
      <c r="D1" s="161"/>
      <c r="E1" s="161"/>
      <c r="F1" s="161"/>
      <c r="G1" s="161"/>
      <c r="H1" s="161"/>
      <c r="I1" s="161"/>
      <c r="J1" s="4"/>
    </row>
    <row r="2" spans="1:24" x14ac:dyDescent="0.3">
      <c r="A2" s="161"/>
      <c r="B2" s="161"/>
      <c r="C2" s="161"/>
      <c r="D2" s="161"/>
      <c r="E2" s="161"/>
      <c r="F2" s="161"/>
      <c r="G2" s="161"/>
      <c r="H2" s="161"/>
      <c r="I2" s="161"/>
      <c r="J2" s="4"/>
      <c r="K2" s="8" t="s">
        <v>107</v>
      </c>
      <c r="N2" s="81">
        <v>3.51</v>
      </c>
      <c r="O2" s="81">
        <v>0.5</v>
      </c>
      <c r="P2" s="81">
        <v>7.14</v>
      </c>
      <c r="Q2" s="81">
        <v>0.41</v>
      </c>
      <c r="R2" s="81">
        <v>0.2</v>
      </c>
    </row>
    <row r="3" spans="1:24" x14ac:dyDescent="0.3">
      <c r="A3" s="161" t="s">
        <v>32</v>
      </c>
      <c r="B3" s="161"/>
      <c r="C3" s="161"/>
      <c r="D3" s="161"/>
      <c r="E3" s="161"/>
      <c r="F3" s="161"/>
      <c r="G3" s="161"/>
      <c r="H3" s="161"/>
      <c r="I3" s="161"/>
      <c r="J3" s="4"/>
    </row>
    <row r="4" spans="1:24" ht="30.6" x14ac:dyDescent="0.3">
      <c r="A4" s="38" t="s">
        <v>30</v>
      </c>
      <c r="B4" s="32" t="s">
        <v>0</v>
      </c>
      <c r="C4" s="183" t="s">
        <v>51</v>
      </c>
      <c r="D4" s="184"/>
      <c r="E4" s="33" t="s">
        <v>5</v>
      </c>
      <c r="F4" s="33" t="s">
        <v>1</v>
      </c>
      <c r="G4" s="33" t="s">
        <v>2</v>
      </c>
      <c r="H4" s="33" t="s">
        <v>3</v>
      </c>
      <c r="I4" s="33" t="s">
        <v>4</v>
      </c>
      <c r="J4" s="5"/>
      <c r="K4" s="80" t="s">
        <v>31</v>
      </c>
      <c r="L4" s="182" t="s">
        <v>52</v>
      </c>
      <c r="M4" s="182"/>
      <c r="N4" s="80" t="s">
        <v>53</v>
      </c>
      <c r="O4" s="80" t="s">
        <v>54</v>
      </c>
      <c r="P4" s="80" t="s">
        <v>55</v>
      </c>
      <c r="Q4" s="80" t="s">
        <v>56</v>
      </c>
      <c r="R4" s="80" t="s">
        <v>57</v>
      </c>
    </row>
    <row r="5" spans="1:24" ht="25.5" customHeight="1" x14ac:dyDescent="0.3">
      <c r="A5" s="69" t="s">
        <v>81</v>
      </c>
      <c r="B5" s="59" t="s">
        <v>69</v>
      </c>
      <c r="C5" s="58">
        <v>19698638869</v>
      </c>
      <c r="D5" s="60">
        <f t="shared" ref="D5:D28" si="0">C5/$C$38</f>
        <v>3.1452882912658766</v>
      </c>
      <c r="E5" s="72">
        <v>7.46</v>
      </c>
      <c r="F5" s="72">
        <v>0.4</v>
      </c>
      <c r="G5" s="72">
        <v>5.39</v>
      </c>
      <c r="H5" s="72">
        <v>0.32</v>
      </c>
      <c r="I5" s="72">
        <v>0.19</v>
      </c>
      <c r="J5" s="6"/>
      <c r="K5" s="1" t="s">
        <v>12</v>
      </c>
      <c r="L5" s="11">
        <f t="shared" ref="L5:R5" si="1">AVERAGE(C5:C28)</f>
        <v>20509766559.25</v>
      </c>
      <c r="M5" s="18">
        <f t="shared" si="1"/>
        <v>3.2748013222844694</v>
      </c>
      <c r="N5" s="2">
        <f t="shared" si="1"/>
        <v>4.9091304347826084</v>
      </c>
      <c r="O5" s="2">
        <f t="shared" si="1"/>
        <v>0.43565217391304345</v>
      </c>
      <c r="P5" s="78">
        <f t="shared" si="1"/>
        <v>88.28</v>
      </c>
      <c r="Q5" s="2">
        <f t="shared" si="1"/>
        <v>0.43043478260869572</v>
      </c>
      <c r="R5" s="2">
        <f t="shared" si="1"/>
        <v>0.24217391304347832</v>
      </c>
    </row>
    <row r="6" spans="1:24" ht="26.25" customHeight="1" x14ac:dyDescent="0.3">
      <c r="A6" s="69" t="s">
        <v>82</v>
      </c>
      <c r="B6" s="59" t="s">
        <v>70</v>
      </c>
      <c r="C6" s="58">
        <v>11526781282</v>
      </c>
      <c r="D6" s="60">
        <f t="shared" si="0"/>
        <v>1.8404850428174664</v>
      </c>
      <c r="E6" s="72">
        <v>5.78</v>
      </c>
      <c r="F6" s="72">
        <v>0.2</v>
      </c>
      <c r="G6" s="72" t="s">
        <v>90</v>
      </c>
      <c r="H6" s="72">
        <v>0.16</v>
      </c>
      <c r="I6" s="72">
        <v>0.13</v>
      </c>
      <c r="J6" s="6"/>
      <c r="K6" s="73" t="s">
        <v>13</v>
      </c>
      <c r="L6" s="11">
        <f t="shared" ref="L6:R6" si="2">STDEV(C5:C28)</f>
        <v>22053199162.035133</v>
      </c>
      <c r="M6" s="18">
        <f t="shared" si="2"/>
        <v>3.5212417249022256</v>
      </c>
      <c r="N6" s="2">
        <f t="shared" si="2"/>
        <v>3.6211887965687812</v>
      </c>
      <c r="O6" s="2">
        <f t="shared" si="2"/>
        <v>9.2236163631316342E-2</v>
      </c>
      <c r="P6" s="78">
        <f t="shared" si="2"/>
        <v>197.45362817633921</v>
      </c>
      <c r="Q6" s="2">
        <f t="shared" si="2"/>
        <v>0.2249743068334199</v>
      </c>
      <c r="R6" s="2">
        <f t="shared" si="2"/>
        <v>0.14631710649194066</v>
      </c>
    </row>
    <row r="7" spans="1:24" ht="35.25" customHeight="1" x14ac:dyDescent="0.3">
      <c r="A7" s="69" t="s">
        <v>38</v>
      </c>
      <c r="B7" s="59" t="s">
        <v>37</v>
      </c>
      <c r="C7" s="58">
        <v>27289921008</v>
      </c>
      <c r="D7" s="60">
        <f t="shared" si="0"/>
        <v>4.3573908627317488</v>
      </c>
      <c r="E7" s="72">
        <v>2.21</v>
      </c>
      <c r="F7" s="72">
        <v>0.51</v>
      </c>
      <c r="G7" s="72">
        <v>19.82</v>
      </c>
      <c r="H7" s="72">
        <v>0.47</v>
      </c>
      <c r="I7" s="72">
        <v>0.23</v>
      </c>
      <c r="J7" s="6"/>
      <c r="K7" s="73" t="s">
        <v>10</v>
      </c>
      <c r="L7" s="11">
        <f t="shared" ref="L7:R7" si="3">MEDIAN(C5:C28)</f>
        <v>15394290932</v>
      </c>
      <c r="M7" s="18">
        <f t="shared" si="3"/>
        <v>2.4580116089624049</v>
      </c>
      <c r="N7" s="2">
        <f t="shared" si="3"/>
        <v>3.52</v>
      </c>
      <c r="O7" s="2">
        <f t="shared" si="3"/>
        <v>0.47</v>
      </c>
      <c r="P7" s="78">
        <f t="shared" si="3"/>
        <v>18.190000000000001</v>
      </c>
      <c r="Q7" s="2">
        <f t="shared" si="3"/>
        <v>0.36</v>
      </c>
      <c r="R7" s="2">
        <f t="shared" si="3"/>
        <v>0.2</v>
      </c>
    </row>
    <row r="8" spans="1:24" ht="24" customHeight="1" x14ac:dyDescent="0.3">
      <c r="A8" s="70" t="s">
        <v>62</v>
      </c>
      <c r="B8" s="71" t="s">
        <v>71</v>
      </c>
      <c r="C8" s="58">
        <v>27287284692</v>
      </c>
      <c r="D8" s="60">
        <f t="shared" si="0"/>
        <v>4.3569699212696502</v>
      </c>
      <c r="E8" s="72">
        <v>3.51</v>
      </c>
      <c r="F8" s="72">
        <v>0.5</v>
      </c>
      <c r="G8" s="72">
        <v>7.14</v>
      </c>
      <c r="H8" s="72">
        <v>0.41</v>
      </c>
      <c r="I8" s="72">
        <v>0.2</v>
      </c>
      <c r="J8" s="6"/>
      <c r="K8" s="73" t="s">
        <v>11</v>
      </c>
      <c r="L8" s="11">
        <f t="shared" ref="L8:R8" si="4">_xlfn.QUARTILE.INC(C5:C28,1)</f>
        <v>8810293124</v>
      </c>
      <c r="M8" s="18">
        <f t="shared" si="4"/>
        <v>1.4067424652952281</v>
      </c>
      <c r="N8" s="77">
        <f t="shared" si="4"/>
        <v>2.7800000000000002</v>
      </c>
      <c r="O8" s="77">
        <f t="shared" si="4"/>
        <v>0.38500000000000001</v>
      </c>
      <c r="P8" s="78">
        <f t="shared" si="4"/>
        <v>7.14</v>
      </c>
      <c r="Q8" s="2">
        <f t="shared" si="4"/>
        <v>0.29499999999999998</v>
      </c>
      <c r="R8" s="2">
        <f t="shared" si="4"/>
        <v>0.155</v>
      </c>
    </row>
    <row r="9" spans="1:24" ht="25.5" customHeight="1" x14ac:dyDescent="0.3">
      <c r="A9" s="69" t="s">
        <v>63</v>
      </c>
      <c r="B9" s="59" t="s">
        <v>64</v>
      </c>
      <c r="C9" s="58">
        <v>9589715984</v>
      </c>
      <c r="D9" s="60">
        <f t="shared" si="0"/>
        <v>1.5311931754080439</v>
      </c>
      <c r="E9" s="72">
        <v>2.37</v>
      </c>
      <c r="F9" s="72">
        <v>0.5</v>
      </c>
      <c r="G9" s="72">
        <v>17.47</v>
      </c>
      <c r="H9" s="72">
        <v>0.49</v>
      </c>
      <c r="I9" s="72">
        <v>0.24</v>
      </c>
      <c r="J9" s="6"/>
      <c r="K9" s="74" t="s">
        <v>49</v>
      </c>
      <c r="L9" s="11">
        <f t="shared" ref="L9:R9" si="5">_xlfn.QUARTILE.INC(C5:C28,2)</f>
        <v>15394290932</v>
      </c>
      <c r="M9" s="18">
        <f t="shared" si="5"/>
        <v>2.4580116089624049</v>
      </c>
      <c r="N9" s="2">
        <f t="shared" si="5"/>
        <v>3.52</v>
      </c>
      <c r="O9" s="2">
        <f t="shared" si="5"/>
        <v>0.47</v>
      </c>
      <c r="P9" s="78">
        <f t="shared" si="5"/>
        <v>18.190000000000001</v>
      </c>
      <c r="Q9" s="2">
        <f t="shared" si="5"/>
        <v>0.36</v>
      </c>
      <c r="R9" s="2">
        <f t="shared" si="5"/>
        <v>0.2</v>
      </c>
    </row>
    <row r="10" spans="1:24" ht="25.5" customHeight="1" x14ac:dyDescent="0.3">
      <c r="A10" s="69" t="s">
        <v>34</v>
      </c>
      <c r="B10" s="59" t="s">
        <v>74</v>
      </c>
      <c r="C10" s="58">
        <v>6472024544</v>
      </c>
      <c r="D10" s="60">
        <f t="shared" si="0"/>
        <v>1.033390334956781</v>
      </c>
      <c r="E10" s="72">
        <v>2.58</v>
      </c>
      <c r="F10" s="72">
        <v>0.47</v>
      </c>
      <c r="G10" s="72">
        <v>19.57</v>
      </c>
      <c r="H10" s="72">
        <v>0.27</v>
      </c>
      <c r="I10" s="72">
        <v>0.14000000000000001</v>
      </c>
      <c r="J10" s="6"/>
      <c r="K10" s="74" t="s">
        <v>50</v>
      </c>
      <c r="L10" s="11">
        <f t="shared" ref="L10:R10" si="6">_xlfn.QUARTILE.INC(C5:C28,3)</f>
        <v>22241667845.5</v>
      </c>
      <c r="M10" s="18">
        <f t="shared" si="6"/>
        <v>3.5513345829577729</v>
      </c>
      <c r="N10" s="2">
        <f t="shared" si="6"/>
        <v>6.085</v>
      </c>
      <c r="O10" s="2">
        <f t="shared" si="6"/>
        <v>0.495</v>
      </c>
      <c r="P10" s="78">
        <f t="shared" si="6"/>
        <v>69.510000000000005</v>
      </c>
      <c r="Q10" s="2">
        <f t="shared" si="6"/>
        <v>0.48</v>
      </c>
      <c r="R10" s="2">
        <f t="shared" si="6"/>
        <v>0.26500000000000001</v>
      </c>
    </row>
    <row r="11" spans="1:24" ht="19.5" customHeight="1" x14ac:dyDescent="0.3">
      <c r="A11" s="69" t="s">
        <v>83</v>
      </c>
      <c r="B11" s="59" t="s">
        <v>75</v>
      </c>
      <c r="C11" s="58">
        <v>1011157312</v>
      </c>
      <c r="D11" s="60">
        <f t="shared" si="0"/>
        <v>0.16145182797713417</v>
      </c>
      <c r="E11" s="72">
        <v>3.78</v>
      </c>
      <c r="F11" s="72">
        <v>0.52</v>
      </c>
      <c r="G11" s="72">
        <v>6.3</v>
      </c>
      <c r="H11" s="72">
        <v>0.19</v>
      </c>
      <c r="I11" s="72">
        <v>0.09</v>
      </c>
      <c r="J11" s="6"/>
      <c r="K11" s="73" t="s">
        <v>58</v>
      </c>
      <c r="L11" s="75">
        <f t="shared" ref="L11:R11" si="7">MAX(C5:C28)</f>
        <v>90722403787</v>
      </c>
      <c r="M11" s="18">
        <f t="shared" si="7"/>
        <v>14.485676715247678</v>
      </c>
      <c r="N11" s="2">
        <f t="shared" si="7"/>
        <v>18.29</v>
      </c>
      <c r="O11" s="2">
        <f t="shared" si="7"/>
        <v>0.56000000000000005</v>
      </c>
      <c r="P11" s="78">
        <f t="shared" si="7"/>
        <v>844.84</v>
      </c>
      <c r="Q11" s="2">
        <f t="shared" si="7"/>
        <v>1.01</v>
      </c>
      <c r="R11" s="2">
        <f t="shared" si="7"/>
        <v>0.59</v>
      </c>
    </row>
    <row r="12" spans="1:24" ht="21.75" customHeight="1" x14ac:dyDescent="0.3">
      <c r="A12" s="69" t="s">
        <v>84</v>
      </c>
      <c r="B12" s="59" t="s">
        <v>76</v>
      </c>
      <c r="C12" s="58">
        <v>12210075229</v>
      </c>
      <c r="D12" s="60">
        <f t="shared" si="0"/>
        <v>1.9495868170712247</v>
      </c>
      <c r="E12" s="72">
        <v>4.0199999999999996</v>
      </c>
      <c r="F12" s="72">
        <v>0.49</v>
      </c>
      <c r="G12" s="72">
        <v>13.49</v>
      </c>
      <c r="H12" s="72">
        <v>0.39</v>
      </c>
      <c r="I12" s="72">
        <v>0.2</v>
      </c>
      <c r="J12" s="6"/>
      <c r="K12" s="73" t="s">
        <v>59</v>
      </c>
      <c r="L12" s="76">
        <f t="shared" ref="L12:R12" si="8">MIN(C5:C28)</f>
        <v>851654374</v>
      </c>
      <c r="M12" s="18">
        <f t="shared" si="8"/>
        <v>0.13598394023878838</v>
      </c>
      <c r="N12" s="77">
        <f t="shared" si="8"/>
        <v>1.43</v>
      </c>
      <c r="O12" s="2">
        <f t="shared" si="8"/>
        <v>0.2</v>
      </c>
      <c r="P12" s="79">
        <f t="shared" si="8"/>
        <v>4.9400000000000004</v>
      </c>
      <c r="Q12" s="2">
        <f t="shared" si="8"/>
        <v>0.16</v>
      </c>
      <c r="R12" s="2">
        <f t="shared" si="8"/>
        <v>0.09</v>
      </c>
    </row>
    <row r="13" spans="1:24" x14ac:dyDescent="0.3">
      <c r="A13" s="69" t="s">
        <v>42</v>
      </c>
      <c r="B13" s="59" t="s">
        <v>41</v>
      </c>
      <c r="C13" s="58">
        <v>21035314000</v>
      </c>
      <c r="D13" s="60">
        <f t="shared" si="0"/>
        <v>3.3587156588479501</v>
      </c>
      <c r="E13" s="72">
        <v>1.43</v>
      </c>
      <c r="F13" s="72">
        <v>0.55000000000000004</v>
      </c>
      <c r="G13" s="72">
        <v>4.9400000000000004</v>
      </c>
      <c r="H13" s="72">
        <v>0.35</v>
      </c>
      <c r="I13" s="72">
        <v>0.16</v>
      </c>
      <c r="J13" s="6"/>
    </row>
    <row r="14" spans="1:24" ht="21.6" x14ac:dyDescent="0.3">
      <c r="A14" s="69" t="s">
        <v>85</v>
      </c>
      <c r="B14" s="59" t="s">
        <v>78</v>
      </c>
      <c r="C14" s="58">
        <v>1528138840</v>
      </c>
      <c r="D14" s="60">
        <f t="shared" si="0"/>
        <v>0.24399844237180118</v>
      </c>
      <c r="E14" s="72">
        <v>2.69</v>
      </c>
      <c r="F14" s="72">
        <v>0.47</v>
      </c>
      <c r="G14" s="72">
        <v>5.62</v>
      </c>
      <c r="H14" s="72">
        <v>0.23</v>
      </c>
      <c r="I14" s="72">
        <v>0.12</v>
      </c>
      <c r="J14" s="6"/>
      <c r="K14" s="166" t="s">
        <v>5</v>
      </c>
      <c r="L14" s="166"/>
      <c r="M14" s="166"/>
      <c r="N14" s="166"/>
      <c r="O14" s="3" t="s">
        <v>16</v>
      </c>
      <c r="P14" s="167" t="s">
        <v>21</v>
      </c>
      <c r="Q14" s="167"/>
      <c r="R14" s="167"/>
      <c r="S14" s="167"/>
      <c r="T14" s="167"/>
      <c r="U14" s="167"/>
    </row>
    <row r="15" spans="1:24" ht="21.6" x14ac:dyDescent="0.3">
      <c r="A15" s="69" t="s">
        <v>86</v>
      </c>
      <c r="B15" s="59" t="s">
        <v>43</v>
      </c>
      <c r="C15" s="58">
        <v>90722403787</v>
      </c>
      <c r="D15" s="60">
        <f t="shared" si="0"/>
        <v>14.485676715247678</v>
      </c>
      <c r="E15" s="72">
        <v>5.14</v>
      </c>
      <c r="F15" s="72">
        <v>0.48</v>
      </c>
      <c r="G15" s="72">
        <v>5.37</v>
      </c>
      <c r="H15" s="72">
        <v>0.36</v>
      </c>
      <c r="I15" s="72">
        <v>0.18</v>
      </c>
      <c r="J15" s="6"/>
      <c r="K15" s="166" t="s">
        <v>1</v>
      </c>
      <c r="L15" s="166"/>
      <c r="M15" s="166"/>
      <c r="N15" s="166"/>
      <c r="O15" s="3" t="s">
        <v>17</v>
      </c>
      <c r="P15" s="179" t="s">
        <v>22</v>
      </c>
      <c r="Q15" s="179"/>
      <c r="R15" s="179"/>
      <c r="S15" s="179"/>
      <c r="T15" s="179"/>
      <c r="U15" s="179"/>
    </row>
    <row r="16" spans="1:24" ht="27.75" customHeight="1" x14ac:dyDescent="0.3">
      <c r="A16" s="69" t="s">
        <v>46</v>
      </c>
      <c r="B16" s="59" t="s">
        <v>45</v>
      </c>
      <c r="C16" s="58">
        <v>21951281706</v>
      </c>
      <c r="D16" s="60">
        <f t="shared" si="0"/>
        <v>3.5049685304305296</v>
      </c>
      <c r="E16" s="72">
        <v>6.39</v>
      </c>
      <c r="F16" s="72">
        <v>0.37</v>
      </c>
      <c r="G16" s="72">
        <v>439.97</v>
      </c>
      <c r="H16" s="72">
        <v>0.87</v>
      </c>
      <c r="I16" s="72">
        <v>0.55000000000000004</v>
      </c>
      <c r="J16" s="6"/>
      <c r="K16" s="166" t="s">
        <v>2</v>
      </c>
      <c r="L16" s="166"/>
      <c r="M16" s="166"/>
      <c r="N16" s="166"/>
      <c r="O16" s="14" t="s">
        <v>18</v>
      </c>
      <c r="P16" s="167" t="s">
        <v>23</v>
      </c>
      <c r="Q16" s="167"/>
      <c r="R16" s="167"/>
      <c r="S16" s="167"/>
      <c r="T16" s="167"/>
      <c r="U16" s="167"/>
      <c r="V16" s="167"/>
      <c r="W16" s="167"/>
      <c r="X16" s="167"/>
    </row>
    <row r="17" spans="1:24" ht="21.75" customHeight="1" x14ac:dyDescent="0.3">
      <c r="A17" s="69" t="s">
        <v>87</v>
      </c>
      <c r="B17" s="59" t="s">
        <v>79</v>
      </c>
      <c r="C17" s="58">
        <v>78018120707</v>
      </c>
      <c r="D17" s="60">
        <f t="shared" si="0"/>
        <v>12.457179564445314</v>
      </c>
      <c r="E17" s="72">
        <v>3.13</v>
      </c>
      <c r="F17" s="72">
        <v>0.49</v>
      </c>
      <c r="G17" s="72">
        <v>24.91</v>
      </c>
      <c r="H17" s="72">
        <v>0.36</v>
      </c>
      <c r="I17" s="72">
        <v>0.18</v>
      </c>
      <c r="J17" s="7"/>
      <c r="K17" s="166" t="s">
        <v>14</v>
      </c>
      <c r="L17" s="166"/>
      <c r="M17" s="166"/>
      <c r="N17" s="166"/>
      <c r="O17" s="3" t="s">
        <v>19</v>
      </c>
      <c r="P17" s="167" t="s">
        <v>24</v>
      </c>
      <c r="Q17" s="167"/>
      <c r="R17" s="167"/>
      <c r="S17" s="167"/>
      <c r="T17" s="167"/>
      <c r="U17" s="167"/>
      <c r="V17" s="167"/>
      <c r="W17" s="167"/>
      <c r="X17" s="167"/>
    </row>
    <row r="18" spans="1:24" ht="22.5" customHeight="1" x14ac:dyDescent="0.3">
      <c r="A18" s="69" t="s">
        <v>95</v>
      </c>
      <c r="B18" s="59" t="s">
        <v>72</v>
      </c>
      <c r="C18" s="58">
        <v>1976505018</v>
      </c>
      <c r="D18" s="60">
        <f t="shared" si="0"/>
        <v>0.31558922076219781</v>
      </c>
      <c r="E18" s="72">
        <v>8.81</v>
      </c>
      <c r="F18" s="72">
        <v>0.34</v>
      </c>
      <c r="G18" s="72">
        <v>844.84</v>
      </c>
      <c r="H18" s="72">
        <v>0.56999999999999995</v>
      </c>
      <c r="I18" s="72">
        <v>0.37</v>
      </c>
      <c r="J18" s="4"/>
      <c r="K18" s="166" t="s">
        <v>15</v>
      </c>
      <c r="L18" s="166"/>
      <c r="M18" s="166"/>
      <c r="N18" s="166"/>
      <c r="O18" s="3" t="s">
        <v>20</v>
      </c>
      <c r="P18" s="167" t="s">
        <v>25</v>
      </c>
      <c r="Q18" s="167"/>
      <c r="R18" s="167"/>
      <c r="S18" s="167"/>
      <c r="T18" s="167"/>
      <c r="U18" s="167"/>
      <c r="V18" s="167"/>
      <c r="W18" s="167"/>
      <c r="X18" s="167"/>
    </row>
    <row r="19" spans="1:24" ht="20.399999999999999" x14ac:dyDescent="0.3">
      <c r="A19" s="69" t="s">
        <v>96</v>
      </c>
      <c r="B19" s="59" t="s">
        <v>73</v>
      </c>
      <c r="C19" s="58">
        <v>11105994836</v>
      </c>
      <c r="D19" s="60">
        <f t="shared" si="0"/>
        <v>1.773297929508334</v>
      </c>
      <c r="E19" s="72">
        <v>2.87</v>
      </c>
      <c r="F19" s="72">
        <v>0.47</v>
      </c>
      <c r="G19" s="72">
        <v>69.510000000000005</v>
      </c>
      <c r="H19" s="72">
        <v>0.17</v>
      </c>
      <c r="I19" s="72">
        <v>0.09</v>
      </c>
      <c r="J19" s="4"/>
      <c r="K19" s="180" t="s">
        <v>9</v>
      </c>
      <c r="L19" s="180"/>
      <c r="M19" s="180"/>
      <c r="N19" s="180"/>
      <c r="O19" s="181" t="s">
        <v>26</v>
      </c>
      <c r="P19" s="181"/>
      <c r="Q19" s="181"/>
      <c r="R19" s="181"/>
      <c r="S19" s="181"/>
      <c r="T19" s="181"/>
      <c r="U19" s="181"/>
      <c r="V19" s="181"/>
      <c r="W19" s="181"/>
      <c r="X19" s="181"/>
    </row>
    <row r="20" spans="1:24" ht="17.25" customHeight="1" x14ac:dyDescent="0.3">
      <c r="A20" s="69" t="s">
        <v>97</v>
      </c>
      <c r="B20" s="59" t="s">
        <v>77</v>
      </c>
      <c r="C20" s="58">
        <v>11058110563</v>
      </c>
      <c r="D20" s="60">
        <f t="shared" si="0"/>
        <v>1.7656522315388314</v>
      </c>
      <c r="E20" s="72">
        <v>18.29</v>
      </c>
      <c r="F20" s="72">
        <v>0.31</v>
      </c>
      <c r="G20" s="72" t="s">
        <v>102</v>
      </c>
      <c r="H20" s="72">
        <v>0.43</v>
      </c>
      <c r="I20" s="72">
        <v>0.28999999999999998</v>
      </c>
      <c r="J20" s="8" t="s">
        <v>60</v>
      </c>
      <c r="K20" s="169" t="s">
        <v>10</v>
      </c>
      <c r="L20" s="169"/>
      <c r="M20" s="169"/>
      <c r="N20" s="169"/>
      <c r="O20" s="167" t="s">
        <v>27</v>
      </c>
      <c r="P20" s="167"/>
      <c r="Q20" s="167"/>
      <c r="R20" s="167"/>
      <c r="S20" s="167"/>
      <c r="T20" s="167"/>
      <c r="U20" s="167"/>
      <c r="V20" s="167"/>
      <c r="W20" s="167"/>
      <c r="X20" s="167"/>
    </row>
    <row r="21" spans="1:24" ht="20.399999999999999" x14ac:dyDescent="0.3">
      <c r="A21" s="69" t="s">
        <v>98</v>
      </c>
      <c r="B21" s="59" t="s">
        <v>103</v>
      </c>
      <c r="C21" s="58">
        <v>17491708382</v>
      </c>
      <c r="D21" s="60">
        <f t="shared" si="0"/>
        <v>2.7929069583950752</v>
      </c>
      <c r="E21" s="72">
        <v>3.52</v>
      </c>
      <c r="F21" s="72">
        <v>0.46</v>
      </c>
      <c r="G21" s="72">
        <v>36.39</v>
      </c>
      <c r="H21" s="72">
        <v>0.67</v>
      </c>
      <c r="I21" s="72">
        <v>0.35</v>
      </c>
      <c r="K21" s="180" t="s">
        <v>29</v>
      </c>
      <c r="L21" s="180"/>
      <c r="M21" s="180"/>
      <c r="N21" s="180"/>
      <c r="O21" s="181" t="s">
        <v>28</v>
      </c>
      <c r="P21" s="181"/>
      <c r="Q21" s="181"/>
      <c r="R21" s="181"/>
      <c r="S21" s="181"/>
      <c r="T21" s="181"/>
      <c r="U21" s="181"/>
      <c r="V21" s="181"/>
      <c r="W21" s="181"/>
      <c r="X21" s="181"/>
    </row>
    <row r="22" spans="1:24" ht="20.399999999999999" x14ac:dyDescent="0.3">
      <c r="A22" s="69" t="s">
        <v>99</v>
      </c>
      <c r="B22" s="59" t="s">
        <v>91</v>
      </c>
      <c r="C22" s="58">
        <v>20590554000</v>
      </c>
      <c r="D22" s="60">
        <f t="shared" si="0"/>
        <v>3.2877006801112785</v>
      </c>
      <c r="E22" s="72">
        <v>4.47</v>
      </c>
      <c r="F22" s="72">
        <v>0.28999999999999998</v>
      </c>
      <c r="G22" s="72">
        <v>16.48</v>
      </c>
      <c r="H22" s="72">
        <v>0.28999999999999998</v>
      </c>
      <c r="I22" s="72">
        <v>0.2</v>
      </c>
    </row>
    <row r="23" spans="1:24" ht="20.399999999999999" x14ac:dyDescent="0.3">
      <c r="A23" s="69" t="s">
        <v>100</v>
      </c>
      <c r="B23" s="59" t="s">
        <v>104</v>
      </c>
      <c r="C23" s="58">
        <v>23112826264</v>
      </c>
      <c r="D23" s="60">
        <f t="shared" si="0"/>
        <v>3.6904327405395025</v>
      </c>
      <c r="E23" s="72">
        <v>7.22</v>
      </c>
      <c r="F23" s="72">
        <v>0.31</v>
      </c>
      <c r="G23" s="72">
        <v>102.33</v>
      </c>
      <c r="H23" s="72">
        <v>0.82</v>
      </c>
      <c r="I23" s="72">
        <v>0.56000000000000005</v>
      </c>
    </row>
    <row r="24" spans="1:24" ht="30.6" x14ac:dyDescent="0.3">
      <c r="A24" s="69" t="s">
        <v>101</v>
      </c>
      <c r="B24" s="59" t="s">
        <v>105</v>
      </c>
      <c r="C24" s="58">
        <v>17243260088</v>
      </c>
      <c r="D24" s="60">
        <f t="shared" si="0"/>
        <v>2.7532371357591088</v>
      </c>
      <c r="E24" s="72">
        <v>3.07</v>
      </c>
      <c r="F24" s="72">
        <v>0.56000000000000005</v>
      </c>
      <c r="G24" s="72">
        <v>18.190000000000001</v>
      </c>
      <c r="H24" s="72">
        <v>0.47</v>
      </c>
      <c r="I24" s="72">
        <v>0.2</v>
      </c>
    </row>
    <row r="25" spans="1:24" x14ac:dyDescent="0.3">
      <c r="A25" s="69" t="s">
        <v>92</v>
      </c>
      <c r="B25" s="59" t="s">
        <v>106</v>
      </c>
      <c r="C25" s="58">
        <v>5466701841</v>
      </c>
      <c r="D25" s="60">
        <f t="shared" si="0"/>
        <v>0.87287012096038208</v>
      </c>
      <c r="E25" s="72">
        <v>8.8800000000000008</v>
      </c>
      <c r="F25" s="72">
        <v>0.41</v>
      </c>
      <c r="G25" s="72">
        <v>79.260000000000005</v>
      </c>
      <c r="H25" s="72">
        <v>1.01</v>
      </c>
      <c r="I25" s="72">
        <v>0.59</v>
      </c>
    </row>
    <row r="26" spans="1:24" ht="20.399999999999999" x14ac:dyDescent="0.3">
      <c r="A26" s="69" t="s">
        <v>93</v>
      </c>
      <c r="B26" s="59" t="s">
        <v>94</v>
      </c>
      <c r="C26" s="58">
        <v>41450902320</v>
      </c>
      <c r="D26" s="60">
        <f t="shared" si="0"/>
        <v>6.6184795100068783</v>
      </c>
      <c r="E26" s="72">
        <v>2.25</v>
      </c>
      <c r="F26" s="72">
        <v>0.48</v>
      </c>
      <c r="G26" s="72">
        <v>15.67</v>
      </c>
      <c r="H26" s="72">
        <v>0.3</v>
      </c>
      <c r="I26" s="72">
        <v>0.15</v>
      </c>
    </row>
    <row r="27" spans="1:24" ht="20.399999999999999" x14ac:dyDescent="0.3">
      <c r="A27" s="69" t="s">
        <v>109</v>
      </c>
      <c r="B27" s="59" t="s">
        <v>108</v>
      </c>
      <c r="C27" s="58">
        <v>851654374</v>
      </c>
      <c r="D27" s="60">
        <f t="shared" si="0"/>
        <v>0.13598394023878838</v>
      </c>
      <c r="E27" s="72" t="s">
        <v>110</v>
      </c>
      <c r="F27" s="72" t="s">
        <v>89</v>
      </c>
      <c r="G27" s="72" t="s">
        <v>111</v>
      </c>
      <c r="H27" s="72" t="s">
        <v>89</v>
      </c>
      <c r="I27" s="72" t="s">
        <v>112</v>
      </c>
    </row>
    <row r="28" spans="1:24" x14ac:dyDescent="0.3">
      <c r="A28" s="69" t="s">
        <v>88</v>
      </c>
      <c r="B28" s="59" t="s">
        <v>80</v>
      </c>
      <c r="C28" s="58">
        <v>13545321776</v>
      </c>
      <c r="D28" s="60">
        <f t="shared" si="0"/>
        <v>2.1627860821657015</v>
      </c>
      <c r="E28" s="72">
        <v>3.04</v>
      </c>
      <c r="F28" s="72">
        <v>0.44</v>
      </c>
      <c r="G28" s="72">
        <v>101.22</v>
      </c>
      <c r="H28" s="72">
        <v>0.3</v>
      </c>
      <c r="I28" s="72">
        <v>0.16</v>
      </c>
    </row>
    <row r="29" spans="1:24" x14ac:dyDescent="0.3">
      <c r="A29" s="164" t="s">
        <v>31</v>
      </c>
      <c r="B29" s="61" t="s">
        <v>8</v>
      </c>
      <c r="C29" s="28">
        <f t="shared" ref="C29:I36" si="9">L5</f>
        <v>20509766559.25</v>
      </c>
      <c r="D29" s="29">
        <f t="shared" si="9"/>
        <v>3.2748013222844694</v>
      </c>
      <c r="E29" s="30">
        <f t="shared" si="9"/>
        <v>4.9091304347826084</v>
      </c>
      <c r="F29" s="30">
        <f t="shared" si="9"/>
        <v>0.43565217391304345</v>
      </c>
      <c r="G29" s="30">
        <f t="shared" si="9"/>
        <v>88.28</v>
      </c>
      <c r="H29" s="30">
        <f t="shared" si="9"/>
        <v>0.43043478260869572</v>
      </c>
      <c r="I29" s="30">
        <f t="shared" si="9"/>
        <v>0.24217391304347832</v>
      </c>
    </row>
    <row r="30" spans="1:24" x14ac:dyDescent="0.3">
      <c r="A30" s="164"/>
      <c r="B30" s="61" t="s">
        <v>9</v>
      </c>
      <c r="C30" s="28">
        <f t="shared" si="9"/>
        <v>22053199162.035133</v>
      </c>
      <c r="D30" s="29">
        <f t="shared" si="9"/>
        <v>3.5212417249022256</v>
      </c>
      <c r="E30" s="30">
        <f t="shared" si="9"/>
        <v>3.6211887965687812</v>
      </c>
      <c r="F30" s="30">
        <f t="shared" si="9"/>
        <v>9.2236163631316342E-2</v>
      </c>
      <c r="G30" s="30">
        <f t="shared" si="9"/>
        <v>197.45362817633921</v>
      </c>
      <c r="H30" s="49">
        <f t="shared" si="9"/>
        <v>0.2249743068334199</v>
      </c>
      <c r="I30" s="49">
        <f t="shared" si="9"/>
        <v>0.14631710649194066</v>
      </c>
    </row>
    <row r="31" spans="1:24" x14ac:dyDescent="0.3">
      <c r="A31" s="164"/>
      <c r="B31" s="61" t="s">
        <v>10</v>
      </c>
      <c r="C31" s="28">
        <f t="shared" si="9"/>
        <v>15394290932</v>
      </c>
      <c r="D31" s="29">
        <f t="shared" si="9"/>
        <v>2.4580116089624049</v>
      </c>
      <c r="E31" s="30">
        <f t="shared" si="9"/>
        <v>3.52</v>
      </c>
      <c r="F31" s="30">
        <f t="shared" si="9"/>
        <v>0.47</v>
      </c>
      <c r="G31" s="30">
        <f t="shared" si="9"/>
        <v>18.190000000000001</v>
      </c>
      <c r="H31" s="30">
        <f t="shared" si="9"/>
        <v>0.36</v>
      </c>
      <c r="I31" s="30">
        <f t="shared" si="9"/>
        <v>0.2</v>
      </c>
    </row>
    <row r="32" spans="1:24" x14ac:dyDescent="0.3">
      <c r="A32" s="164"/>
      <c r="B32" s="61" t="s">
        <v>11</v>
      </c>
      <c r="C32" s="28">
        <f t="shared" si="9"/>
        <v>8810293124</v>
      </c>
      <c r="D32" s="48">
        <f t="shared" si="9"/>
        <v>1.4067424652952281</v>
      </c>
      <c r="E32" s="49">
        <f t="shared" si="9"/>
        <v>2.7800000000000002</v>
      </c>
      <c r="F32" s="49">
        <f t="shared" si="9"/>
        <v>0.38500000000000001</v>
      </c>
      <c r="G32" s="49">
        <f t="shared" si="9"/>
        <v>7.14</v>
      </c>
      <c r="H32" s="49">
        <f t="shared" si="9"/>
        <v>0.29499999999999998</v>
      </c>
      <c r="I32" s="49">
        <f t="shared" si="9"/>
        <v>0.155</v>
      </c>
    </row>
    <row r="33" spans="1:9" x14ac:dyDescent="0.3">
      <c r="A33" s="164"/>
      <c r="B33" s="62" t="s">
        <v>49</v>
      </c>
      <c r="C33" s="28">
        <f t="shared" si="9"/>
        <v>15394290932</v>
      </c>
      <c r="D33" s="50">
        <f t="shared" si="9"/>
        <v>2.4580116089624049</v>
      </c>
      <c r="E33" s="49">
        <f t="shared" si="9"/>
        <v>3.52</v>
      </c>
      <c r="F33" s="49">
        <f t="shared" si="9"/>
        <v>0.47</v>
      </c>
      <c r="G33" s="49">
        <f t="shared" si="9"/>
        <v>18.190000000000001</v>
      </c>
      <c r="H33" s="49">
        <f t="shared" si="9"/>
        <v>0.36</v>
      </c>
      <c r="I33" s="49">
        <f t="shared" si="9"/>
        <v>0.2</v>
      </c>
    </row>
    <row r="34" spans="1:9" x14ac:dyDescent="0.3">
      <c r="A34" s="164"/>
      <c r="B34" s="63" t="s">
        <v>50</v>
      </c>
      <c r="C34" s="28">
        <f t="shared" si="9"/>
        <v>22241667845.5</v>
      </c>
      <c r="D34" s="50">
        <f t="shared" si="9"/>
        <v>3.5513345829577729</v>
      </c>
      <c r="E34" s="49">
        <f t="shared" si="9"/>
        <v>6.085</v>
      </c>
      <c r="F34" s="49">
        <f t="shared" si="9"/>
        <v>0.495</v>
      </c>
      <c r="G34" s="49">
        <f t="shared" si="9"/>
        <v>69.510000000000005</v>
      </c>
      <c r="H34" s="49">
        <f t="shared" si="9"/>
        <v>0.48</v>
      </c>
      <c r="I34" s="49">
        <f t="shared" si="9"/>
        <v>0.26500000000000001</v>
      </c>
    </row>
    <row r="35" spans="1:9" x14ac:dyDescent="0.3">
      <c r="A35" s="164"/>
      <c r="B35" s="64" t="s">
        <v>66</v>
      </c>
      <c r="C35" s="65">
        <f t="shared" si="9"/>
        <v>90722403787</v>
      </c>
      <c r="D35" s="47">
        <f t="shared" si="9"/>
        <v>14.485676715247678</v>
      </c>
      <c r="E35" s="66">
        <f t="shared" si="9"/>
        <v>18.29</v>
      </c>
      <c r="F35" s="66">
        <f t="shared" si="9"/>
        <v>0.56000000000000005</v>
      </c>
      <c r="G35" s="66">
        <f t="shared" si="9"/>
        <v>844.84</v>
      </c>
      <c r="H35" s="66">
        <f t="shared" si="9"/>
        <v>1.01</v>
      </c>
      <c r="I35" s="66">
        <f t="shared" si="9"/>
        <v>0.59</v>
      </c>
    </row>
    <row r="36" spans="1:9" x14ac:dyDescent="0.3">
      <c r="A36" s="164"/>
      <c r="B36" s="67" t="s">
        <v>67</v>
      </c>
      <c r="C36" s="68">
        <f t="shared" si="9"/>
        <v>851654374</v>
      </c>
      <c r="D36" s="47">
        <f t="shared" si="9"/>
        <v>0.13598394023878838</v>
      </c>
      <c r="E36" s="66">
        <f t="shared" si="9"/>
        <v>1.43</v>
      </c>
      <c r="F36" s="66">
        <f t="shared" si="9"/>
        <v>0.2</v>
      </c>
      <c r="G36" s="66">
        <f t="shared" si="9"/>
        <v>4.9400000000000004</v>
      </c>
      <c r="H36" s="66">
        <f t="shared" si="9"/>
        <v>0.16</v>
      </c>
      <c r="I36" s="66">
        <f t="shared" si="9"/>
        <v>0.09</v>
      </c>
    </row>
    <row r="38" spans="1:9" x14ac:dyDescent="0.3">
      <c r="A38" t="s">
        <v>68</v>
      </c>
      <c r="C38" s="54">
        <v>6262904079</v>
      </c>
    </row>
  </sheetData>
  <mergeCells count="22">
    <mergeCell ref="A1:I1"/>
    <mergeCell ref="A2:I2"/>
    <mergeCell ref="A3:I3"/>
    <mergeCell ref="L4:M4"/>
    <mergeCell ref="C4:D4"/>
    <mergeCell ref="A29:A36"/>
    <mergeCell ref="K17:N17"/>
    <mergeCell ref="P17:X17"/>
    <mergeCell ref="K18:N18"/>
    <mergeCell ref="P18:X18"/>
    <mergeCell ref="K19:N19"/>
    <mergeCell ref="O19:X19"/>
    <mergeCell ref="K20:N20"/>
    <mergeCell ref="O20:X20"/>
    <mergeCell ref="K21:N21"/>
    <mergeCell ref="O21:X21"/>
    <mergeCell ref="P14:U14"/>
    <mergeCell ref="K15:N15"/>
    <mergeCell ref="P15:U15"/>
    <mergeCell ref="K16:N16"/>
    <mergeCell ref="P16:X16"/>
    <mergeCell ref="K14:N1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E48FB-1071-4E51-8139-98F1652F0AD1}">
  <dimension ref="A1:X26"/>
  <sheetViews>
    <sheetView topLeftCell="J5" zoomScaleNormal="100" workbookViewId="0">
      <selection activeCell="C45" sqref="C45"/>
    </sheetView>
  </sheetViews>
  <sheetFormatPr baseColWidth="10" defaultRowHeight="14.4" x14ac:dyDescent="0.3"/>
  <cols>
    <col min="1" max="1" width="12.44140625" bestFit="1" customWidth="1"/>
    <col min="2" max="2" width="19.5546875" customWidth="1"/>
    <col min="3" max="3" width="13.77734375" customWidth="1"/>
    <col min="4" max="4" width="6.21875" customWidth="1"/>
    <col min="5" max="5" width="8.77734375" bestFit="1" customWidth="1"/>
    <col min="6" max="6" width="14.44140625" bestFit="1" customWidth="1"/>
    <col min="7" max="7" width="12.21875" bestFit="1" customWidth="1"/>
    <col min="8" max="9" width="12.77734375" bestFit="1" customWidth="1"/>
    <col min="10" max="10" width="13.77734375" customWidth="1"/>
    <col min="12" max="12" width="17.77734375" bestFit="1" customWidth="1"/>
    <col min="13" max="13" width="6" bestFit="1" customWidth="1"/>
    <col min="14" max="14" width="9.21875" bestFit="1" customWidth="1"/>
    <col min="15" max="15" width="13.21875" customWidth="1"/>
    <col min="21" max="21" width="16.77734375" customWidth="1"/>
  </cols>
  <sheetData>
    <row r="1" spans="1:24" x14ac:dyDescent="0.3">
      <c r="A1" s="161" t="s">
        <v>6</v>
      </c>
      <c r="B1" s="161"/>
      <c r="C1" s="161"/>
      <c r="D1" s="161"/>
      <c r="E1" s="161"/>
      <c r="F1" s="161"/>
      <c r="G1" s="161"/>
      <c r="H1" s="161"/>
      <c r="I1" s="161"/>
      <c r="J1" s="4"/>
    </row>
    <row r="2" spans="1:24" x14ac:dyDescent="0.3">
      <c r="A2" s="161" t="s">
        <v>7</v>
      </c>
      <c r="B2" s="161"/>
      <c r="C2" s="161"/>
      <c r="D2" s="161"/>
      <c r="E2" s="161"/>
      <c r="F2" s="161"/>
      <c r="G2" s="161"/>
      <c r="H2" s="161"/>
      <c r="I2" s="161"/>
      <c r="J2" s="4"/>
    </row>
    <row r="3" spans="1:24" x14ac:dyDescent="0.3">
      <c r="A3" s="161" t="s">
        <v>32</v>
      </c>
      <c r="B3" s="161"/>
      <c r="C3" s="161"/>
      <c r="D3" s="161"/>
      <c r="E3" s="161"/>
      <c r="F3" s="161"/>
      <c r="G3" s="161"/>
      <c r="H3" s="161"/>
      <c r="I3" s="161"/>
      <c r="J3" s="4"/>
      <c r="K3" s="21" t="s">
        <v>31</v>
      </c>
      <c r="L3" s="185" t="s">
        <v>52</v>
      </c>
      <c r="M3" s="185"/>
      <c r="N3" s="21" t="s">
        <v>53</v>
      </c>
      <c r="O3" s="21" t="s">
        <v>54</v>
      </c>
      <c r="P3" s="21" t="s">
        <v>55</v>
      </c>
      <c r="Q3" s="21" t="s">
        <v>56</v>
      </c>
      <c r="R3" s="21" t="s">
        <v>57</v>
      </c>
    </row>
    <row r="4" spans="1:24" ht="30.6" x14ac:dyDescent="0.3">
      <c r="A4" s="38" t="s">
        <v>30</v>
      </c>
      <c r="B4" s="32" t="s">
        <v>0</v>
      </c>
      <c r="C4" s="183" t="s">
        <v>51</v>
      </c>
      <c r="D4" s="184"/>
      <c r="E4" s="33" t="s">
        <v>5</v>
      </c>
      <c r="F4" s="33" t="s">
        <v>1</v>
      </c>
      <c r="G4" s="33" t="s">
        <v>2</v>
      </c>
      <c r="H4" s="33" t="s">
        <v>3</v>
      </c>
      <c r="I4" s="33" t="s">
        <v>4</v>
      </c>
      <c r="J4" s="5"/>
      <c r="K4" s="1" t="s">
        <v>12</v>
      </c>
      <c r="L4" s="11">
        <f t="shared" ref="L4:R4" si="0">AVERAGE(C5:C16)</f>
        <v>21389616039.81818</v>
      </c>
      <c r="M4" s="18">
        <f t="shared" si="0"/>
        <v>3.4152871846687245</v>
      </c>
      <c r="N4" s="2">
        <f t="shared" si="0"/>
        <v>3.0990909090909096</v>
      </c>
      <c r="O4" s="2">
        <f t="shared" si="0"/>
        <v>0.50909090909090915</v>
      </c>
      <c r="P4" s="2">
        <f t="shared" si="0"/>
        <v>52.091818181818184</v>
      </c>
      <c r="Q4" s="2">
        <f t="shared" si="0"/>
        <v>0.43000000000000005</v>
      </c>
      <c r="R4" s="2">
        <f t="shared" si="0"/>
        <v>0.21181818181818182</v>
      </c>
    </row>
    <row r="5" spans="1:24" ht="25.5" customHeight="1" x14ac:dyDescent="0.3">
      <c r="A5" s="39" t="s">
        <v>34</v>
      </c>
      <c r="B5" s="13" t="s">
        <v>33</v>
      </c>
      <c r="C5" s="17">
        <f>(10543436095-4071411551)</f>
        <v>6472024544</v>
      </c>
      <c r="D5" s="20">
        <f>C5/$C$26</f>
        <v>1.033390334956781</v>
      </c>
      <c r="E5" s="15">
        <v>2.58</v>
      </c>
      <c r="F5" s="15">
        <v>0.47</v>
      </c>
      <c r="G5" s="15">
        <v>19.57</v>
      </c>
      <c r="H5" s="15">
        <v>0.27</v>
      </c>
      <c r="I5" s="15">
        <v>0.14000000000000001</v>
      </c>
      <c r="J5" s="6"/>
      <c r="K5" s="9" t="s">
        <v>13</v>
      </c>
      <c r="L5" s="12">
        <f t="shared" ref="L5:R5" si="1">STDEV(C5:C16)</f>
        <v>24613208912.051506</v>
      </c>
      <c r="M5" s="19">
        <f t="shared" si="1"/>
        <v>3.9299993424107345</v>
      </c>
      <c r="N5" s="10">
        <f t="shared" si="1"/>
        <v>1.5457778271501661</v>
      </c>
      <c r="O5" s="10">
        <f t="shared" si="1"/>
        <v>6.5185051270140681E-2</v>
      </c>
      <c r="P5" s="10">
        <f t="shared" si="1"/>
        <v>128.99464111490693</v>
      </c>
      <c r="Q5" s="10">
        <f t="shared" si="1"/>
        <v>0.16893785839769582</v>
      </c>
      <c r="R5" s="10">
        <f t="shared" si="1"/>
        <v>0.11990147470470762</v>
      </c>
    </row>
    <row r="6" spans="1:24" ht="26.25" customHeight="1" x14ac:dyDescent="0.3">
      <c r="A6" s="39" t="s">
        <v>36</v>
      </c>
      <c r="B6" s="13" t="s">
        <v>35</v>
      </c>
      <c r="C6" s="17">
        <f>(21703762665-8269284589)</f>
        <v>13434478076</v>
      </c>
      <c r="D6" s="20">
        <f t="shared" ref="D6:D15" si="2">C6/$C$26</f>
        <v>2.1450876313189657</v>
      </c>
      <c r="E6" s="15">
        <v>2.62</v>
      </c>
      <c r="F6" s="15">
        <v>0.6</v>
      </c>
      <c r="G6" s="15">
        <v>4.6500000000000004</v>
      </c>
      <c r="H6" s="15">
        <v>0.28999999999999998</v>
      </c>
      <c r="I6" s="15">
        <v>0.11</v>
      </c>
      <c r="J6" s="6"/>
      <c r="K6" s="9" t="s">
        <v>10</v>
      </c>
      <c r="L6" s="12">
        <f t="shared" ref="L6:R6" si="3">MEDIAN(C5:C16)</f>
        <v>13434478076</v>
      </c>
      <c r="M6" s="19">
        <f t="shared" si="3"/>
        <v>2.1450876313189657</v>
      </c>
      <c r="N6" s="10">
        <f>MEDIAN(E5:E16)</f>
        <v>2.58</v>
      </c>
      <c r="O6" s="10">
        <f t="shared" si="3"/>
        <v>0.5</v>
      </c>
      <c r="P6" s="10">
        <f t="shared" si="3"/>
        <v>10.85</v>
      </c>
      <c r="Q6" s="10">
        <f t="shared" si="3"/>
        <v>0.41</v>
      </c>
      <c r="R6" s="10">
        <f t="shared" si="3"/>
        <v>0.19</v>
      </c>
    </row>
    <row r="7" spans="1:24" ht="35.25" customHeight="1" x14ac:dyDescent="0.3">
      <c r="A7" s="39" t="s">
        <v>38</v>
      </c>
      <c r="B7" s="13" t="s">
        <v>37</v>
      </c>
      <c r="C7" s="17">
        <f>(49719406746-22429485738)</f>
        <v>27289921008</v>
      </c>
      <c r="D7" s="20">
        <f t="shared" si="2"/>
        <v>4.3573908627317488</v>
      </c>
      <c r="E7" s="15">
        <v>2.21</v>
      </c>
      <c r="F7" s="15">
        <v>0.51</v>
      </c>
      <c r="G7" s="15">
        <v>19.82</v>
      </c>
      <c r="H7" s="15">
        <v>0.47</v>
      </c>
      <c r="I7" s="15">
        <v>0.23</v>
      </c>
      <c r="J7" s="6"/>
      <c r="K7" s="9" t="s">
        <v>11</v>
      </c>
      <c r="L7" s="12">
        <f t="shared" ref="L7:R7" si="4">_xlfn.QUARTILE.INC(C5:C16,1)</f>
        <v>8066151877.5</v>
      </c>
      <c r="M7" s="19">
        <f t="shared" si="4"/>
        <v>1.287925182272299</v>
      </c>
      <c r="N7" s="10">
        <f>_xlfn.QUARTILE.INC(E5:E16,1)</f>
        <v>2.29</v>
      </c>
      <c r="O7" s="10">
        <f t="shared" si="4"/>
        <v>0.47499999999999998</v>
      </c>
      <c r="P7" s="10">
        <f t="shared" si="4"/>
        <v>6.2549999999999999</v>
      </c>
      <c r="Q7" s="10">
        <f t="shared" si="4"/>
        <v>0.31999999999999995</v>
      </c>
      <c r="R7" s="10">
        <f t="shared" si="4"/>
        <v>0.15000000000000002</v>
      </c>
    </row>
    <row r="8" spans="1:24" ht="24" customHeight="1" x14ac:dyDescent="0.3">
      <c r="A8" s="39" t="s">
        <v>40</v>
      </c>
      <c r="B8" s="13" t="s">
        <v>39</v>
      </c>
      <c r="C8" s="17">
        <f>(2310024494-938975608)</f>
        <v>1371048886</v>
      </c>
      <c r="D8" s="20">
        <f t="shared" si="2"/>
        <v>0.21891583660002595</v>
      </c>
      <c r="E8" s="15">
        <v>2.46</v>
      </c>
      <c r="F8" s="15">
        <v>0.47</v>
      </c>
      <c r="G8" s="15">
        <v>7.25</v>
      </c>
      <c r="H8" s="15">
        <v>0.27</v>
      </c>
      <c r="I8" s="15">
        <v>0.12</v>
      </c>
      <c r="J8" s="6"/>
      <c r="K8" s="16" t="s">
        <v>49</v>
      </c>
      <c r="L8" s="12">
        <f t="shared" ref="L8:R8" si="5">_xlfn.QUARTILE.INC(C5:C16,2)</f>
        <v>13434478076</v>
      </c>
      <c r="M8" s="19">
        <f t="shared" si="5"/>
        <v>2.1450876313189657</v>
      </c>
      <c r="N8" s="10">
        <f t="shared" si="5"/>
        <v>2.58</v>
      </c>
      <c r="O8" s="10">
        <f t="shared" si="5"/>
        <v>0.5</v>
      </c>
      <c r="P8" s="10">
        <f t="shared" si="5"/>
        <v>10.85</v>
      </c>
      <c r="Q8" s="10">
        <f t="shared" si="5"/>
        <v>0.41</v>
      </c>
      <c r="R8" s="10">
        <f t="shared" si="5"/>
        <v>0.19</v>
      </c>
    </row>
    <row r="9" spans="1:24" ht="25.5" customHeight="1" x14ac:dyDescent="0.3">
      <c r="A9" s="40"/>
      <c r="B9" s="13"/>
      <c r="C9" s="17"/>
      <c r="D9" s="20"/>
      <c r="E9" s="15"/>
      <c r="F9" s="15"/>
      <c r="G9" s="15"/>
      <c r="H9" s="15"/>
      <c r="I9" s="15"/>
      <c r="J9" s="6"/>
      <c r="K9" s="16" t="s">
        <v>50</v>
      </c>
      <c r="L9" s="12">
        <f>_xlfn.QUARTILE.INC(C7:C18,3)</f>
        <v>25950246802.025753</v>
      </c>
      <c r="M9" s="19">
        <f>_xlfn.QUARTILE.INC(D7:D18,3)</f>
        <v>4.1434846318401926</v>
      </c>
      <c r="N9" s="10">
        <f>_xlfn.QUARTILE.INC(E5:E16,3)</f>
        <v>3.75</v>
      </c>
      <c r="O9" s="10">
        <f>_xlfn.QUARTILE.INC(F5:F16,3)</f>
        <v>0.55500000000000005</v>
      </c>
      <c r="P9" s="10">
        <f>_xlfn.QUARTILE.INC(G5:G16,3)</f>
        <v>19.695</v>
      </c>
      <c r="Q9" s="10">
        <f>_xlfn.QUARTILE.INC(H5:H16,3)</f>
        <v>0.47499999999999998</v>
      </c>
      <c r="R9" s="10">
        <f>_xlfn.QUARTILE.INC(I5:I16,3)</f>
        <v>0.22</v>
      </c>
    </row>
    <row r="10" spans="1:24" ht="25.5" customHeight="1" x14ac:dyDescent="0.3">
      <c r="A10" s="39" t="s">
        <v>48</v>
      </c>
      <c r="B10" s="13" t="s">
        <v>47</v>
      </c>
      <c r="C10" s="17">
        <f>(11181848621-2800135866)</f>
        <v>8381712755</v>
      </c>
      <c r="D10" s="20">
        <f t="shared" si="2"/>
        <v>1.3383108936802224</v>
      </c>
      <c r="E10" s="15">
        <v>3.99</v>
      </c>
      <c r="F10" s="15">
        <v>0.59</v>
      </c>
      <c r="G10" s="15">
        <v>10.85</v>
      </c>
      <c r="H10" s="15">
        <v>0.47</v>
      </c>
      <c r="I10" s="15">
        <v>0.19</v>
      </c>
      <c r="J10" s="6"/>
      <c r="K10" s="9" t="s">
        <v>58</v>
      </c>
      <c r="L10" s="22">
        <f t="shared" ref="L10:R10" si="6">MAX(C5:C16)</f>
        <v>90722403787</v>
      </c>
      <c r="M10" s="23">
        <f t="shared" si="6"/>
        <v>14.485676715247678</v>
      </c>
      <c r="N10" s="26">
        <f t="shared" si="6"/>
        <v>6.39</v>
      </c>
      <c r="O10" s="26">
        <f t="shared" si="6"/>
        <v>0.6</v>
      </c>
      <c r="P10" s="26">
        <f t="shared" si="6"/>
        <v>439.97</v>
      </c>
      <c r="Q10" s="26">
        <f t="shared" si="6"/>
        <v>0.87</v>
      </c>
      <c r="R10" s="26">
        <f t="shared" si="6"/>
        <v>0.55000000000000004</v>
      </c>
    </row>
    <row r="11" spans="1:24" ht="15" customHeight="1" x14ac:dyDescent="0.3">
      <c r="A11" s="39" t="s">
        <v>42</v>
      </c>
      <c r="B11" s="13" t="s">
        <v>41</v>
      </c>
      <c r="C11" s="17">
        <f>(69564050000-48528736000)</f>
        <v>21035314000</v>
      </c>
      <c r="D11" s="20">
        <f t="shared" si="2"/>
        <v>3.3587156588479501</v>
      </c>
      <c r="E11" s="15">
        <v>1.43</v>
      </c>
      <c r="F11" s="15">
        <v>0.55000000000000004</v>
      </c>
      <c r="G11" s="15">
        <v>4.9400000000000004</v>
      </c>
      <c r="H11" s="15">
        <v>0.35</v>
      </c>
      <c r="I11" s="15">
        <v>0.16</v>
      </c>
      <c r="J11" s="6"/>
      <c r="K11" s="9" t="s">
        <v>59</v>
      </c>
      <c r="L11" s="24">
        <f t="shared" ref="L11:R11" si="7">MIN(C5:C16)</f>
        <v>1371048886</v>
      </c>
      <c r="M11" s="25">
        <f t="shared" si="7"/>
        <v>0.21891583660002595</v>
      </c>
      <c r="N11" s="27">
        <f t="shared" si="7"/>
        <v>1.39</v>
      </c>
      <c r="O11" s="27">
        <f t="shared" si="7"/>
        <v>0.37</v>
      </c>
      <c r="P11" s="27">
        <f t="shared" si="7"/>
        <v>4.6500000000000004</v>
      </c>
      <c r="Q11" s="27">
        <f t="shared" si="7"/>
        <v>0.27</v>
      </c>
      <c r="R11" s="27">
        <f t="shared" si="7"/>
        <v>0.11</v>
      </c>
    </row>
    <row r="12" spans="1:24" ht="15" customHeight="1" x14ac:dyDescent="0.3">
      <c r="A12" s="42" t="s">
        <v>62</v>
      </c>
      <c r="B12" s="13" t="s">
        <v>61</v>
      </c>
      <c r="C12" s="17">
        <f>(38126322374-10839037682)</f>
        <v>27287284692</v>
      </c>
      <c r="D12" s="20">
        <f t="shared" si="2"/>
        <v>4.3569699212696502</v>
      </c>
      <c r="E12" s="15">
        <v>3.51</v>
      </c>
      <c r="F12" s="15">
        <v>0.5</v>
      </c>
      <c r="G12" s="15">
        <v>7.14</v>
      </c>
      <c r="H12" s="15">
        <v>0.41</v>
      </c>
      <c r="I12" s="15">
        <v>0.2</v>
      </c>
      <c r="J12" s="6"/>
      <c r="K12" s="34"/>
      <c r="L12" s="35"/>
      <c r="M12" s="36"/>
      <c r="N12" s="37"/>
      <c r="O12" s="37"/>
      <c r="P12" s="37"/>
      <c r="Q12" s="37"/>
      <c r="R12" s="37"/>
    </row>
    <row r="13" spans="1:24" ht="21.6" x14ac:dyDescent="0.3">
      <c r="A13" s="39" t="s">
        <v>44</v>
      </c>
      <c r="B13" s="13" t="s">
        <v>43</v>
      </c>
      <c r="C13" s="17">
        <f>(112615800289-21893396502)</f>
        <v>90722403787</v>
      </c>
      <c r="D13" s="20">
        <f t="shared" si="2"/>
        <v>14.485676715247678</v>
      </c>
      <c r="E13" s="15">
        <v>5.14</v>
      </c>
      <c r="F13" s="15">
        <v>0.48</v>
      </c>
      <c r="G13" s="15">
        <v>5.37</v>
      </c>
      <c r="H13" s="15">
        <v>0.36</v>
      </c>
      <c r="I13" s="15">
        <v>0.18</v>
      </c>
      <c r="J13" s="6"/>
    </row>
    <row r="14" spans="1:24" ht="21.6" x14ac:dyDescent="0.3">
      <c r="A14" s="56">
        <v>890333105</v>
      </c>
      <c r="B14" s="34" t="s">
        <v>65</v>
      </c>
      <c r="C14" s="17">
        <f>(27486112000-19735521000)</f>
        <v>7750591000</v>
      </c>
      <c r="D14" s="20">
        <f t="shared" si="2"/>
        <v>1.2375394708643757</v>
      </c>
      <c r="E14" s="15">
        <v>1.39</v>
      </c>
      <c r="F14" s="15">
        <v>0.56000000000000005</v>
      </c>
      <c r="G14" s="15">
        <v>35.979999999999997</v>
      </c>
      <c r="H14" s="15">
        <v>0.48</v>
      </c>
      <c r="I14" s="15">
        <v>0.21</v>
      </c>
      <c r="J14" s="6"/>
      <c r="K14" s="166" t="s">
        <v>5</v>
      </c>
      <c r="L14" s="166"/>
      <c r="M14" s="166"/>
      <c r="N14" s="166"/>
      <c r="O14" s="3" t="s">
        <v>16</v>
      </c>
      <c r="P14" s="167" t="s">
        <v>21</v>
      </c>
      <c r="Q14" s="167"/>
      <c r="R14" s="167"/>
      <c r="S14" s="167"/>
      <c r="T14" s="167"/>
      <c r="U14" s="167"/>
    </row>
    <row r="15" spans="1:24" ht="21.6" x14ac:dyDescent="0.3">
      <c r="A15" s="39" t="s">
        <v>46</v>
      </c>
      <c r="B15" s="13" t="s">
        <v>45</v>
      </c>
      <c r="C15" s="17">
        <f>(26017930155-4066648449)</f>
        <v>21951281706</v>
      </c>
      <c r="D15" s="20">
        <f t="shared" si="2"/>
        <v>3.5049685304305296</v>
      </c>
      <c r="E15" s="15">
        <v>6.39</v>
      </c>
      <c r="F15" s="15">
        <v>0.37</v>
      </c>
      <c r="G15" s="15">
        <v>439.97</v>
      </c>
      <c r="H15" s="15">
        <v>0.87</v>
      </c>
      <c r="I15" s="15">
        <v>0.55000000000000004</v>
      </c>
      <c r="J15" s="6"/>
      <c r="K15" s="166" t="s">
        <v>1</v>
      </c>
      <c r="L15" s="166"/>
      <c r="M15" s="166"/>
      <c r="N15" s="166"/>
      <c r="O15" s="3" t="s">
        <v>17</v>
      </c>
      <c r="P15" s="179" t="s">
        <v>22</v>
      </c>
      <c r="Q15" s="179"/>
      <c r="R15" s="179"/>
      <c r="S15" s="179"/>
      <c r="T15" s="179"/>
      <c r="U15" s="179"/>
    </row>
    <row r="16" spans="1:24" ht="27.75" customHeight="1" x14ac:dyDescent="0.3">
      <c r="A16" s="55" t="s">
        <v>63</v>
      </c>
      <c r="B16" s="41" t="s">
        <v>64</v>
      </c>
      <c r="C16" s="17">
        <f>(16583084264-6993368280)</f>
        <v>9589715984</v>
      </c>
      <c r="D16" s="20">
        <f>C16/$C$26</f>
        <v>1.5311931754080439</v>
      </c>
      <c r="E16" s="15">
        <v>2.37</v>
      </c>
      <c r="F16" s="15">
        <v>0.5</v>
      </c>
      <c r="G16" s="15">
        <v>17.47</v>
      </c>
      <c r="H16" s="15">
        <v>0.49</v>
      </c>
      <c r="I16" s="15">
        <v>0.24</v>
      </c>
      <c r="J16" s="6"/>
      <c r="K16" s="166" t="s">
        <v>2</v>
      </c>
      <c r="L16" s="166"/>
      <c r="M16" s="166"/>
      <c r="N16" s="166"/>
      <c r="O16" s="14" t="s">
        <v>18</v>
      </c>
      <c r="P16" s="167" t="s">
        <v>23</v>
      </c>
      <c r="Q16" s="167"/>
      <c r="R16" s="167"/>
      <c r="S16" s="167"/>
      <c r="T16" s="167"/>
      <c r="U16" s="167"/>
      <c r="V16" s="167"/>
      <c r="W16" s="167"/>
      <c r="X16" s="167"/>
    </row>
    <row r="17" spans="1:24" ht="20.25" customHeight="1" x14ac:dyDescent="0.3">
      <c r="A17" s="164" t="s">
        <v>31</v>
      </c>
      <c r="B17" s="43" t="s">
        <v>8</v>
      </c>
      <c r="C17" s="28">
        <f t="shared" ref="C17:I24" si="8">L4</f>
        <v>21389616039.81818</v>
      </c>
      <c r="D17" s="29">
        <f t="shared" si="8"/>
        <v>3.4152871846687245</v>
      </c>
      <c r="E17" s="30">
        <f>N4</f>
        <v>3.0990909090909096</v>
      </c>
      <c r="F17" s="30">
        <f t="shared" si="8"/>
        <v>0.50909090909090915</v>
      </c>
      <c r="G17" s="30">
        <f t="shared" si="8"/>
        <v>52.091818181818184</v>
      </c>
      <c r="H17" s="30">
        <f t="shared" si="8"/>
        <v>0.43000000000000005</v>
      </c>
      <c r="I17" s="30">
        <f t="shared" si="8"/>
        <v>0.21181818181818182</v>
      </c>
      <c r="J17" s="7"/>
      <c r="K17" s="166" t="s">
        <v>14</v>
      </c>
      <c r="L17" s="166"/>
      <c r="M17" s="166"/>
      <c r="N17" s="166"/>
      <c r="O17" s="3" t="s">
        <v>19</v>
      </c>
      <c r="P17" s="167" t="s">
        <v>24</v>
      </c>
      <c r="Q17" s="167"/>
      <c r="R17" s="167"/>
      <c r="S17" s="167"/>
      <c r="T17" s="167"/>
      <c r="U17" s="167"/>
      <c r="V17" s="167"/>
      <c r="W17" s="167"/>
      <c r="X17" s="167"/>
    </row>
    <row r="18" spans="1:24" ht="15.75" customHeight="1" x14ac:dyDescent="0.3">
      <c r="A18" s="164"/>
      <c r="B18" s="43" t="s">
        <v>9</v>
      </c>
      <c r="C18" s="28">
        <f t="shared" si="8"/>
        <v>24613208912.051506</v>
      </c>
      <c r="D18" s="29">
        <f t="shared" si="8"/>
        <v>3.9299993424107345</v>
      </c>
      <c r="E18" s="30">
        <f>N5</f>
        <v>1.5457778271501661</v>
      </c>
      <c r="F18" s="30">
        <f t="shared" si="8"/>
        <v>6.5185051270140681E-2</v>
      </c>
      <c r="G18" s="30">
        <f t="shared" si="8"/>
        <v>128.99464111490693</v>
      </c>
      <c r="H18" s="49">
        <f t="shared" si="8"/>
        <v>0.16893785839769582</v>
      </c>
      <c r="I18" s="49">
        <f t="shared" si="8"/>
        <v>0.11990147470470762</v>
      </c>
      <c r="J18" s="4"/>
      <c r="K18" s="166" t="s">
        <v>15</v>
      </c>
      <c r="L18" s="166"/>
      <c r="M18" s="166"/>
      <c r="N18" s="166"/>
      <c r="O18" s="3" t="s">
        <v>20</v>
      </c>
      <c r="P18" s="167" t="s">
        <v>25</v>
      </c>
      <c r="Q18" s="167"/>
      <c r="R18" s="167"/>
      <c r="S18" s="167"/>
      <c r="T18" s="167"/>
      <c r="U18" s="167"/>
      <c r="V18" s="167"/>
      <c r="W18" s="167"/>
      <c r="X18" s="167"/>
    </row>
    <row r="19" spans="1:24" x14ac:dyDescent="0.3">
      <c r="A19" s="164"/>
      <c r="B19" s="43" t="s">
        <v>10</v>
      </c>
      <c r="C19" s="28">
        <f t="shared" si="8"/>
        <v>13434478076</v>
      </c>
      <c r="D19" s="29">
        <f t="shared" si="8"/>
        <v>2.1450876313189657</v>
      </c>
      <c r="E19" s="30">
        <f>N6</f>
        <v>2.58</v>
      </c>
      <c r="F19" s="30">
        <f t="shared" si="8"/>
        <v>0.5</v>
      </c>
      <c r="G19" s="30">
        <f t="shared" si="8"/>
        <v>10.85</v>
      </c>
      <c r="H19" s="30">
        <f t="shared" si="8"/>
        <v>0.41</v>
      </c>
      <c r="I19" s="30">
        <f t="shared" si="8"/>
        <v>0.19</v>
      </c>
      <c r="J19" s="4"/>
      <c r="K19" s="180" t="s">
        <v>9</v>
      </c>
      <c r="L19" s="180"/>
      <c r="M19" s="180"/>
      <c r="N19" s="180"/>
      <c r="O19" s="181" t="s">
        <v>26</v>
      </c>
      <c r="P19" s="181"/>
      <c r="Q19" s="181"/>
      <c r="R19" s="181"/>
      <c r="S19" s="181"/>
      <c r="T19" s="181"/>
      <c r="U19" s="181"/>
      <c r="V19" s="181"/>
      <c r="W19" s="181"/>
      <c r="X19" s="181"/>
    </row>
    <row r="20" spans="1:24" ht="17.25" customHeight="1" x14ac:dyDescent="0.3">
      <c r="A20" s="164"/>
      <c r="B20" s="43" t="s">
        <v>11</v>
      </c>
      <c r="C20" s="31">
        <f t="shared" si="8"/>
        <v>8066151877.5</v>
      </c>
      <c r="D20" s="48">
        <f t="shared" si="8"/>
        <v>1.287925182272299</v>
      </c>
      <c r="E20" s="49">
        <f t="shared" si="8"/>
        <v>2.29</v>
      </c>
      <c r="F20" s="49">
        <f t="shared" si="8"/>
        <v>0.47499999999999998</v>
      </c>
      <c r="G20" s="49">
        <f t="shared" si="8"/>
        <v>6.2549999999999999</v>
      </c>
      <c r="H20" s="49">
        <f t="shared" si="8"/>
        <v>0.31999999999999995</v>
      </c>
      <c r="I20" s="49">
        <f t="shared" si="8"/>
        <v>0.15000000000000002</v>
      </c>
      <c r="J20" s="8" t="s">
        <v>60</v>
      </c>
      <c r="K20" s="169" t="s">
        <v>10</v>
      </c>
      <c r="L20" s="169"/>
      <c r="M20" s="169"/>
      <c r="N20" s="169"/>
      <c r="O20" s="167" t="s">
        <v>27</v>
      </c>
      <c r="P20" s="167"/>
      <c r="Q20" s="167"/>
      <c r="R20" s="167"/>
      <c r="S20" s="167"/>
      <c r="T20" s="167"/>
      <c r="U20" s="167"/>
      <c r="V20" s="167"/>
      <c r="W20" s="167"/>
      <c r="X20" s="167"/>
    </row>
    <row r="21" spans="1:24" x14ac:dyDescent="0.3">
      <c r="A21" s="164"/>
      <c r="B21" s="44" t="s">
        <v>49</v>
      </c>
      <c r="C21" s="31">
        <f t="shared" si="8"/>
        <v>13434478076</v>
      </c>
      <c r="D21" s="50">
        <f t="shared" si="8"/>
        <v>2.1450876313189657</v>
      </c>
      <c r="E21" s="49">
        <f t="shared" si="8"/>
        <v>2.58</v>
      </c>
      <c r="F21" s="49">
        <f t="shared" si="8"/>
        <v>0.5</v>
      </c>
      <c r="G21" s="49">
        <f t="shared" si="8"/>
        <v>10.85</v>
      </c>
      <c r="H21" s="49">
        <f t="shared" si="8"/>
        <v>0.41</v>
      </c>
      <c r="I21" s="49">
        <f t="shared" si="8"/>
        <v>0.19</v>
      </c>
      <c r="K21" s="180" t="s">
        <v>29</v>
      </c>
      <c r="L21" s="180"/>
      <c r="M21" s="180"/>
      <c r="N21" s="180"/>
      <c r="O21" s="181" t="s">
        <v>28</v>
      </c>
      <c r="P21" s="181"/>
      <c r="Q21" s="181"/>
      <c r="R21" s="181"/>
      <c r="S21" s="181"/>
      <c r="T21" s="181"/>
      <c r="U21" s="181"/>
      <c r="V21" s="181"/>
      <c r="W21" s="181"/>
      <c r="X21" s="181"/>
    </row>
    <row r="22" spans="1:24" x14ac:dyDescent="0.3">
      <c r="A22" s="164"/>
      <c r="B22" s="45" t="s">
        <v>50</v>
      </c>
      <c r="C22" s="31">
        <f t="shared" ref="C22:I22" si="9">L9</f>
        <v>25950246802.025753</v>
      </c>
      <c r="D22" s="50">
        <f t="shared" si="9"/>
        <v>4.1434846318401926</v>
      </c>
      <c r="E22" s="49">
        <f t="shared" si="9"/>
        <v>3.75</v>
      </c>
      <c r="F22" s="49">
        <f t="shared" si="9"/>
        <v>0.55500000000000005</v>
      </c>
      <c r="G22" s="49">
        <f t="shared" si="9"/>
        <v>19.695</v>
      </c>
      <c r="H22" s="49">
        <f t="shared" si="9"/>
        <v>0.47499999999999998</v>
      </c>
      <c r="I22" s="49">
        <f t="shared" si="9"/>
        <v>0.22</v>
      </c>
    </row>
    <row r="23" spans="1:24" x14ac:dyDescent="0.3">
      <c r="A23" s="164"/>
      <c r="B23" s="46" t="s">
        <v>66</v>
      </c>
      <c r="C23" s="52">
        <f>L10</f>
        <v>90722403787</v>
      </c>
      <c r="D23" s="47">
        <f t="shared" si="8"/>
        <v>14.485676715247678</v>
      </c>
      <c r="E23" s="51">
        <f t="shared" si="8"/>
        <v>6.39</v>
      </c>
      <c r="F23" s="51">
        <f t="shared" si="8"/>
        <v>0.6</v>
      </c>
      <c r="G23" s="51">
        <f t="shared" si="8"/>
        <v>439.97</v>
      </c>
      <c r="H23" s="51">
        <f t="shared" si="8"/>
        <v>0.87</v>
      </c>
      <c r="I23" s="51">
        <f t="shared" si="8"/>
        <v>0.55000000000000004</v>
      </c>
    </row>
    <row r="24" spans="1:24" x14ac:dyDescent="0.3">
      <c r="A24" s="164"/>
      <c r="B24" s="57" t="s">
        <v>67</v>
      </c>
      <c r="C24" s="53">
        <f>L11</f>
        <v>1371048886</v>
      </c>
      <c r="D24" s="47">
        <f t="shared" si="8"/>
        <v>0.21891583660002595</v>
      </c>
      <c r="E24" s="51">
        <f t="shared" si="8"/>
        <v>1.39</v>
      </c>
      <c r="F24" s="51">
        <f t="shared" si="8"/>
        <v>0.37</v>
      </c>
      <c r="G24" s="51">
        <f t="shared" si="8"/>
        <v>4.6500000000000004</v>
      </c>
      <c r="H24" s="51">
        <f t="shared" si="8"/>
        <v>0.27</v>
      </c>
      <c r="I24" s="51">
        <f t="shared" si="8"/>
        <v>0.11</v>
      </c>
    </row>
    <row r="26" spans="1:24" x14ac:dyDescent="0.3">
      <c r="A26" t="s">
        <v>68</v>
      </c>
      <c r="C26" s="54">
        <v>6262904079</v>
      </c>
    </row>
  </sheetData>
  <mergeCells count="22">
    <mergeCell ref="P14:U14"/>
    <mergeCell ref="K15:N15"/>
    <mergeCell ref="P15:U15"/>
    <mergeCell ref="K16:N16"/>
    <mergeCell ref="P16:X16"/>
    <mergeCell ref="K14:N14"/>
    <mergeCell ref="A17:A24"/>
    <mergeCell ref="K17:N17"/>
    <mergeCell ref="P17:X17"/>
    <mergeCell ref="K18:N18"/>
    <mergeCell ref="P18:X18"/>
    <mergeCell ref="K19:N19"/>
    <mergeCell ref="O19:X19"/>
    <mergeCell ref="K20:N20"/>
    <mergeCell ref="O20:X20"/>
    <mergeCell ref="K21:N21"/>
    <mergeCell ref="O21:X21"/>
    <mergeCell ref="A1:I1"/>
    <mergeCell ref="A2:I2"/>
    <mergeCell ref="A3:I3"/>
    <mergeCell ref="L3:M3"/>
    <mergeCell ref="C4:D4"/>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VIGILANCIA  24 jul (2)</vt:lpstr>
      <vt:lpstr>CUMPLIMIENTO INDICADORES</vt:lpstr>
      <vt:lpstr>VIGILANCIA  24 jul</vt:lpstr>
      <vt:lpstr>VIGILANCIA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Luis giraldo</cp:lastModifiedBy>
  <dcterms:created xsi:type="dcterms:W3CDTF">2025-05-05T19:17:46Z</dcterms:created>
  <dcterms:modified xsi:type="dcterms:W3CDTF">2026-10-02T16:35:37Z</dcterms:modified>
</cp:coreProperties>
</file>