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embeddings/oleObject1.bin" ContentType="application/vnd.openxmlformats-officedocument.oleObject"/>
  <Override PartName="/xl/drawings/drawing4.xml" ContentType="application/vnd.openxmlformats-officedocument.drawing+xml"/>
  <Override PartName="/xl/embeddings/oleObject2.bin" ContentType="application/vnd.openxmlformats-officedocument.oleObject"/>
  <Override PartName="/xl/drawings/drawing5.xml" ContentType="application/vnd.openxmlformats-officedocument.drawing+xml"/>
  <Override PartName="/xl/embeddings/oleObject3.bin" ContentType="application/vnd.openxmlformats-officedocument.oleObject"/>
  <Override PartName="/xl/drawings/drawing6.xml" ContentType="application/vnd.openxmlformats-officedocument.drawing+xml"/>
  <Override PartName="/xl/embeddings/oleObject4.bin" ContentType="application/vnd.openxmlformats-officedocument.oleObject"/>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anmgovco-my.sharepoint.com/personal/luis_lugo_anm_gov_co/Documents/DOCUMENTOS/2026-CISO-ANM/CONTRATO DE SEGURIDAD 2026/DOCUMENTOS FINALES CONTRATO SEGURIDAD/"/>
    </mc:Choice>
  </mc:AlternateContent>
  <xr:revisionPtr revIDLastSave="404" documentId="8_{B8C1898F-E1A1-47AD-99E0-493DB873306C}" xr6:coauthVersionLast="47" xr6:coauthVersionMax="47" xr10:uidLastSave="{C0FE6A59-CF44-4433-8488-1323C17B3037}"/>
  <bookViews>
    <workbookView xWindow="-110" yWindow="-110" windowWidth="19420" windowHeight="10300" firstSheet="1" activeTab="1" xr2:uid="{00000000-000D-0000-FFFF-FFFF00000000}"/>
  </bookViews>
  <sheets>
    <sheet name="GAMMA INGENIEROS" sheetId="5" r:id="rId1"/>
    <sheet name="COMPARATIVO" sheetId="1" r:id="rId2"/>
    <sheet name="INTERNEXA" sheetId="4" r:id="rId3"/>
    <sheet name="e&amp;C ING" sheetId="6" r:id="rId4"/>
    <sheet name="DATASEC" sheetId="7" r:id="rId5"/>
    <sheet name="WEXLER" sheetId="8"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40" i="5" l="1"/>
  <c r="K40" i="5"/>
  <c r="J40" i="5"/>
  <c r="J39" i="5"/>
  <c r="K39" i="5" s="1"/>
  <c r="L39" i="5" s="1"/>
  <c r="J38" i="5"/>
  <c r="K38" i="5" s="1"/>
  <c r="L38" i="5" s="1"/>
  <c r="K37" i="5"/>
  <c r="L37" i="5" s="1"/>
  <c r="J37" i="5"/>
  <c r="K36" i="5"/>
  <c r="L36" i="5" s="1"/>
  <c r="J36" i="5"/>
  <c r="J35" i="5"/>
  <c r="K35" i="5" s="1"/>
  <c r="L35" i="5" s="1"/>
  <c r="J34" i="5"/>
  <c r="K34" i="5" s="1"/>
  <c r="L34" i="5" s="1"/>
  <c r="J33" i="5"/>
  <c r="K33" i="5" s="1"/>
  <c r="L33" i="5" s="1"/>
  <c r="K31" i="5"/>
  <c r="L31" i="5" s="1"/>
  <c r="J31" i="5"/>
  <c r="J29" i="5"/>
  <c r="K29" i="5" s="1"/>
  <c r="L29" i="5" s="1"/>
  <c r="J28" i="5"/>
  <c r="K28" i="5" s="1"/>
  <c r="L28" i="5" s="1"/>
  <c r="J27" i="5"/>
  <c r="K27" i="5" s="1"/>
  <c r="L27" i="5" s="1"/>
  <c r="K26" i="5"/>
  <c r="L26" i="5" s="1"/>
  <c r="J26" i="5"/>
  <c r="J25" i="5"/>
  <c r="K25" i="5" s="1"/>
  <c r="L25" i="5" s="1"/>
  <c r="J24" i="5"/>
  <c r="K24" i="5" s="1"/>
  <c r="L24" i="5" s="1"/>
  <c r="J23" i="5"/>
  <c r="K23" i="5" s="1"/>
  <c r="L23" i="5" s="1"/>
  <c r="K21" i="5"/>
  <c r="L21" i="5" s="1"/>
  <c r="J21" i="5"/>
  <c r="J20" i="5"/>
  <c r="K20" i="5" s="1"/>
  <c r="L20" i="5" s="1"/>
  <c r="J19" i="5"/>
  <c r="K19" i="5" s="1"/>
  <c r="L19" i="5" s="1"/>
  <c r="J18" i="5"/>
  <c r="K18" i="5" s="1"/>
  <c r="L18" i="5" s="1"/>
  <c r="K17" i="5"/>
  <c r="L17" i="5" s="1"/>
  <c r="J17" i="5"/>
  <c r="J16" i="5"/>
  <c r="K16" i="5" s="1"/>
  <c r="L16" i="5" s="1"/>
  <c r="L41" i="5" l="1"/>
  <c r="AH18" i="1"/>
  <c r="AL17" i="1" l="1"/>
  <c r="AK17" i="1"/>
  <c r="AK18" i="1"/>
  <c r="AJ18" i="1"/>
  <c r="AG18" i="1"/>
  <c r="AH32" i="1" l="1"/>
  <c r="AG32" i="1"/>
  <c r="AB33" i="1"/>
  <c r="Y32" i="1"/>
  <c r="Z32" i="1"/>
  <c r="AA32" i="1" s="1"/>
  <c r="AB32" i="1" s="1"/>
  <c r="AE32" i="1"/>
  <c r="AF32" i="1" s="1"/>
  <c r="W32" i="1"/>
  <c r="X32" i="1" s="1"/>
  <c r="S32" i="1"/>
  <c r="T32" i="1" s="1"/>
  <c r="O32" i="1"/>
  <c r="P32" i="1" s="1"/>
  <c r="K32" i="1"/>
  <c r="L32" i="1" s="1"/>
  <c r="AI32" i="1" l="1"/>
  <c r="Z29" i="1" l="1"/>
  <c r="AA29" i="1" s="1"/>
  <c r="AB29" i="1" s="1"/>
  <c r="Z28" i="1"/>
  <c r="Y28" i="1"/>
  <c r="Z27" i="1"/>
  <c r="AA27" i="1" s="1"/>
  <c r="AB27" i="1" s="1"/>
  <c r="Z26" i="1"/>
  <c r="AA26" i="1" s="1"/>
  <c r="AB26" i="1" s="1"/>
  <c r="Z25" i="1"/>
  <c r="AA25" i="1" s="1"/>
  <c r="AB25" i="1" s="1"/>
  <c r="Z24" i="1"/>
  <c r="AA24" i="1" s="1"/>
  <c r="AB24" i="1" s="1"/>
  <c r="Z23" i="1"/>
  <c r="AA23" i="1" s="1"/>
  <c r="AB23" i="1" s="1"/>
  <c r="Z21" i="1"/>
  <c r="AA21" i="1" s="1"/>
  <c r="AB21" i="1" s="1"/>
  <c r="Z20" i="1"/>
  <c r="AA20" i="1" s="1"/>
  <c r="AB20" i="1" s="1"/>
  <c r="Z19" i="1"/>
  <c r="AA19" i="1" s="1"/>
  <c r="AB19" i="1" s="1"/>
  <c r="Z18" i="1"/>
  <c r="AA18" i="1" s="1"/>
  <c r="AB18" i="1" s="1"/>
  <c r="Z17" i="1"/>
  <c r="AA17" i="1" s="1"/>
  <c r="AB17" i="1" s="1"/>
  <c r="Z16" i="1"/>
  <c r="AA16" i="1" s="1"/>
  <c r="AB16" i="1" s="1"/>
  <c r="AD29" i="1"/>
  <c r="AE29" i="1" s="1"/>
  <c r="AF29" i="1" s="1"/>
  <c r="AD28" i="1"/>
  <c r="AC28" i="1" s="1"/>
  <c r="AD27" i="1"/>
  <c r="AE27" i="1" s="1"/>
  <c r="AF27" i="1" s="1"/>
  <c r="AC26" i="1"/>
  <c r="AD26" i="1" s="1"/>
  <c r="AE26" i="1" s="1"/>
  <c r="AF26" i="1" s="1"/>
  <c r="AC25" i="1"/>
  <c r="AD25" i="1" s="1"/>
  <c r="AE25" i="1" s="1"/>
  <c r="AF25" i="1" s="1"/>
  <c r="AC24" i="1"/>
  <c r="AD24" i="1" s="1"/>
  <c r="AE24" i="1" s="1"/>
  <c r="AF24" i="1" s="1"/>
  <c r="AD31" i="1"/>
  <c r="AE31" i="1" s="1"/>
  <c r="AF31" i="1" s="1"/>
  <c r="AD23" i="1"/>
  <c r="AE23" i="1" s="1"/>
  <c r="AF23" i="1" s="1"/>
  <c r="AD21" i="1"/>
  <c r="AE21" i="1" s="1"/>
  <c r="AF21" i="1" s="1"/>
  <c r="AD20" i="1"/>
  <c r="AE20" i="1" s="1"/>
  <c r="AF20" i="1" s="1"/>
  <c r="AD19" i="1"/>
  <c r="AE19" i="1" s="1"/>
  <c r="AF19" i="1" s="1"/>
  <c r="AD18" i="1"/>
  <c r="AE18" i="1" s="1"/>
  <c r="AF18" i="1" s="1"/>
  <c r="AD17" i="1"/>
  <c r="AE17" i="1" s="1"/>
  <c r="AF17" i="1" s="1"/>
  <c r="AD16" i="1"/>
  <c r="AE16" i="1" s="1"/>
  <c r="AF16" i="1" s="1"/>
  <c r="V31" i="1"/>
  <c r="W31" i="1" s="1"/>
  <c r="X31" i="1" s="1"/>
  <c r="V29" i="1"/>
  <c r="W29" i="1" s="1"/>
  <c r="X29" i="1" s="1"/>
  <c r="V28" i="1"/>
  <c r="W28" i="1" s="1"/>
  <c r="X28" i="1" s="1"/>
  <c r="V27" i="1"/>
  <c r="W27" i="1" s="1"/>
  <c r="X27" i="1" s="1"/>
  <c r="V26" i="1"/>
  <c r="W26" i="1" s="1"/>
  <c r="X26" i="1" s="1"/>
  <c r="V25" i="1"/>
  <c r="W25" i="1" s="1"/>
  <c r="X25" i="1" s="1"/>
  <c r="V24" i="1"/>
  <c r="W24" i="1" s="1"/>
  <c r="X24" i="1" s="1"/>
  <c r="V23" i="1"/>
  <c r="W23" i="1" s="1"/>
  <c r="X23" i="1" s="1"/>
  <c r="V21" i="1"/>
  <c r="W21" i="1" s="1"/>
  <c r="X21" i="1" s="1"/>
  <c r="V20" i="1"/>
  <c r="W20" i="1" s="1"/>
  <c r="X20" i="1" s="1"/>
  <c r="V19" i="1"/>
  <c r="W19" i="1" s="1"/>
  <c r="X19" i="1" s="1"/>
  <c r="V18" i="1"/>
  <c r="W18" i="1" s="1"/>
  <c r="X18" i="1" s="1"/>
  <c r="V17" i="1"/>
  <c r="W17" i="1" s="1"/>
  <c r="X17" i="1" s="1"/>
  <c r="V16" i="1"/>
  <c r="W16" i="1" s="1"/>
  <c r="X16" i="1" s="1"/>
  <c r="R31" i="1"/>
  <c r="S31" i="1" s="1"/>
  <c r="T31" i="1" s="1"/>
  <c r="R29" i="1"/>
  <c r="S29" i="1" s="1"/>
  <c r="T29" i="1" s="1"/>
  <c r="R28" i="1"/>
  <c r="S28" i="1" s="1"/>
  <c r="T28" i="1" s="1"/>
  <c r="R27" i="1"/>
  <c r="S27" i="1" s="1"/>
  <c r="T27" i="1" s="1"/>
  <c r="R26" i="1"/>
  <c r="S26" i="1" s="1"/>
  <c r="T26" i="1" s="1"/>
  <c r="R25" i="1"/>
  <c r="S25" i="1" s="1"/>
  <c r="T25" i="1" s="1"/>
  <c r="R24" i="1"/>
  <c r="S24" i="1" s="1"/>
  <c r="T24" i="1" s="1"/>
  <c r="R23" i="1"/>
  <c r="S23" i="1" s="1"/>
  <c r="T23" i="1" s="1"/>
  <c r="R21" i="1"/>
  <c r="S21" i="1" s="1"/>
  <c r="T21" i="1" s="1"/>
  <c r="R20" i="1"/>
  <c r="S20" i="1" s="1"/>
  <c r="T20" i="1" s="1"/>
  <c r="R19" i="1"/>
  <c r="S19" i="1" s="1"/>
  <c r="T19" i="1" s="1"/>
  <c r="R18" i="1"/>
  <c r="S18" i="1" s="1"/>
  <c r="T18" i="1" s="1"/>
  <c r="R17" i="1"/>
  <c r="S17" i="1" s="1"/>
  <c r="T17" i="1" s="1"/>
  <c r="R16" i="1"/>
  <c r="S16" i="1" s="1"/>
  <c r="T16" i="1" s="1"/>
  <c r="N31" i="1"/>
  <c r="O31" i="1" s="1"/>
  <c r="P31" i="1" s="1"/>
  <c r="N29" i="1"/>
  <c r="O29" i="1" s="1"/>
  <c r="P29" i="1" s="1"/>
  <c r="N28" i="1"/>
  <c r="O28" i="1" s="1"/>
  <c r="P28" i="1" s="1"/>
  <c r="N27" i="1"/>
  <c r="O27" i="1" s="1"/>
  <c r="P27" i="1" s="1"/>
  <c r="N26" i="1"/>
  <c r="O26" i="1" s="1"/>
  <c r="P26" i="1" s="1"/>
  <c r="N25" i="1"/>
  <c r="O25" i="1" s="1"/>
  <c r="P25" i="1" s="1"/>
  <c r="N24" i="1"/>
  <c r="O24" i="1" s="1"/>
  <c r="P24" i="1" s="1"/>
  <c r="N23" i="1"/>
  <c r="O23" i="1" s="1"/>
  <c r="P23" i="1" s="1"/>
  <c r="N21" i="1"/>
  <c r="O21" i="1" s="1"/>
  <c r="P21" i="1" s="1"/>
  <c r="N20" i="1"/>
  <c r="O20" i="1" s="1"/>
  <c r="P20" i="1" s="1"/>
  <c r="N19" i="1"/>
  <c r="O19" i="1" s="1"/>
  <c r="P19" i="1" s="1"/>
  <c r="N18" i="1"/>
  <c r="O18" i="1" s="1"/>
  <c r="P18" i="1" s="1"/>
  <c r="N17" i="1"/>
  <c r="O17" i="1" s="1"/>
  <c r="P17" i="1" s="1"/>
  <c r="N16" i="1"/>
  <c r="O16" i="1" s="1"/>
  <c r="P16" i="1" s="1"/>
  <c r="J24" i="1"/>
  <c r="J25" i="1"/>
  <c r="J26" i="1"/>
  <c r="J27" i="1"/>
  <c r="J28" i="1"/>
  <c r="J29" i="1"/>
  <c r="J23" i="1"/>
  <c r="J31" i="1"/>
  <c r="J17" i="1"/>
  <c r="J18" i="1"/>
  <c r="J19" i="1"/>
  <c r="J20" i="1"/>
  <c r="J21" i="1"/>
  <c r="J16" i="1"/>
  <c r="AI20" i="1" l="1"/>
  <c r="T33" i="1"/>
  <c r="X33" i="1"/>
  <c r="P33" i="1"/>
  <c r="AF33" i="1"/>
  <c r="K31" i="1"/>
  <c r="L31" i="1" s="1"/>
  <c r="K24" i="1"/>
  <c r="L24" i="1" s="1"/>
  <c r="K25" i="1"/>
  <c r="L25" i="1" s="1"/>
  <c r="K26" i="1"/>
  <c r="L26" i="1" s="1"/>
  <c r="K27" i="1"/>
  <c r="L27" i="1" s="1"/>
  <c r="K28" i="1"/>
  <c r="L28" i="1" s="1"/>
  <c r="K29" i="1"/>
  <c r="L29" i="1" s="1"/>
  <c r="K23" i="1"/>
  <c r="L23" i="1" s="1"/>
  <c r="K17" i="1"/>
  <c r="L17" i="1" s="1"/>
  <c r="K18" i="1"/>
  <c r="L18" i="1" s="1"/>
  <c r="K19" i="1"/>
  <c r="L19" i="1" s="1"/>
  <c r="K20" i="1"/>
  <c r="L20" i="1" s="1"/>
  <c r="K21" i="1"/>
  <c r="L21" i="1" s="1"/>
  <c r="AH21" i="1" s="1"/>
  <c r="K16" i="1"/>
  <c r="L16" i="1" s="1"/>
  <c r="AG25" i="1" l="1"/>
  <c r="AI25" i="1" s="1"/>
  <c r="AH25" i="1"/>
  <c r="AG24" i="1"/>
  <c r="AI24" i="1" s="1"/>
  <c r="AH24" i="1"/>
  <c r="AG19" i="1"/>
  <c r="AI19" i="1" s="1"/>
  <c r="AH19" i="1"/>
  <c r="AG16" i="1"/>
  <c r="AI16" i="1" s="1"/>
  <c r="AH16" i="1"/>
  <c r="AG31" i="1"/>
  <c r="AI31" i="1" s="1"/>
  <c r="AH31" i="1"/>
  <c r="AG20" i="1"/>
  <c r="AH20" i="1"/>
  <c r="AG17" i="1"/>
  <c r="AI17" i="1" s="1"/>
  <c r="AH17" i="1"/>
  <c r="AG23" i="1"/>
  <c r="AI23" i="1" s="1"/>
  <c r="AH23" i="1"/>
  <c r="AG29" i="1"/>
  <c r="AI29" i="1" s="1"/>
  <c r="AH29" i="1"/>
  <c r="AG26" i="1"/>
  <c r="AI26" i="1" s="1"/>
  <c r="AH26" i="1"/>
  <c r="AG27" i="1"/>
  <c r="AI27" i="1" s="1"/>
  <c r="AH27" i="1"/>
  <c r="AG21" i="1"/>
  <c r="AI21" i="1" s="1"/>
  <c r="L33" i="1"/>
  <c r="AH33" i="1" l="1"/>
  <c r="AG3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LUCHOLUG</author>
  </authors>
  <commentList>
    <comment ref="AG14" authorId="0" shapeId="0" xr:uid="{662D607E-F546-4DEC-AB29-A0A8FA38581D}">
      <text>
        <r>
          <rPr>
            <sz val="9"/>
            <color indexed="81"/>
            <rFont val="Tahoma"/>
            <family val="2"/>
          </rPr>
          <t xml:space="preserve">
En el análisis comparativo de las cotizaciones recibidas, se identificó una oferta con un valor sustancialmente superior respecto de las demás propuestas económicas, configurándose como un dato atípico que distorsiona el promedio simple del estudio de mercado y afecta la representatividad del valor estimado
La oferta No. 5 supera en algunos Items el promedio de las demás cotizaciones, sin evidenciar condiciones técnicas adicionales que justifiquen dicha diferencia.”
Con el fin de garantizar la razonabilidad económica del presupuesto oficial, se aplicó un criterio de depuración de datos atípicos, excluyendo valores que presentan desviaciones significativas frente a la tendencia central del mercado, estos Items son los resaltados en el estudio
se utiliza para estos el promedio depurado y en los demás el promedio simple.</t>
        </r>
      </text>
    </comment>
    <comment ref="G28" authorId="0" shapeId="0" xr:uid="{657DAA4A-1272-4BB7-A839-0EE54CBA8227}">
      <text>
        <r>
          <rPr>
            <b/>
            <sz val="9"/>
            <color indexed="81"/>
            <rFont val="Tahoma"/>
            <family val="2"/>
          </rPr>
          <t>Se debe Revisar ya que no son 10 licencias , si no 1 renovacion del soporte</t>
        </r>
        <r>
          <rPr>
            <sz val="9"/>
            <color indexed="81"/>
            <rFont val="Tahoma"/>
            <family val="2"/>
          </rPr>
          <t xml:space="preserve">
</t>
        </r>
      </text>
    </comment>
  </commentList>
</comments>
</file>

<file path=xl/sharedStrings.xml><?xml version="1.0" encoding="utf-8"?>
<sst xmlns="http://schemas.openxmlformats.org/spreadsheetml/2006/main" count="196" uniqueCount="60">
  <si>
    <t>Ítem</t>
  </si>
  <si>
    <t>Unidad de medida</t>
  </si>
  <si>
    <t>Cantidad</t>
  </si>
  <si>
    <t>Objeto</t>
  </si>
  <si>
    <t>Especificaciones</t>
  </si>
  <si>
    <t>Especificación Técnica</t>
  </si>
  <si>
    <t>Unidad</t>
  </si>
  <si>
    <t>Mes</t>
  </si>
  <si>
    <t xml:space="preserve">Ver el Anexo 2 - Condiciones Técnicas Mínimas Requeridas </t>
  </si>
  <si>
    <t>FORMATO DE OFERTA ECONÓMICA COMPLEMENTARIA</t>
  </si>
  <si>
    <t>NOTAS</t>
  </si>
  <si>
    <t>Valor unitario ofertado antes de IVA</t>
  </si>
  <si>
    <t xml:space="preserve">Tarifa IVA % </t>
  </si>
  <si>
    <t>Valor unitario ofertado IVA incluido</t>
  </si>
  <si>
    <t>Valor Total Ofertado IVA Incluido</t>
  </si>
  <si>
    <t>1. SERVICIOS EN CIBERSEGURIDAD</t>
  </si>
  <si>
    <t>Centro de Operaciones de Seguridad (SOC). Con Configuración del correlacionador de eventos SIEM </t>
  </si>
  <si>
    <t>Monitoreo de eventos en plataforma defender for office 365 y defender for end point.</t>
  </si>
  <si>
    <t xml:space="preserve">Administración Para la plataforma CIBERARK (Gestión de Usuarios Privilegiados) </t>
  </si>
  <si>
    <t>Pruebas de seguridad:</t>
  </si>
  <si>
    <t>1 PruebaVunerabilidades 100 IP</t>
  </si>
  <si>
    <t>1 Prueba ingeniería social – Ver detalle 7.5</t>
  </si>
  <si>
    <t>10 Pruebas de Pentest - EH para portales</t>
  </si>
  <si>
    <t>SOFTWARE COMO SERVICIO: correlacionador de eventos SIEM</t>
  </si>
  <si>
    <t>Renovación licenciamientos 5 equipos Fortinet : Ver literal 7.7</t>
  </si>
  <si>
    <t>- 2 NGFW Fortinet 1100E</t>
  </si>
  <si>
    <t>- 2 FortiWeb 1000E</t>
  </si>
  <si>
    <t>VPN/ZTNA 1700 End Points</t>
  </si>
  <si>
    <t>Renovación Soporte de Fabrica CYBERARK</t>
  </si>
  <si>
    <t>Gestion y remediación de vulnerabilidades.</t>
  </si>
  <si>
    <t>2. RENOVACION PRODUCTOS EN CIBERSEGURIDAD</t>
  </si>
  <si>
    <t>- 1 FortiAnalyzer 300G</t>
  </si>
  <si>
    <t xml:space="preserve">150 LICENCIAS Solución integral VICARIUS </t>
  </si>
  <si>
    <t>3. ADQUISICIÓN PRODUCTOS EN CIBERSEGURIDAD</t>
  </si>
  <si>
    <t>1. El proponente deberá diligenciar en su totalidad el Anexo oferta económica complementaria
2. Diligenciar la oferta económica en las celdas resaltadas en color azul en la columna "Valor unitario ofertado antes de IVA". Para proyectar su oferta, revisar las especificaciones técnicas definidas en el anexo No. XX y demás condiciones establecidas en los documentos del proceso
3. Diligenciar el porcentaje que corresponde a la Tarifa IVA (%) que aplique a cada ITEM, en las celdas resaltadas en color azul en la columna "Tarifa IVA %"
4. El formato debe ser firmado por el representante legal.
5. Para la estructuración y diligenciamiento de la oferta económica, se deberá revisar la hoja denominada "Aspectos a tener en cuenta"
6. Las cantidades y meses definitivos de los bienes y servicios objeto de la presente contratación serán dispuestos por la Entidad acorde con sus necesidades</t>
  </si>
  <si>
    <t>Contratar los servicios de centro de operaciones de seguridad, administración, protección, pruebas y gestión de incidentes de seguridad relacionadas con la plataforma tecnológica que soportan las actividades misionales y de fiscalización de la Agencia Nacional de Minería (Línea PAA 130005426_613000126)</t>
  </si>
  <si>
    <t>SubTotal IVA Incluido GAMMA INGENIEROS</t>
  </si>
  <si>
    <t>SubTotal IVA Incluido 
DATASEC</t>
  </si>
  <si>
    <t>SubTotal IVA Incluido 
E&amp;C INGENIEROS</t>
  </si>
  <si>
    <t>SubTotal IVA Incluido 
WEXLER</t>
  </si>
  <si>
    <t>SubTotal IVA Incluido 
INTERNEXA</t>
  </si>
  <si>
    <t>PROMEDIO SIMPLE DEPURADO</t>
  </si>
  <si>
    <t>DISTORISION</t>
  </si>
  <si>
    <t>SubTotal IVA Incluido 
REAL TIME</t>
  </si>
  <si>
    <t>MEDIANA</t>
  </si>
  <si>
    <t xml:space="preserve">FortiPAM para 20 Usuarios administradores, SW inlcuye Advance Malware Protection, agente , implementación y puesta en Marcha y soporte por 12 meses </t>
  </si>
  <si>
    <t xml:space="preserve"> FortiSIEM en VM para 50 dispositivos y 1000 EPS implementación y puesta en Marcha con soporte a 12 meses</t>
  </si>
  <si>
    <t>SubTotal IVA Incluido</t>
  </si>
  <si>
    <t xml:space="preserve"> FortiSIEM en VM para 50 dispositivos y 1000 EPS con soporte a 12 meses</t>
  </si>
  <si>
    <t>4. RENOVACION PRODUCTOS EN CIBERSEGURIDAD ( OPCIONALES )</t>
  </si>
  <si>
    <t>En constancia, firma:</t>
  </si>
  <si>
    <t xml:space="preserve">FIRMA DEL REPRESENTANTE LEGAL </t>
  </si>
  <si>
    <t>Nombre del representante legal</t>
  </si>
  <si>
    <t>Gabriel de Jesus Mazo</t>
  </si>
  <si>
    <t xml:space="preserve">No. de identificación </t>
  </si>
  <si>
    <t>cc. 10.528.956</t>
  </si>
  <si>
    <t>Nombre del proponente</t>
  </si>
  <si>
    <t>Oferta Gamma Ingenieros</t>
  </si>
  <si>
    <t>Fecha de diligenciamiento de la oferta</t>
  </si>
  <si>
    <t>15 de Mayo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</si>
</sst>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4" formatCode="_-&quot;$&quot;\ * #,##0.00_-;\-&quot;$&quot;\ * #,##0.00_-;_-&quot;$&quot;\ * &quot;-&quot;??_-;_-@_-"/>
    <numFmt numFmtId="43" formatCode="_-* #,##0.00_-;\-* #,##0.00_-;_-* &quot;-&quot;??_-;_-@_-"/>
    <numFmt numFmtId="164" formatCode="_(&quot;$&quot;* #,##0_);_(&quot;$&quot;* \(#,##0\);_(&quot;$&quot;* &quot;-&quot;_);_(@_)"/>
    <numFmt numFmtId="165" formatCode="_(&quot;$&quot;* #,##0.00_);_(&quot;$&quot;* \(#,##0.00\);_(&quot;$&quot;* &quot;-&quot;??_);_(@_)"/>
    <numFmt numFmtId="166" formatCode="_-* #,##0.00\ &quot;Pts&quot;_-;\-* #,##0.00\ &quot;Pts&quot;_-;_-* &quot;-&quot;??\ &quot;Pts&quot;_-;_-@_-"/>
    <numFmt numFmtId="167" formatCode="_(&quot;$&quot;\ * #,##0.00_);_(&quot;$&quot;\ * \(#,##0.00\);_(&quot;$&quot;\ * &quot;-&quot;??_);_(@_)"/>
    <numFmt numFmtId="168" formatCode="&quot;$&quot;\ #,##0"/>
  </numFmts>
  <fonts count="20" x14ac:knownFonts="1">
    <font>
      <sz val="11"/>
      <color theme="1"/>
      <name val="Calibri"/>
      <family val="2"/>
      <scheme val="minor"/>
    </font>
    <font>
      <sz val="11"/>
      <color theme="1"/>
      <name val="Calibri"/>
      <family val="2"/>
      <scheme val="minor"/>
    </font>
    <font>
      <b/>
      <sz val="11"/>
      <color rgb="FF000000"/>
      <name val="Arial Narrow"/>
      <family val="2"/>
    </font>
    <font>
      <sz val="11"/>
      <color rgb="FF000000"/>
      <name val="Arial Narrow"/>
      <family val="2"/>
    </font>
    <font>
      <sz val="10"/>
      <name val="Arial"/>
      <family val="2"/>
    </font>
    <font>
      <sz val="12"/>
      <color theme="1"/>
      <name val="Calibri"/>
      <family val="2"/>
      <scheme val="minor"/>
    </font>
    <font>
      <sz val="11"/>
      <color indexed="8"/>
      <name val="Calibri"/>
      <family val="2"/>
    </font>
    <font>
      <sz val="10"/>
      <color indexed="8"/>
      <name val="Arial"/>
      <family val="2"/>
    </font>
    <font>
      <b/>
      <sz val="11"/>
      <color theme="1"/>
      <name val="Calibri"/>
      <family val="2"/>
      <scheme val="minor"/>
    </font>
    <font>
      <b/>
      <sz val="11"/>
      <name val="Arial Narrow"/>
      <family val="2"/>
    </font>
    <font>
      <sz val="11"/>
      <name val="Arial Narrow"/>
      <family val="2"/>
    </font>
    <font>
      <sz val="9"/>
      <color indexed="81"/>
      <name val="Tahoma"/>
      <family val="2"/>
    </font>
    <font>
      <b/>
      <sz val="9"/>
      <color indexed="81"/>
      <name val="Tahoma"/>
      <family val="2"/>
    </font>
    <font>
      <b/>
      <sz val="11"/>
      <color theme="0"/>
      <name val="Arial Narrow"/>
      <family val="2"/>
    </font>
    <font>
      <sz val="11"/>
      <name val="Calibri"/>
      <family val="2"/>
      <scheme val="minor"/>
    </font>
    <font>
      <sz val="11"/>
      <name val="Arial"/>
      <family val="2"/>
    </font>
    <font>
      <b/>
      <sz val="9"/>
      <name val="Arial"/>
      <family val="2"/>
    </font>
    <font>
      <sz val="9"/>
      <name val="Arial"/>
      <family val="2"/>
    </font>
    <font>
      <sz val="8"/>
      <color theme="1"/>
      <name val="Calibri"/>
      <family val="2"/>
      <scheme val="minor"/>
    </font>
    <font>
      <sz val="8"/>
      <color theme="1"/>
      <name val="Arial Narrow"/>
      <family val="2"/>
    </font>
  </fonts>
  <fills count="15">
    <fill>
      <patternFill patternType="none"/>
    </fill>
    <fill>
      <patternFill patternType="gray125"/>
    </fill>
    <fill>
      <patternFill patternType="solid">
        <fgColor rgb="FFFFFFFF"/>
        <bgColor indexed="64"/>
      </patternFill>
    </fill>
    <fill>
      <patternFill patternType="solid">
        <fgColor rgb="FFEEEEEE"/>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rgb="FFFF0000"/>
        <bgColor indexed="64"/>
      </patternFill>
    </fill>
    <fill>
      <patternFill patternType="solid">
        <fgColor theme="5" tint="0.59999389629810485"/>
        <bgColor indexed="64"/>
      </patternFill>
    </fill>
    <fill>
      <patternFill patternType="solid">
        <fgColor rgb="FFF9D3F3"/>
        <bgColor indexed="64"/>
      </patternFill>
    </fill>
    <fill>
      <patternFill patternType="solid">
        <fgColor theme="7" tint="0.79998168889431442"/>
        <bgColor indexed="64"/>
      </patternFill>
    </fill>
    <fill>
      <patternFill patternType="solid">
        <fgColor theme="8" tint="-0.249977111117893"/>
        <bgColor indexed="64"/>
      </patternFill>
    </fill>
    <fill>
      <patternFill patternType="solid">
        <fgColor theme="1" tint="0.34998626667073579"/>
        <bgColor indexed="64"/>
      </patternFill>
    </fill>
    <fill>
      <patternFill patternType="solid">
        <fgColor theme="5" tint="0.79998168889431442"/>
        <bgColor indexed="64"/>
      </patternFill>
    </fill>
  </fills>
  <borders count="33">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theme="0"/>
      </right>
      <top style="thin">
        <color theme="0"/>
      </top>
      <bottom/>
      <diagonal/>
    </border>
    <border>
      <left style="medium">
        <color indexed="64"/>
      </left>
      <right style="thin">
        <color indexed="64"/>
      </right>
      <top/>
      <bottom/>
      <diagonal/>
    </border>
    <border>
      <left/>
      <right style="thin">
        <color theme="0"/>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theme="0"/>
      </right>
      <top/>
      <bottom style="thin">
        <color theme="0"/>
      </bottom>
      <diagonal/>
    </border>
  </borders>
  <cellStyleXfs count="23">
    <xf numFmtId="0" fontId="0" fillId="0" borderId="0"/>
    <xf numFmtId="166" fontId="4" fillId="0" borderId="0" applyFont="0" applyFill="0" applyBorder="0" applyAlignment="0" applyProtection="0"/>
    <xf numFmtId="0" fontId="5" fillId="0" borderId="0"/>
    <xf numFmtId="165" fontId="5" fillId="0" borderId="0" applyFont="0" applyFill="0" applyBorder="0" applyAlignment="0" applyProtection="0"/>
    <xf numFmtId="9" fontId="5"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0" fontId="4" fillId="0" borderId="0"/>
    <xf numFmtId="43"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0" fontId="7" fillId="2" borderId="1" applyNumberFormat="0" applyProtection="0">
      <alignment horizontal="left"/>
    </xf>
    <xf numFmtId="0" fontId="7" fillId="3" borderId="1" applyNumberFormat="0" applyProtection="0">
      <alignment horizontal="left"/>
    </xf>
    <xf numFmtId="165"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cellStyleXfs>
  <cellXfs count="95">
    <xf numFmtId="0" fontId="0" fillId="0" borderId="0" xfId="0"/>
    <xf numFmtId="0" fontId="9" fillId="4"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0" fillId="0" borderId="3" xfId="0" applyBorder="1"/>
    <xf numFmtId="0" fontId="0" fillId="0" borderId="3" xfId="0" applyBorder="1" applyAlignment="1">
      <alignment horizontal="center" vertical="center"/>
    </xf>
    <xf numFmtId="0" fontId="0" fillId="0" borderId="4" xfId="0" applyBorder="1"/>
    <xf numFmtId="0" fontId="0" fillId="0" borderId="5" xfId="0" applyBorder="1"/>
    <xf numFmtId="0" fontId="0" fillId="0" borderId="6" xfId="0" applyBorder="1"/>
    <xf numFmtId="0" fontId="0" fillId="0" borderId="7" xfId="0" applyBorder="1"/>
    <xf numFmtId="0" fontId="0" fillId="0" borderId="4" xfId="0" applyBorder="1" applyAlignment="1">
      <alignment horizontal="center" vertical="center"/>
    </xf>
    <xf numFmtId="0" fontId="0" fillId="0" borderId="5" xfId="0" applyBorder="1" applyAlignment="1">
      <alignment horizontal="center" vertical="center"/>
    </xf>
    <xf numFmtId="0" fontId="2" fillId="0" borderId="7" xfId="0" applyFont="1" applyBorder="1" applyAlignment="1">
      <alignment horizontal="center" vertical="center" wrapText="1"/>
    </xf>
    <xf numFmtId="0" fontId="3" fillId="0" borderId="7" xfId="0" applyFont="1" applyBorder="1" applyAlignment="1">
      <alignment horizontal="center" vertical="center" wrapText="1"/>
    </xf>
    <xf numFmtId="0" fontId="0" fillId="0" borderId="8" xfId="0" applyBorder="1"/>
    <xf numFmtId="168" fontId="3" fillId="5" borderId="2" xfId="0" applyNumberFormat="1" applyFont="1" applyFill="1" applyBorder="1" applyAlignment="1">
      <alignment horizontal="center" vertical="center" wrapText="1"/>
    </xf>
    <xf numFmtId="168" fontId="3" fillId="0" borderId="2" xfId="0" applyNumberFormat="1" applyFont="1" applyBorder="1" applyAlignment="1">
      <alignment horizontal="center" vertical="center" wrapText="1"/>
    </xf>
    <xf numFmtId="168" fontId="2" fillId="0" borderId="2" xfId="0" applyNumberFormat="1" applyFont="1" applyBorder="1" applyAlignment="1">
      <alignment horizontal="center" vertical="center" wrapText="1"/>
    </xf>
    <xf numFmtId="0" fontId="3" fillId="0" borderId="2" xfId="0" applyFont="1" applyBorder="1" applyAlignment="1">
      <alignment vertical="center" wrapText="1"/>
    </xf>
    <xf numFmtId="49" fontId="3" fillId="0" borderId="2" xfId="0" applyNumberFormat="1" applyFont="1" applyBorder="1" applyAlignment="1">
      <alignment horizontal="center" vertical="center" wrapText="1"/>
    </xf>
    <xf numFmtId="0" fontId="3" fillId="6" borderId="2" xfId="0" applyFont="1" applyFill="1" applyBorder="1" applyAlignment="1">
      <alignment horizontal="center" vertical="center" wrapText="1"/>
    </xf>
    <xf numFmtId="44" fontId="3" fillId="5" borderId="2" xfId="21" applyFont="1" applyFill="1" applyBorder="1" applyAlignment="1">
      <alignment horizontal="center" vertical="center" wrapText="1"/>
    </xf>
    <xf numFmtId="0" fontId="8" fillId="0" borderId="2" xfId="0" applyFont="1" applyBorder="1" applyAlignment="1">
      <alignment horizontal="center" vertical="center"/>
    </xf>
    <xf numFmtId="0" fontId="9" fillId="7" borderId="2" xfId="0" applyFont="1" applyFill="1" applyBorder="1" applyAlignment="1">
      <alignment horizontal="center" vertical="center" wrapText="1"/>
    </xf>
    <xf numFmtId="0" fontId="3" fillId="8" borderId="2" xfId="0" applyFont="1" applyFill="1" applyBorder="1" applyAlignment="1">
      <alignment horizontal="center" vertical="center" wrapText="1"/>
    </xf>
    <xf numFmtId="0" fontId="9" fillId="9" borderId="2"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9" fillId="10" borderId="2" xfId="0" applyFont="1" applyFill="1" applyBorder="1" applyAlignment="1">
      <alignment horizontal="center" vertical="center" wrapText="1"/>
    </xf>
    <xf numFmtId="9" fontId="3" fillId="0" borderId="2" xfId="22" applyFont="1" applyFill="1" applyBorder="1" applyAlignment="1">
      <alignment horizontal="center" vertical="center" wrapText="1"/>
    </xf>
    <xf numFmtId="9" fontId="2" fillId="0" borderId="2" xfId="22" applyFont="1" applyFill="1" applyBorder="1" applyAlignment="1">
      <alignment horizontal="center" vertical="center" wrapText="1"/>
    </xf>
    <xf numFmtId="168" fontId="0" fillId="0" borderId="3" xfId="0" applyNumberFormat="1" applyBorder="1"/>
    <xf numFmtId="0" fontId="13" fillId="12" borderId="2" xfId="0" applyFont="1" applyFill="1" applyBorder="1" applyAlignment="1">
      <alignment horizontal="center" vertical="center" wrapText="1"/>
    </xf>
    <xf numFmtId="168" fontId="3" fillId="9" borderId="2" xfId="0" applyNumberFormat="1" applyFont="1" applyFill="1" applyBorder="1" applyAlignment="1">
      <alignment horizontal="center" vertical="center" wrapText="1"/>
    </xf>
    <xf numFmtId="44" fontId="3" fillId="9" borderId="2" xfId="21" applyFont="1" applyFill="1" applyBorder="1" applyAlignment="1">
      <alignment horizontal="center" vertical="center" wrapText="1"/>
    </xf>
    <xf numFmtId="9" fontId="9" fillId="11" borderId="2" xfId="22" applyFont="1" applyFill="1" applyBorder="1" applyAlignment="1">
      <alignment horizontal="center" vertical="center" wrapText="1"/>
    </xf>
    <xf numFmtId="0" fontId="14" fillId="0" borderId="3" xfId="0" applyFont="1" applyBorder="1"/>
    <xf numFmtId="44" fontId="3" fillId="0" borderId="2" xfId="21" applyFont="1" applyFill="1" applyBorder="1" applyAlignment="1">
      <alignment horizontal="center" vertical="center" wrapText="1"/>
    </xf>
    <xf numFmtId="0" fontId="8" fillId="0" borderId="2" xfId="0" applyFont="1" applyBorder="1" applyAlignment="1">
      <alignment horizontal="center" vertical="center" wrapText="1"/>
    </xf>
    <xf numFmtId="168" fontId="3" fillId="13" borderId="2" xfId="0" applyNumberFormat="1" applyFont="1" applyFill="1" applyBorder="1" applyAlignment="1">
      <alignment horizontal="center" vertical="center" wrapText="1"/>
    </xf>
    <xf numFmtId="0" fontId="3" fillId="0" borderId="19" xfId="0" applyFont="1" applyBorder="1" applyAlignment="1">
      <alignment horizontal="center" vertical="center" wrapText="1"/>
    </xf>
    <xf numFmtId="0" fontId="3" fillId="0" borderId="2" xfId="0" applyFont="1" applyBorder="1" applyAlignment="1">
      <alignment horizontal="center" vertical="center" wrapText="1"/>
    </xf>
    <xf numFmtId="0" fontId="9" fillId="4" borderId="2" xfId="0" applyFont="1" applyFill="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20" xfId="0" applyFont="1" applyBorder="1" applyAlignment="1">
      <alignment horizontal="center" vertical="center" wrapText="1"/>
    </xf>
    <xf numFmtId="0" fontId="8" fillId="0" borderId="2" xfId="0" applyFont="1" applyBorder="1" applyAlignment="1">
      <alignment horizontal="center" vertical="center"/>
    </xf>
    <xf numFmtId="0" fontId="2" fillId="4" borderId="2" xfId="0" applyFont="1" applyFill="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0" xfId="0" applyFont="1" applyBorder="1" applyAlignment="1">
      <alignment horizontal="center" vertical="center" wrapText="1"/>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9" xfId="0" applyFont="1" applyBorder="1" applyAlignment="1">
      <alignment horizontal="left" vertical="center" wrapText="1"/>
    </xf>
    <xf numFmtId="0" fontId="10" fillId="0" borderId="14" xfId="0" applyFont="1" applyBorder="1" applyAlignment="1">
      <alignment horizontal="left" vertical="center" wrapText="1"/>
    </xf>
    <xf numFmtId="0" fontId="10" fillId="0" borderId="10" xfId="0" applyFont="1" applyBorder="1" applyAlignment="1">
      <alignment horizontal="left" vertical="center" wrapText="1"/>
    </xf>
    <xf numFmtId="0" fontId="9" fillId="4" borderId="17" xfId="0" applyFont="1" applyFill="1" applyBorder="1" applyAlignment="1">
      <alignment horizontal="center" vertical="center" wrapText="1"/>
    </xf>
    <xf numFmtId="0" fontId="2" fillId="0" borderId="21" xfId="0" applyFont="1" applyBorder="1" applyAlignment="1">
      <alignment horizontal="center" vertical="center" wrapText="1"/>
    </xf>
    <xf numFmtId="0" fontId="3" fillId="0" borderId="22" xfId="0" applyFont="1" applyBorder="1" applyAlignment="1">
      <alignment horizontal="center" vertical="center" wrapText="1"/>
    </xf>
    <xf numFmtId="49" fontId="3" fillId="0" borderId="23" xfId="0" applyNumberFormat="1" applyFont="1" applyBorder="1" applyAlignment="1">
      <alignment horizontal="center" vertical="center" wrapText="1"/>
    </xf>
    <xf numFmtId="0" fontId="3" fillId="0" borderId="23" xfId="0" applyFont="1" applyBorder="1" applyAlignment="1">
      <alignment horizontal="center" vertical="center" wrapText="1"/>
    </xf>
    <xf numFmtId="0" fontId="3" fillId="14" borderId="23" xfId="0" applyFont="1" applyFill="1" applyBorder="1" applyAlignment="1">
      <alignment horizontal="center" vertical="center" wrapText="1"/>
    </xf>
    <xf numFmtId="168" fontId="3" fillId="0" borderId="23" xfId="0" applyNumberFormat="1" applyFont="1" applyBorder="1" applyAlignment="1">
      <alignment horizontal="center" vertical="center" wrapText="1"/>
    </xf>
    <xf numFmtId="168" fontId="3" fillId="0" borderId="24" xfId="0" applyNumberFormat="1" applyFont="1" applyBorder="1" applyAlignment="1">
      <alignment horizontal="center" vertical="center" wrapText="1"/>
    </xf>
    <xf numFmtId="0" fontId="0" fillId="0" borderId="25" xfId="0" applyBorder="1" applyAlignment="1">
      <alignment horizontal="center" vertical="center" wrapText="1"/>
    </xf>
    <xf numFmtId="0" fontId="2" fillId="0" borderId="26" xfId="0" applyFont="1" applyBorder="1" applyAlignment="1">
      <alignment horizontal="center" vertical="center" wrapText="1"/>
    </xf>
    <xf numFmtId="0" fontId="3" fillId="14" borderId="2" xfId="0" applyFont="1" applyFill="1" applyBorder="1" applyAlignment="1">
      <alignment horizontal="center" vertical="center" wrapText="1"/>
    </xf>
    <xf numFmtId="168" fontId="3" fillId="0" borderId="15" xfId="0" applyNumberFormat="1" applyFont="1" applyBorder="1" applyAlignment="1">
      <alignment horizontal="center" vertical="center" wrapText="1"/>
    </xf>
    <xf numFmtId="0" fontId="0" fillId="0" borderId="27" xfId="0" applyBorder="1" applyAlignment="1">
      <alignment horizontal="center" vertical="center" wrapText="1"/>
    </xf>
    <xf numFmtId="0" fontId="2" fillId="0" borderId="28" xfId="0" applyFont="1" applyBorder="1" applyAlignment="1">
      <alignment horizontal="center" vertical="center" wrapText="1"/>
    </xf>
    <xf numFmtId="0" fontId="3" fillId="0" borderId="29" xfId="0" applyFont="1" applyBorder="1" applyAlignment="1">
      <alignment horizontal="center" vertical="center" wrapText="1"/>
    </xf>
    <xf numFmtId="49" fontId="3" fillId="0" borderId="30" xfId="0" applyNumberFormat="1" applyFont="1" applyBorder="1" applyAlignment="1">
      <alignment horizontal="center" vertical="center" wrapText="1"/>
    </xf>
    <xf numFmtId="0" fontId="3" fillId="0" borderId="30" xfId="0" applyFont="1" applyBorder="1" applyAlignment="1">
      <alignment horizontal="center" vertical="center" wrapText="1"/>
    </xf>
    <xf numFmtId="0" fontId="3" fillId="14" borderId="30" xfId="0" applyFont="1" applyFill="1" applyBorder="1" applyAlignment="1">
      <alignment horizontal="center" vertical="center" wrapText="1"/>
    </xf>
    <xf numFmtId="168" fontId="3" fillId="0" borderId="30" xfId="0" applyNumberFormat="1" applyFont="1" applyBorder="1" applyAlignment="1">
      <alignment horizontal="center" vertical="center" wrapText="1"/>
    </xf>
    <xf numFmtId="168" fontId="3" fillId="0" borderId="31" xfId="0" applyNumberFormat="1" applyFont="1" applyBorder="1" applyAlignment="1">
      <alignment horizontal="center" vertical="center" wrapText="1"/>
    </xf>
    <xf numFmtId="49" fontId="3" fillId="0" borderId="19" xfId="0" applyNumberFormat="1" applyFont="1" applyBorder="1" applyAlignment="1">
      <alignment horizontal="center" vertical="center" wrapText="1"/>
    </xf>
    <xf numFmtId="0" fontId="3" fillId="6" borderId="19" xfId="0" applyFont="1" applyFill="1" applyBorder="1" applyAlignment="1">
      <alignment horizontal="center" vertical="center" wrapText="1"/>
    </xf>
    <xf numFmtId="168" fontId="3" fillId="0" borderId="19" xfId="0" applyNumberFormat="1" applyFont="1" applyBorder="1" applyAlignment="1">
      <alignment horizontal="center" vertical="center" wrapText="1"/>
    </xf>
    <xf numFmtId="0" fontId="0" fillId="0" borderId="32" xfId="0" applyBorder="1" applyAlignment="1">
      <alignment horizontal="center" vertical="center" wrapText="1"/>
    </xf>
    <xf numFmtId="0" fontId="10" fillId="0" borderId="3" xfId="0" applyFont="1" applyBorder="1" applyAlignment="1" applyProtection="1">
      <alignment vertical="center"/>
      <protection locked="0"/>
    </xf>
    <xf numFmtId="0" fontId="15" fillId="2" borderId="3" xfId="0" applyFont="1" applyFill="1" applyBorder="1" applyAlignment="1" applyProtection="1">
      <alignment vertical="center"/>
      <protection locked="0"/>
    </xf>
    <xf numFmtId="0" fontId="16" fillId="2" borderId="3" xfId="0" applyFont="1" applyFill="1" applyBorder="1" applyAlignment="1" applyProtection="1">
      <alignment vertical="center"/>
      <protection locked="0"/>
    </xf>
    <xf numFmtId="0" fontId="17" fillId="2" borderId="3" xfId="0" applyFont="1" applyFill="1" applyBorder="1" applyAlignment="1" applyProtection="1">
      <alignment vertical="center"/>
      <protection locked="0"/>
    </xf>
    <xf numFmtId="0" fontId="17" fillId="0" borderId="3" xfId="0" applyFont="1" applyBorder="1" applyProtection="1">
      <protection locked="0"/>
    </xf>
    <xf numFmtId="0" fontId="18" fillId="2" borderId="3" xfId="0" applyFont="1" applyFill="1" applyBorder="1" applyAlignment="1">
      <alignment horizontal="center" vertical="center" wrapText="1"/>
    </xf>
    <xf numFmtId="0" fontId="19" fillId="0" borderId="3" xfId="0" applyFont="1" applyBorder="1" applyAlignment="1">
      <alignment horizontal="center" vertical="center" wrapText="1"/>
    </xf>
  </cellXfs>
  <cellStyles count="23">
    <cellStyle name="Currency [0]" xfId="19" xr:uid="{00000000-0005-0000-0000-000000000000}"/>
    <cellStyle name="Millares [0] 2" xfId="7" xr:uid="{00000000-0005-0000-0000-000001000000}"/>
    <cellStyle name="Millares 2" xfId="6" xr:uid="{00000000-0005-0000-0000-000002000000}"/>
    <cellStyle name="Millares 2 2" xfId="13" xr:uid="{00000000-0005-0000-0000-000003000000}"/>
    <cellStyle name="Millares 3" xfId="9" xr:uid="{00000000-0005-0000-0000-000004000000}"/>
    <cellStyle name="Millares 3 2" xfId="14" xr:uid="{00000000-0005-0000-0000-000005000000}"/>
    <cellStyle name="Millares 4" xfId="11" xr:uid="{00000000-0005-0000-0000-000006000000}"/>
    <cellStyle name="Millares 41" xfId="12" xr:uid="{00000000-0005-0000-0000-000007000000}"/>
    <cellStyle name="Moneda" xfId="21" builtinId="4"/>
    <cellStyle name="Moneda 2" xfId="1" xr:uid="{00000000-0005-0000-0000-000008000000}"/>
    <cellStyle name="Moneda 2 2" xfId="8" xr:uid="{00000000-0005-0000-0000-000009000000}"/>
    <cellStyle name="Moneda 3" xfId="3" xr:uid="{00000000-0005-0000-0000-00000A000000}"/>
    <cellStyle name="Moneda 3 2" xfId="15" xr:uid="{00000000-0005-0000-0000-00000B000000}"/>
    <cellStyle name="Moneda 4" xfId="5" xr:uid="{00000000-0005-0000-0000-00000C000000}"/>
    <cellStyle name="Moneda 5" xfId="18" xr:uid="{00000000-0005-0000-0000-00000D000000}"/>
    <cellStyle name="Normal" xfId="0" builtinId="0"/>
    <cellStyle name="Normal 2" xfId="2" xr:uid="{00000000-0005-0000-0000-00000F000000}"/>
    <cellStyle name="Normal 2 2" xfId="10" xr:uid="{00000000-0005-0000-0000-000010000000}"/>
    <cellStyle name="Normal 3" xfId="20" xr:uid="{00000000-0005-0000-0000-000011000000}"/>
    <cellStyle name="Porcentaje" xfId="22" builtinId="5"/>
    <cellStyle name="Porcentaje 2" xfId="4" xr:uid="{00000000-0005-0000-0000-000012000000}"/>
    <cellStyle name="xls-style-2" xfId="16" xr:uid="{00000000-0005-0000-0000-000013000000}"/>
    <cellStyle name="xls-style-3" xfId="17" xr:uid="{00000000-0005-0000-0000-000014000000}"/>
  </cellStyles>
  <dxfs count="0"/>
  <tableStyles count="0" defaultTableStyle="TableStyleMedium2" defaultPivotStyle="PivotStyleLight16"/>
  <colors>
    <mruColors>
      <color rgb="FFF9D3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editAs="oneCell">
    <xdr:from>
      <xdr:col>1</xdr:col>
      <xdr:colOff>277906</xdr:colOff>
      <xdr:row>1</xdr:row>
      <xdr:rowOff>44823</xdr:rowOff>
    </xdr:from>
    <xdr:to>
      <xdr:col>2</xdr:col>
      <xdr:colOff>969309</xdr:colOff>
      <xdr:row>4</xdr:row>
      <xdr:rowOff>110826</xdr:rowOff>
    </xdr:to>
    <xdr:pic>
      <xdr:nvPicPr>
        <xdr:cNvPr id="2" name="Imagen 1" descr="Patrón de fondo&#10;&#10;Descripción generada automáticamente con confianza media">
          <a:extLst>
            <a:ext uri="{FF2B5EF4-FFF2-40B4-BE49-F238E27FC236}">
              <a16:creationId xmlns:a16="http://schemas.microsoft.com/office/drawing/2014/main" id="{C07B6849-20E8-4238-B7B1-8380220551A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3006" y="228973"/>
          <a:ext cx="1212103" cy="61845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277906</xdr:colOff>
      <xdr:row>1</xdr:row>
      <xdr:rowOff>44823</xdr:rowOff>
    </xdr:from>
    <xdr:to>
      <xdr:col>2</xdr:col>
      <xdr:colOff>969309</xdr:colOff>
      <xdr:row>4</xdr:row>
      <xdr:rowOff>104476</xdr:rowOff>
    </xdr:to>
    <xdr:pic>
      <xdr:nvPicPr>
        <xdr:cNvPr id="4" name="Imagen 3" descr="Patrón de fondo&#10;&#10;Descripción generada automáticamente con confianza media">
          <a:extLst>
            <a:ext uri="{FF2B5EF4-FFF2-40B4-BE49-F238E27FC236}">
              <a16:creationId xmlns:a16="http://schemas.microsoft.com/office/drawing/2014/main" id="{E2AE97F3-11F3-CA60-CCE7-4175DA039C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6800" y="224117"/>
          <a:ext cx="1238250" cy="6007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222250</xdr:colOff>
          <xdr:row>1</xdr:row>
          <xdr:rowOff>6350</xdr:rowOff>
        </xdr:from>
        <xdr:to>
          <xdr:col>8</xdr:col>
          <xdr:colOff>371662</xdr:colOff>
          <xdr:row>27</xdr:row>
          <xdr:rowOff>44450</xdr:rowOff>
        </xdr:to>
        <xdr:sp macro="" textlink="">
          <xdr:nvSpPr>
            <xdr:cNvPr id="6145" name="Object 1" hidden="1">
              <a:extLst>
                <a:ext uri="{63B3BB69-23CF-44E3-9099-C40C66FF867C}">
                  <a14:compatExt spid="_x0000_s6145"/>
                </a:ext>
                <a:ext uri="{FF2B5EF4-FFF2-40B4-BE49-F238E27FC236}">
                  <a16:creationId xmlns:a16="http://schemas.microsoft.com/office/drawing/2014/main" id="{CBEEA8E7-8E39-442C-0757-64684A4DC81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438150</xdr:colOff>
          <xdr:row>0</xdr:row>
          <xdr:rowOff>171450</xdr:rowOff>
        </xdr:from>
        <xdr:to>
          <xdr:col>7</xdr:col>
          <xdr:colOff>704850</xdr:colOff>
          <xdr:row>43</xdr:row>
          <xdr:rowOff>178696</xdr:rowOff>
        </xdr:to>
        <xdr:sp macro="" textlink="">
          <xdr:nvSpPr>
            <xdr:cNvPr id="7169" name="Object 1" hidden="1">
              <a:extLst>
                <a:ext uri="{63B3BB69-23CF-44E3-9099-C40C66FF867C}">
                  <a14:compatExt spid="_x0000_s7169"/>
                </a:ext>
                <a:ext uri="{FF2B5EF4-FFF2-40B4-BE49-F238E27FC236}">
                  <a16:creationId xmlns:a16="http://schemas.microsoft.com/office/drawing/2014/main" id="{6012C072-45E7-BE0F-1F1A-72F799D2C7C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6</xdr:col>
          <xdr:colOff>457200</xdr:colOff>
          <xdr:row>21</xdr:row>
          <xdr:rowOff>19050</xdr:rowOff>
        </xdr:to>
        <xdr:sp macro="" textlink="">
          <xdr:nvSpPr>
            <xdr:cNvPr id="8193" name="Object 1" hidden="1">
              <a:extLst>
                <a:ext uri="{63B3BB69-23CF-44E3-9099-C40C66FF867C}">
                  <a14:compatExt spid="_x0000_s8193"/>
                </a:ext>
                <a:ext uri="{FF2B5EF4-FFF2-40B4-BE49-F238E27FC236}">
                  <a16:creationId xmlns:a16="http://schemas.microsoft.com/office/drawing/2014/main" id="{49EBF1E1-F5DB-C15D-269F-325C356F0F4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6</xdr:col>
          <xdr:colOff>457200</xdr:colOff>
          <xdr:row>21</xdr:row>
          <xdr:rowOff>19050</xdr:rowOff>
        </xdr:to>
        <xdr:sp macro="" textlink="">
          <xdr:nvSpPr>
            <xdr:cNvPr id="9217" name="Object 1" hidden="1">
              <a:extLst>
                <a:ext uri="{63B3BB69-23CF-44E3-9099-C40C66FF867C}">
                  <a14:compatExt spid="_x0000_s9217"/>
                </a:ext>
                <a:ext uri="{FF2B5EF4-FFF2-40B4-BE49-F238E27FC236}">
                  <a16:creationId xmlns:a16="http://schemas.microsoft.com/office/drawing/2014/main" id="{8B6C0A0B-B657-B0FA-40CC-4354171F854C}"/>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4.emf"/><Relationship Id="rId4" Type="http://schemas.openxmlformats.org/officeDocument/2006/relationships/oleObject" Target="../embeddings/oleObject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image" Target="../media/image5.emf"/><Relationship Id="rId4" Type="http://schemas.openxmlformats.org/officeDocument/2006/relationships/oleObject" Target="../embeddings/oleObject3.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openxmlformats.org/officeDocument/2006/relationships/image" Target="../media/image6.emf"/><Relationship Id="rId4" Type="http://schemas.openxmlformats.org/officeDocument/2006/relationships/oleObject" Target="../embeddings/oleObject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52E26-4E35-4AE1-BE0D-58C75DD7917F}">
  <dimension ref="A1:M52"/>
  <sheetViews>
    <sheetView topLeftCell="A32" zoomScale="85" zoomScaleNormal="85" workbookViewId="0">
      <selection activeCell="D51" sqref="D51"/>
    </sheetView>
  </sheetViews>
  <sheetFormatPr baseColWidth="10" defaultColWidth="11.453125" defaultRowHeight="14.5" x14ac:dyDescent="0.35"/>
  <cols>
    <col min="1" max="1" width="2.36328125" style="4" customWidth="1"/>
    <col min="2" max="2" width="7.453125" style="4" customWidth="1"/>
    <col min="3" max="3" width="16" style="4" customWidth="1"/>
    <col min="4" max="4" width="38.36328125" style="4" customWidth="1"/>
    <col min="5" max="5" width="30.453125" style="4" customWidth="1"/>
    <col min="6" max="6" width="10.453125" style="4" customWidth="1"/>
    <col min="7" max="7" width="8.81640625" style="4" bestFit="1" customWidth="1"/>
    <col min="8" max="8" width="8.81640625" style="4" customWidth="1"/>
    <col min="9" max="9" width="19" style="4" customWidth="1"/>
    <col min="10" max="10" width="16.1796875" style="4" bestFit="1" customWidth="1"/>
    <col min="11" max="11" width="18.36328125" style="4" customWidth="1"/>
    <col min="12" max="12" width="22.1796875" style="4" customWidth="1"/>
    <col min="13" max="13" width="25.6328125" style="4" customWidth="1"/>
    <col min="14" max="16384" width="11.453125" style="4"/>
  </cols>
  <sheetData>
    <row r="1" spans="1:13" x14ac:dyDescent="0.35">
      <c r="B1" s="8"/>
      <c r="C1" s="8"/>
      <c r="D1" s="8"/>
      <c r="E1" s="8"/>
      <c r="F1" s="8"/>
      <c r="G1" s="8"/>
      <c r="H1" s="8"/>
      <c r="I1" s="8"/>
      <c r="J1" s="8"/>
      <c r="K1" s="8"/>
      <c r="L1" s="8"/>
    </row>
    <row r="2" spans="1:13" x14ac:dyDescent="0.35">
      <c r="A2" s="6"/>
      <c r="B2" s="50" t="s">
        <v>9</v>
      </c>
      <c r="C2" s="50"/>
      <c r="D2" s="50"/>
      <c r="E2" s="50"/>
      <c r="F2" s="50"/>
      <c r="G2" s="50"/>
      <c r="H2" s="50"/>
      <c r="I2" s="50"/>
      <c r="J2" s="50"/>
      <c r="K2" s="50"/>
      <c r="L2" s="50"/>
      <c r="M2" s="7"/>
    </row>
    <row r="3" spans="1:13" x14ac:dyDescent="0.35">
      <c r="A3" s="6"/>
      <c r="B3" s="50"/>
      <c r="C3" s="50"/>
      <c r="D3" s="50"/>
      <c r="E3" s="50"/>
      <c r="F3" s="50"/>
      <c r="G3" s="50"/>
      <c r="H3" s="50"/>
      <c r="I3" s="50"/>
      <c r="J3" s="50"/>
      <c r="K3" s="50"/>
      <c r="L3" s="50"/>
      <c r="M3" s="7"/>
    </row>
    <row r="4" spans="1:13" x14ac:dyDescent="0.35">
      <c r="A4" s="6"/>
      <c r="B4" s="50"/>
      <c r="C4" s="50"/>
      <c r="D4" s="50"/>
      <c r="E4" s="50"/>
      <c r="F4" s="50"/>
      <c r="G4" s="50"/>
      <c r="H4" s="50"/>
      <c r="I4" s="50"/>
      <c r="J4" s="50"/>
      <c r="K4" s="50"/>
      <c r="L4" s="50"/>
      <c r="M4" s="7"/>
    </row>
    <row r="5" spans="1:13" x14ac:dyDescent="0.35">
      <c r="A5" s="6"/>
      <c r="B5" s="50"/>
      <c r="C5" s="50"/>
      <c r="D5" s="50"/>
      <c r="E5" s="50"/>
      <c r="F5" s="50"/>
      <c r="G5" s="50"/>
      <c r="H5" s="50"/>
      <c r="I5" s="50"/>
      <c r="J5" s="50"/>
      <c r="K5" s="50"/>
      <c r="L5" s="50"/>
      <c r="M5" s="7"/>
    </row>
    <row r="6" spans="1:13" x14ac:dyDescent="0.35">
      <c r="B6" s="9"/>
      <c r="C6" s="9"/>
      <c r="D6" s="9"/>
      <c r="E6" s="9"/>
      <c r="F6" s="9"/>
      <c r="G6" s="9"/>
      <c r="H6" s="9"/>
      <c r="I6" s="9"/>
      <c r="J6" s="9"/>
      <c r="K6" s="9"/>
      <c r="L6" s="9"/>
    </row>
    <row r="7" spans="1:13" x14ac:dyDescent="0.35">
      <c r="B7" s="8"/>
      <c r="C7" s="8"/>
      <c r="D7" s="8"/>
      <c r="E7" s="8"/>
      <c r="F7" s="8"/>
      <c r="G7" s="8"/>
      <c r="H7" s="8"/>
      <c r="I7" s="8"/>
      <c r="J7" s="8"/>
      <c r="K7" s="8"/>
      <c r="L7" s="8"/>
    </row>
    <row r="8" spans="1:13" ht="16.5" customHeight="1" x14ac:dyDescent="0.35">
      <c r="A8" s="6"/>
      <c r="B8" s="51" t="s">
        <v>3</v>
      </c>
      <c r="C8" s="52" t="s">
        <v>35</v>
      </c>
      <c r="D8" s="53"/>
      <c r="E8" s="53"/>
      <c r="F8" s="53"/>
      <c r="G8" s="53"/>
      <c r="H8" s="53"/>
      <c r="I8" s="53"/>
      <c r="J8" s="53"/>
      <c r="K8" s="53"/>
      <c r="L8" s="54"/>
      <c r="M8" s="7"/>
    </row>
    <row r="9" spans="1:13" ht="15" customHeight="1" x14ac:dyDescent="0.35">
      <c r="A9" s="6"/>
      <c r="B9" s="51"/>
      <c r="C9" s="55"/>
      <c r="D9" s="56"/>
      <c r="E9" s="56"/>
      <c r="F9" s="56"/>
      <c r="G9" s="56"/>
      <c r="H9" s="56"/>
      <c r="I9" s="56"/>
      <c r="J9" s="56"/>
      <c r="K9" s="56"/>
      <c r="L9" s="57"/>
      <c r="M9" s="7"/>
    </row>
    <row r="10" spans="1:13" ht="15" customHeight="1" x14ac:dyDescent="0.35">
      <c r="B10" s="14"/>
      <c r="C10" s="9"/>
      <c r="D10" s="9"/>
      <c r="E10" s="9"/>
      <c r="F10" s="9"/>
      <c r="G10" s="9"/>
      <c r="H10" s="9"/>
      <c r="I10" s="9"/>
      <c r="J10" s="9"/>
      <c r="K10" s="9"/>
      <c r="L10" s="9"/>
    </row>
    <row r="11" spans="1:13" ht="66" customHeight="1" x14ac:dyDescent="0.35">
      <c r="B11" s="51" t="s">
        <v>10</v>
      </c>
      <c r="C11" s="58" t="s">
        <v>34</v>
      </c>
      <c r="D11" s="59"/>
      <c r="E11" s="59"/>
      <c r="F11" s="59"/>
      <c r="G11" s="59"/>
      <c r="H11" s="59"/>
      <c r="I11" s="59"/>
      <c r="J11" s="59"/>
      <c r="K11" s="59"/>
      <c r="L11" s="60"/>
    </row>
    <row r="12" spans="1:13" ht="61.5" customHeight="1" x14ac:dyDescent="0.35">
      <c r="B12" s="51"/>
      <c r="C12" s="61"/>
      <c r="D12" s="62"/>
      <c r="E12" s="62"/>
      <c r="F12" s="62"/>
      <c r="G12" s="62"/>
      <c r="H12" s="62"/>
      <c r="I12" s="62"/>
      <c r="J12" s="62"/>
      <c r="K12" s="62"/>
      <c r="L12" s="63"/>
    </row>
    <row r="13" spans="1:13" x14ac:dyDescent="0.35">
      <c r="A13" s="6"/>
      <c r="B13" s="6"/>
      <c r="C13" s="6"/>
      <c r="D13" s="6"/>
      <c r="E13" s="6"/>
      <c r="F13" s="6"/>
      <c r="G13" s="6"/>
      <c r="H13" s="6"/>
      <c r="I13" s="6"/>
      <c r="J13" s="6"/>
      <c r="K13" s="6"/>
      <c r="L13" s="6"/>
      <c r="M13" s="6"/>
    </row>
    <row r="14" spans="1:13" s="5" customFormat="1" ht="47" customHeight="1" x14ac:dyDescent="0.35">
      <c r="A14" s="10"/>
      <c r="B14" s="1" t="s">
        <v>0</v>
      </c>
      <c r="C14" s="41" t="s">
        <v>4</v>
      </c>
      <c r="D14" s="41"/>
      <c r="E14" s="1" t="s">
        <v>5</v>
      </c>
      <c r="F14" s="1" t="s">
        <v>1</v>
      </c>
      <c r="G14" s="1" t="s">
        <v>2</v>
      </c>
      <c r="H14" s="1" t="s">
        <v>7</v>
      </c>
      <c r="I14" s="1" t="s">
        <v>11</v>
      </c>
      <c r="J14" s="1" t="s">
        <v>12</v>
      </c>
      <c r="K14" s="1" t="s">
        <v>13</v>
      </c>
      <c r="L14" s="1" t="s">
        <v>47</v>
      </c>
      <c r="M14" s="11"/>
    </row>
    <row r="15" spans="1:13" ht="26.5" customHeight="1" x14ac:dyDescent="0.35">
      <c r="A15" s="6"/>
      <c r="B15" s="41" t="s">
        <v>15</v>
      </c>
      <c r="C15" s="41"/>
      <c r="D15" s="41"/>
      <c r="E15" s="41"/>
      <c r="F15" s="41"/>
      <c r="G15" s="41"/>
      <c r="H15" s="41"/>
      <c r="I15" s="41"/>
      <c r="J15" s="41"/>
      <c r="K15" s="41"/>
      <c r="L15" s="41"/>
      <c r="M15" s="7"/>
    </row>
    <row r="16" spans="1:13" ht="54.75" customHeight="1" x14ac:dyDescent="0.35">
      <c r="A16" s="6"/>
      <c r="B16" s="2">
        <v>1</v>
      </c>
      <c r="C16" s="40" t="s">
        <v>16</v>
      </c>
      <c r="D16" s="40"/>
      <c r="E16" s="3" t="s">
        <v>8</v>
      </c>
      <c r="F16" s="3" t="s">
        <v>6</v>
      </c>
      <c r="G16" s="3">
        <v>1</v>
      </c>
      <c r="H16" s="3">
        <v>12</v>
      </c>
      <c r="I16" s="15">
        <v>28865002</v>
      </c>
      <c r="J16" s="21">
        <f>I16*19%</f>
        <v>5484350.3799999999</v>
      </c>
      <c r="K16" s="16">
        <f>+J16+I16</f>
        <v>34349352.380000003</v>
      </c>
      <c r="L16" s="16">
        <f>+K16*H16*G16</f>
        <v>412192228.56000006</v>
      </c>
      <c r="M16" s="7"/>
    </row>
    <row r="17" spans="1:13" ht="28" x14ac:dyDescent="0.35">
      <c r="A17" s="6"/>
      <c r="B17" s="2">
        <v>2</v>
      </c>
      <c r="C17" s="40" t="s">
        <v>17</v>
      </c>
      <c r="D17" s="40"/>
      <c r="E17" s="3" t="s">
        <v>8</v>
      </c>
      <c r="F17" s="3" t="s">
        <v>6</v>
      </c>
      <c r="G17" s="3">
        <v>1</v>
      </c>
      <c r="H17" s="3">
        <v>12</v>
      </c>
      <c r="I17" s="15">
        <v>4749884.33</v>
      </c>
      <c r="J17" s="21">
        <f t="shared" ref="J17:J21" si="0">I17*19%</f>
        <v>902478.02269999997</v>
      </c>
      <c r="K17" s="16">
        <f t="shared" ref="K17:K21" si="1">+J17+I17</f>
        <v>5652362.3526999997</v>
      </c>
      <c r="L17" s="16">
        <f t="shared" ref="L17:L21" si="2">+K17*H17*G17</f>
        <v>67828348.2324</v>
      </c>
      <c r="M17" s="7"/>
    </row>
    <row r="18" spans="1:13" ht="48" customHeight="1" x14ac:dyDescent="0.35">
      <c r="A18" s="6"/>
      <c r="B18" s="2">
        <v>3</v>
      </c>
      <c r="C18" s="40" t="s">
        <v>18</v>
      </c>
      <c r="D18" s="40"/>
      <c r="E18" s="3" t="s">
        <v>8</v>
      </c>
      <c r="F18" s="3" t="s">
        <v>6</v>
      </c>
      <c r="G18" s="3">
        <v>1</v>
      </c>
      <c r="H18" s="3">
        <v>12</v>
      </c>
      <c r="I18" s="15">
        <v>3262413.25</v>
      </c>
      <c r="J18" s="21">
        <f t="shared" si="0"/>
        <v>619858.51749999996</v>
      </c>
      <c r="K18" s="16">
        <f t="shared" si="1"/>
        <v>3882271.7675000001</v>
      </c>
      <c r="L18" s="16">
        <f t="shared" si="2"/>
        <v>46587261.210000001</v>
      </c>
      <c r="M18" s="7"/>
    </row>
    <row r="19" spans="1:13" ht="16.5" customHeight="1" x14ac:dyDescent="0.35">
      <c r="A19" s="6"/>
      <c r="B19" s="42">
        <v>4</v>
      </c>
      <c r="C19" s="45" t="s">
        <v>19</v>
      </c>
      <c r="D19" s="18" t="s">
        <v>20</v>
      </c>
      <c r="E19" s="3" t="s">
        <v>8</v>
      </c>
      <c r="F19" s="3" t="s">
        <v>6</v>
      </c>
      <c r="G19" s="3">
        <v>1</v>
      </c>
      <c r="H19" s="3">
        <v>1</v>
      </c>
      <c r="I19" s="15">
        <v>9566700</v>
      </c>
      <c r="J19" s="21">
        <f t="shared" si="0"/>
        <v>1817673</v>
      </c>
      <c r="K19" s="16">
        <f t="shared" si="1"/>
        <v>11384373</v>
      </c>
      <c r="L19" s="16">
        <f t="shared" si="2"/>
        <v>11384373</v>
      </c>
      <c r="M19" s="7"/>
    </row>
    <row r="20" spans="1:13" ht="28" x14ac:dyDescent="0.35">
      <c r="A20" s="6"/>
      <c r="B20" s="43"/>
      <c r="C20" s="46"/>
      <c r="D20" s="18" t="s">
        <v>21</v>
      </c>
      <c r="E20" s="3" t="s">
        <v>8</v>
      </c>
      <c r="F20" s="3" t="s">
        <v>6</v>
      </c>
      <c r="G20" s="3">
        <v>1</v>
      </c>
      <c r="H20" s="3">
        <v>1</v>
      </c>
      <c r="I20" s="15">
        <v>116666667</v>
      </c>
      <c r="J20" s="21">
        <f t="shared" si="0"/>
        <v>22166666.73</v>
      </c>
      <c r="K20" s="16">
        <f t="shared" si="1"/>
        <v>138833333.72999999</v>
      </c>
      <c r="L20" s="16">
        <f t="shared" si="2"/>
        <v>138833333.72999999</v>
      </c>
      <c r="M20" s="7"/>
    </row>
    <row r="21" spans="1:13" ht="28" x14ac:dyDescent="0.35">
      <c r="A21" s="6"/>
      <c r="B21" s="43"/>
      <c r="C21" s="46"/>
      <c r="D21" s="18" t="s">
        <v>22</v>
      </c>
      <c r="E21" s="3" t="s">
        <v>8</v>
      </c>
      <c r="F21" s="3" t="s">
        <v>6</v>
      </c>
      <c r="G21" s="3">
        <v>10</v>
      </c>
      <c r="H21" s="3">
        <v>1</v>
      </c>
      <c r="I21" s="15">
        <v>1333334</v>
      </c>
      <c r="J21" s="21">
        <f t="shared" si="0"/>
        <v>253333.46</v>
      </c>
      <c r="K21" s="16">
        <f t="shared" si="1"/>
        <v>1586667.46</v>
      </c>
      <c r="L21" s="16">
        <f t="shared" si="2"/>
        <v>15866674.6</v>
      </c>
      <c r="M21" s="7"/>
    </row>
    <row r="22" spans="1:13" ht="24" customHeight="1" x14ac:dyDescent="0.35">
      <c r="A22" s="6"/>
      <c r="B22" s="41" t="s">
        <v>30</v>
      </c>
      <c r="C22" s="41"/>
      <c r="D22" s="41"/>
      <c r="E22" s="41"/>
      <c r="F22" s="41"/>
      <c r="G22" s="41"/>
      <c r="H22" s="41"/>
      <c r="I22" s="41"/>
      <c r="J22" s="41"/>
      <c r="K22" s="41"/>
      <c r="L22" s="41"/>
      <c r="M22" s="7"/>
    </row>
    <row r="23" spans="1:13" ht="28" x14ac:dyDescent="0.35">
      <c r="A23" s="6"/>
      <c r="B23" s="2">
        <v>1</v>
      </c>
      <c r="C23" s="40" t="s">
        <v>23</v>
      </c>
      <c r="D23" s="40"/>
      <c r="E23" s="3" t="s">
        <v>8</v>
      </c>
      <c r="F23" s="3" t="s">
        <v>6</v>
      </c>
      <c r="G23" s="3">
        <v>1</v>
      </c>
      <c r="H23" s="3">
        <v>2</v>
      </c>
      <c r="I23" s="15">
        <v>26397232</v>
      </c>
      <c r="J23" s="21">
        <f>I23*19%</f>
        <v>5015474.08</v>
      </c>
      <c r="K23" s="16">
        <f>+J23+I23</f>
        <v>31412706.079999998</v>
      </c>
      <c r="L23" s="16">
        <f>+K23*H23*G23</f>
        <v>62825412.159999996</v>
      </c>
      <c r="M23" s="7"/>
    </row>
    <row r="24" spans="1:13" ht="28" x14ac:dyDescent="0.35">
      <c r="A24" s="6"/>
      <c r="B24" s="42">
        <v>2</v>
      </c>
      <c r="C24" s="45" t="s">
        <v>24</v>
      </c>
      <c r="D24" s="19" t="s">
        <v>25</v>
      </c>
      <c r="E24" s="3" t="s">
        <v>8</v>
      </c>
      <c r="F24" s="3" t="s">
        <v>6</v>
      </c>
      <c r="G24" s="3">
        <v>2</v>
      </c>
      <c r="H24" s="20">
        <v>12</v>
      </c>
      <c r="I24" s="15">
        <v>6743759.5</v>
      </c>
      <c r="J24" s="21">
        <f t="shared" ref="J24:J29" si="3">I24*19%</f>
        <v>1281314.3049999999</v>
      </c>
      <c r="K24" s="16">
        <f t="shared" ref="K24:K29" si="4">+J24+I24</f>
        <v>8025073.8049999997</v>
      </c>
      <c r="L24" s="16">
        <f t="shared" ref="L24:L29" si="5">+K24*H24*G24</f>
        <v>192601771.31999999</v>
      </c>
      <c r="M24" s="7"/>
    </row>
    <row r="25" spans="1:13" ht="28" x14ac:dyDescent="0.35">
      <c r="A25" s="6"/>
      <c r="B25" s="43"/>
      <c r="C25" s="46"/>
      <c r="D25" s="19" t="s">
        <v>26</v>
      </c>
      <c r="E25" s="3" t="s">
        <v>8</v>
      </c>
      <c r="F25" s="3" t="s">
        <v>6</v>
      </c>
      <c r="G25" s="3">
        <v>2</v>
      </c>
      <c r="H25" s="20">
        <v>12</v>
      </c>
      <c r="I25" s="15">
        <v>9816560.5999999996</v>
      </c>
      <c r="J25" s="21">
        <f t="shared" si="3"/>
        <v>1865146.514</v>
      </c>
      <c r="K25" s="16">
        <f t="shared" si="4"/>
        <v>11681707.114</v>
      </c>
      <c r="L25" s="16">
        <f t="shared" si="5"/>
        <v>280360970.736</v>
      </c>
      <c r="M25" s="7"/>
    </row>
    <row r="26" spans="1:13" ht="28" x14ac:dyDescent="0.35">
      <c r="A26" s="6"/>
      <c r="B26" s="43"/>
      <c r="C26" s="46"/>
      <c r="D26" s="19" t="s">
        <v>31</v>
      </c>
      <c r="E26" s="3" t="s">
        <v>8</v>
      </c>
      <c r="F26" s="3" t="s">
        <v>6</v>
      </c>
      <c r="G26" s="3">
        <v>1</v>
      </c>
      <c r="H26" s="20">
        <v>12</v>
      </c>
      <c r="I26" s="15">
        <v>3833896.6</v>
      </c>
      <c r="J26" s="21">
        <f t="shared" si="3"/>
        <v>728440.35400000005</v>
      </c>
      <c r="K26" s="16">
        <f t="shared" si="4"/>
        <v>4562336.9539999999</v>
      </c>
      <c r="L26" s="16">
        <f t="shared" si="5"/>
        <v>54748043.447999999</v>
      </c>
      <c r="M26" s="7"/>
    </row>
    <row r="27" spans="1:13" ht="28" x14ac:dyDescent="0.35">
      <c r="A27" s="6"/>
      <c r="B27" s="44"/>
      <c r="C27" s="47"/>
      <c r="D27" s="19" t="s">
        <v>27</v>
      </c>
      <c r="E27" s="3" t="s">
        <v>8</v>
      </c>
      <c r="F27" s="3" t="s">
        <v>6</v>
      </c>
      <c r="G27" s="3">
        <v>1700</v>
      </c>
      <c r="H27" s="20">
        <v>12</v>
      </c>
      <c r="I27" s="15">
        <v>4097.3999999999996</v>
      </c>
      <c r="J27" s="21">
        <f t="shared" si="3"/>
        <v>778.50599999999997</v>
      </c>
      <c r="K27" s="16">
        <f t="shared" si="4"/>
        <v>4875.9059999999999</v>
      </c>
      <c r="L27" s="16">
        <f t="shared" si="5"/>
        <v>99468482.400000006</v>
      </c>
      <c r="M27" s="7"/>
    </row>
    <row r="28" spans="1:13" ht="28" x14ac:dyDescent="0.35">
      <c r="A28" s="6"/>
      <c r="B28" s="2">
        <v>3</v>
      </c>
      <c r="C28" s="48" t="s">
        <v>28</v>
      </c>
      <c r="D28" s="49"/>
      <c r="E28" s="3" t="s">
        <v>8</v>
      </c>
      <c r="F28" s="3" t="s">
        <v>6</v>
      </c>
      <c r="G28" s="3">
        <v>10</v>
      </c>
      <c r="H28" s="3">
        <v>12</v>
      </c>
      <c r="I28" s="15">
        <v>2402474.0499999998</v>
      </c>
      <c r="J28" s="21">
        <f t="shared" si="3"/>
        <v>456470.06949999998</v>
      </c>
      <c r="K28" s="16">
        <f t="shared" si="4"/>
        <v>2858944.1195</v>
      </c>
      <c r="L28" s="16">
        <f t="shared" si="5"/>
        <v>343073294.34000003</v>
      </c>
      <c r="M28" s="7"/>
    </row>
    <row r="29" spans="1:13" ht="42" x14ac:dyDescent="0.35">
      <c r="A29" s="6"/>
      <c r="B29" s="2">
        <v>4</v>
      </c>
      <c r="C29" s="18" t="s">
        <v>29</v>
      </c>
      <c r="D29" s="18" t="s">
        <v>32</v>
      </c>
      <c r="E29" s="3" t="s">
        <v>8</v>
      </c>
      <c r="F29" s="3" t="s">
        <v>6</v>
      </c>
      <c r="G29" s="3">
        <v>150</v>
      </c>
      <c r="H29" s="3">
        <v>12</v>
      </c>
      <c r="I29" s="15">
        <v>25906.78</v>
      </c>
      <c r="J29" s="21">
        <f t="shared" si="3"/>
        <v>4922.2882</v>
      </c>
      <c r="K29" s="16">
        <f t="shared" si="4"/>
        <v>30829.068199999998</v>
      </c>
      <c r="L29" s="16">
        <f t="shared" si="5"/>
        <v>55492322.759999998</v>
      </c>
      <c r="M29" s="7"/>
    </row>
    <row r="30" spans="1:13" x14ac:dyDescent="0.35">
      <c r="A30" s="6"/>
      <c r="B30" s="41" t="s">
        <v>33</v>
      </c>
      <c r="C30" s="41"/>
      <c r="D30" s="41"/>
      <c r="E30" s="41"/>
      <c r="F30" s="41"/>
      <c r="G30" s="41"/>
      <c r="H30" s="41"/>
      <c r="I30" s="41"/>
      <c r="J30" s="41"/>
      <c r="K30" s="41"/>
      <c r="L30" s="41"/>
      <c r="M30" s="11"/>
    </row>
    <row r="31" spans="1:13" ht="28" x14ac:dyDescent="0.35">
      <c r="A31" s="6"/>
      <c r="B31" s="2">
        <v>1</v>
      </c>
      <c r="C31" s="40" t="s">
        <v>48</v>
      </c>
      <c r="D31" s="40"/>
      <c r="E31" s="3" t="s">
        <v>8</v>
      </c>
      <c r="F31" s="3" t="s">
        <v>6</v>
      </c>
      <c r="G31" s="3">
        <v>1</v>
      </c>
      <c r="H31" s="3">
        <v>12</v>
      </c>
      <c r="I31" s="15">
        <v>11882956.1</v>
      </c>
      <c r="J31" s="21">
        <f>I31*19%</f>
        <v>2257761.659</v>
      </c>
      <c r="K31" s="16">
        <f>+J31+I31</f>
        <v>14140717.759</v>
      </c>
      <c r="L31" s="16">
        <f>+K31*H31*G31</f>
        <v>169688613.10799998</v>
      </c>
      <c r="M31" s="7"/>
    </row>
    <row r="32" spans="1:13" ht="15" thickBot="1" x14ac:dyDescent="0.4">
      <c r="A32" s="6"/>
      <c r="B32" s="64" t="s">
        <v>49</v>
      </c>
      <c r="C32" s="64"/>
      <c r="D32" s="64"/>
      <c r="E32" s="64"/>
      <c r="F32" s="64"/>
      <c r="G32" s="64"/>
      <c r="H32" s="64"/>
      <c r="I32" s="64"/>
      <c r="J32" s="64"/>
      <c r="K32" s="64"/>
      <c r="L32" s="64"/>
      <c r="M32" s="7"/>
    </row>
    <row r="33" spans="1:13" ht="28" x14ac:dyDescent="0.35">
      <c r="A33" s="6"/>
      <c r="B33" s="65">
        <v>1</v>
      </c>
      <c r="C33" s="66" t="s">
        <v>24</v>
      </c>
      <c r="D33" s="67" t="s">
        <v>25</v>
      </c>
      <c r="E33" s="68" t="s">
        <v>8</v>
      </c>
      <c r="F33" s="68" t="s">
        <v>6</v>
      </c>
      <c r="G33" s="68">
        <v>2</v>
      </c>
      <c r="H33" s="69">
        <v>24</v>
      </c>
      <c r="I33" s="15"/>
      <c r="J33" s="21">
        <f>I33*19%</f>
        <v>0</v>
      </c>
      <c r="K33" s="70">
        <f t="shared" ref="K33:K40" si="6">+J33+I33</f>
        <v>0</v>
      </c>
      <c r="L33" s="71">
        <f t="shared" ref="L33:L40" si="7">+K33*H33*G33</f>
        <v>0</v>
      </c>
      <c r="M33" s="72"/>
    </row>
    <row r="34" spans="1:13" ht="28" x14ac:dyDescent="0.35">
      <c r="A34" s="6"/>
      <c r="B34" s="73"/>
      <c r="C34" s="46"/>
      <c r="D34" s="19" t="s">
        <v>26</v>
      </c>
      <c r="E34" s="3" t="s">
        <v>8</v>
      </c>
      <c r="F34" s="3" t="s">
        <v>6</v>
      </c>
      <c r="G34" s="3">
        <v>2</v>
      </c>
      <c r="H34" s="74">
        <v>24</v>
      </c>
      <c r="I34" s="15"/>
      <c r="J34" s="21">
        <f>I34*19%</f>
        <v>0</v>
      </c>
      <c r="K34" s="16">
        <f t="shared" si="6"/>
        <v>0</v>
      </c>
      <c r="L34" s="75">
        <f t="shared" si="7"/>
        <v>0</v>
      </c>
      <c r="M34" s="76"/>
    </row>
    <row r="35" spans="1:13" ht="28" x14ac:dyDescent="0.35">
      <c r="A35" s="6"/>
      <c r="B35" s="73"/>
      <c r="C35" s="46"/>
      <c r="D35" s="19" t="s">
        <v>31</v>
      </c>
      <c r="E35" s="3" t="s">
        <v>8</v>
      </c>
      <c r="F35" s="3" t="s">
        <v>6</v>
      </c>
      <c r="G35" s="3">
        <v>1</v>
      </c>
      <c r="H35" s="74">
        <v>24</v>
      </c>
      <c r="I35" s="15"/>
      <c r="J35" s="21">
        <f>I35*19%</f>
        <v>0</v>
      </c>
      <c r="K35" s="16">
        <f t="shared" si="6"/>
        <v>0</v>
      </c>
      <c r="L35" s="75">
        <f t="shared" si="7"/>
        <v>0</v>
      </c>
      <c r="M35" s="76"/>
    </row>
    <row r="36" spans="1:13" ht="28.5" thickBot="1" x14ac:dyDescent="0.4">
      <c r="A36" s="6"/>
      <c r="B36" s="77"/>
      <c r="C36" s="78"/>
      <c r="D36" s="79" t="s">
        <v>27</v>
      </c>
      <c r="E36" s="80" t="s">
        <v>8</v>
      </c>
      <c r="F36" s="80" t="s">
        <v>6</v>
      </c>
      <c r="G36" s="80">
        <v>1700</v>
      </c>
      <c r="H36" s="81">
        <v>24</v>
      </c>
      <c r="I36" s="15"/>
      <c r="J36" s="21">
        <f>I36*19%</f>
        <v>0</v>
      </c>
      <c r="K36" s="82">
        <f t="shared" si="6"/>
        <v>0</v>
      </c>
      <c r="L36" s="83">
        <f t="shared" si="7"/>
        <v>0</v>
      </c>
      <c r="M36" s="76"/>
    </row>
    <row r="37" spans="1:13" ht="28" x14ac:dyDescent="0.35">
      <c r="A37" s="6"/>
      <c r="B37" s="43">
        <v>2</v>
      </c>
      <c r="C37" s="46" t="s">
        <v>24</v>
      </c>
      <c r="D37" s="84" t="s">
        <v>25</v>
      </c>
      <c r="E37" s="39" t="s">
        <v>8</v>
      </c>
      <c r="F37" s="39" t="s">
        <v>6</v>
      </c>
      <c r="G37" s="39">
        <v>2</v>
      </c>
      <c r="H37" s="85">
        <v>36</v>
      </c>
      <c r="I37" s="15"/>
      <c r="J37" s="21">
        <f t="shared" ref="J37:J40" si="8">I37*19%</f>
        <v>0</v>
      </c>
      <c r="K37" s="86">
        <f t="shared" si="6"/>
        <v>0</v>
      </c>
      <c r="L37" s="86">
        <f t="shared" si="7"/>
        <v>0</v>
      </c>
      <c r="M37" s="76"/>
    </row>
    <row r="38" spans="1:13" ht="28" x14ac:dyDescent="0.35">
      <c r="A38" s="6"/>
      <c r="B38" s="43"/>
      <c r="C38" s="46"/>
      <c r="D38" s="19" t="s">
        <v>26</v>
      </c>
      <c r="E38" s="3" t="s">
        <v>8</v>
      </c>
      <c r="F38" s="3" t="s">
        <v>6</v>
      </c>
      <c r="G38" s="3">
        <v>2</v>
      </c>
      <c r="H38" s="85">
        <v>36</v>
      </c>
      <c r="I38" s="15"/>
      <c r="J38" s="21">
        <f t="shared" si="8"/>
        <v>0</v>
      </c>
      <c r="K38" s="16">
        <f t="shared" si="6"/>
        <v>0</v>
      </c>
      <c r="L38" s="16">
        <f t="shared" si="7"/>
        <v>0</v>
      </c>
      <c r="M38" s="76"/>
    </row>
    <row r="39" spans="1:13" ht="28" x14ac:dyDescent="0.35">
      <c r="A39" s="6"/>
      <c r="B39" s="43"/>
      <c r="C39" s="46"/>
      <c r="D39" s="19" t="s">
        <v>31</v>
      </c>
      <c r="E39" s="3" t="s">
        <v>8</v>
      </c>
      <c r="F39" s="3" t="s">
        <v>6</v>
      </c>
      <c r="G39" s="3">
        <v>1</v>
      </c>
      <c r="H39" s="85">
        <v>36</v>
      </c>
      <c r="I39" s="15"/>
      <c r="J39" s="21">
        <f t="shared" si="8"/>
        <v>0</v>
      </c>
      <c r="K39" s="16">
        <f t="shared" si="6"/>
        <v>0</v>
      </c>
      <c r="L39" s="16">
        <f t="shared" si="7"/>
        <v>0</v>
      </c>
      <c r="M39" s="76"/>
    </row>
    <row r="40" spans="1:13" ht="28" x14ac:dyDescent="0.35">
      <c r="A40" s="6"/>
      <c r="B40" s="44"/>
      <c r="C40" s="47"/>
      <c r="D40" s="19" t="s">
        <v>27</v>
      </c>
      <c r="E40" s="3" t="s">
        <v>8</v>
      </c>
      <c r="F40" s="3" t="s">
        <v>6</v>
      </c>
      <c r="G40" s="3">
        <v>1700</v>
      </c>
      <c r="H40" s="85">
        <v>36</v>
      </c>
      <c r="I40" s="15"/>
      <c r="J40" s="21">
        <f t="shared" si="8"/>
        <v>0</v>
      </c>
      <c r="K40" s="16">
        <f t="shared" si="6"/>
        <v>0</v>
      </c>
      <c r="L40" s="16">
        <f t="shared" si="7"/>
        <v>0</v>
      </c>
      <c r="M40" s="87"/>
    </row>
    <row r="41" spans="1:13" ht="30.5" customHeight="1" x14ac:dyDescent="0.35">
      <c r="B41" s="12"/>
      <c r="C41" s="13"/>
      <c r="D41" s="13"/>
      <c r="E41" s="13"/>
      <c r="F41" s="13"/>
      <c r="G41" s="13"/>
      <c r="H41" s="13"/>
      <c r="I41" s="13"/>
      <c r="J41" s="13"/>
      <c r="K41" s="1" t="s">
        <v>14</v>
      </c>
      <c r="L41" s="17">
        <f>SUM(L16:L21,L23:L29,L31,L33:L40)</f>
        <v>1950951129.6044002</v>
      </c>
      <c r="M41" s="7"/>
    </row>
    <row r="42" spans="1:13" x14ac:dyDescent="0.35">
      <c r="L42" s="9"/>
    </row>
    <row r="43" spans="1:13" x14ac:dyDescent="0.35">
      <c r="B43" s="88" t="s">
        <v>50</v>
      </c>
    </row>
    <row r="44" spans="1:13" x14ac:dyDescent="0.35">
      <c r="B44" s="88"/>
    </row>
    <row r="45" spans="1:13" x14ac:dyDescent="0.35">
      <c r="B45" s="88"/>
    </row>
    <row r="46" spans="1:13" x14ac:dyDescent="0.35">
      <c r="B46" s="89"/>
    </row>
    <row r="47" spans="1:13" x14ac:dyDescent="0.35">
      <c r="B47" s="90" t="s">
        <v>51</v>
      </c>
    </row>
    <row r="48" spans="1:13" x14ac:dyDescent="0.35">
      <c r="B48" s="91" t="s">
        <v>52</v>
      </c>
      <c r="C48" s="91"/>
      <c r="D48" s="4" t="s">
        <v>53</v>
      </c>
    </row>
    <row r="49" spans="2:13" x14ac:dyDescent="0.35">
      <c r="B49" s="91" t="s">
        <v>54</v>
      </c>
      <c r="C49" s="91"/>
      <c r="D49" s="4" t="s">
        <v>55</v>
      </c>
    </row>
    <row r="50" spans="2:13" x14ac:dyDescent="0.35">
      <c r="B50" s="91" t="s">
        <v>56</v>
      </c>
      <c r="C50" s="91"/>
      <c r="D50" s="4" t="s">
        <v>57</v>
      </c>
    </row>
    <row r="51" spans="2:13" x14ac:dyDescent="0.35">
      <c r="B51" s="92" t="s">
        <v>58</v>
      </c>
      <c r="C51" s="91"/>
      <c r="D51" s="4" t="s">
        <v>59</v>
      </c>
      <c r="F51" s="93"/>
      <c r="G51" s="93"/>
      <c r="H51" s="93"/>
      <c r="I51" s="93"/>
      <c r="J51" s="93"/>
      <c r="K51" s="93"/>
      <c r="L51" s="93"/>
      <c r="M51" s="93"/>
    </row>
    <row r="52" spans="2:13" x14ac:dyDescent="0.35">
      <c r="B52" s="94"/>
    </row>
  </sheetData>
  <sheetProtection formatColumns="0" selectLockedCells="1" selectUnlockedCells="1"/>
  <mergeCells count="26">
    <mergeCell ref="F51:M51"/>
    <mergeCell ref="C31:D31"/>
    <mergeCell ref="B32:L32"/>
    <mergeCell ref="B33:B36"/>
    <mergeCell ref="C33:C36"/>
    <mergeCell ref="M33:M40"/>
    <mergeCell ref="B37:B40"/>
    <mergeCell ref="C37:C40"/>
    <mergeCell ref="B22:L22"/>
    <mergeCell ref="C23:D23"/>
    <mergeCell ref="B24:B27"/>
    <mergeCell ref="C24:C27"/>
    <mergeCell ref="C28:D28"/>
    <mergeCell ref="B30:L30"/>
    <mergeCell ref="B15:L15"/>
    <mergeCell ref="C16:D16"/>
    <mergeCell ref="C17:D17"/>
    <mergeCell ref="C18:D18"/>
    <mergeCell ref="B19:B21"/>
    <mergeCell ref="C19:C21"/>
    <mergeCell ref="B2:L5"/>
    <mergeCell ref="B8:B9"/>
    <mergeCell ref="C8:L9"/>
    <mergeCell ref="B11:B12"/>
    <mergeCell ref="C11:L12"/>
    <mergeCell ref="C14:D14"/>
  </mergeCells>
  <pageMargins left="0.7" right="0.7" top="0.75" bottom="0.75" header="0.3" footer="0.3"/>
  <pageSetup orientation="portrait" r:id="rId1"/>
  <headerFooter>
    <oddFooter>&amp;L_x000D_&amp;1#&amp;"Aptos"&amp;10&amp;K000000 Informacion publica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35"/>
  <sheetViews>
    <sheetView tabSelected="1" topLeftCell="A14" zoomScale="81" zoomScaleNormal="81" workbookViewId="0">
      <selection activeCell="AF14" sqref="AF14"/>
    </sheetView>
  </sheetViews>
  <sheetFormatPr baseColWidth="10" defaultColWidth="11.453125" defaultRowHeight="14.5" x14ac:dyDescent="0.35"/>
  <cols>
    <col min="1" max="1" width="2.36328125" style="4" customWidth="1"/>
    <col min="2" max="2" width="7.453125" style="4" customWidth="1"/>
    <col min="3" max="3" width="16" style="4" customWidth="1"/>
    <col min="4" max="4" width="38.36328125" style="4" customWidth="1"/>
    <col min="5" max="5" width="30.453125" style="4" hidden="1" customWidth="1"/>
    <col min="6" max="6" width="10.453125" style="4" hidden="1" customWidth="1"/>
    <col min="7" max="8" width="8.81640625" style="4" hidden="1" customWidth="1"/>
    <col min="9" max="9" width="19" style="4" hidden="1" customWidth="1"/>
    <col min="10" max="10" width="16.1796875" style="4" hidden="1" customWidth="1"/>
    <col min="11" max="11" width="18.36328125" style="4" hidden="1" customWidth="1"/>
    <col min="12" max="12" width="22.1796875" style="4" customWidth="1"/>
    <col min="13" max="13" width="18.453125" style="4" hidden="1" customWidth="1"/>
    <col min="14" max="14" width="14.08984375" style="4" hidden="1" customWidth="1"/>
    <col min="15" max="15" width="17.90625" style="4" hidden="1" customWidth="1"/>
    <col min="16" max="16" width="18.36328125" style="4" customWidth="1"/>
    <col min="17" max="17" width="18.453125" style="4" hidden="1" customWidth="1"/>
    <col min="18" max="18" width="14.08984375" style="4" hidden="1" customWidth="1"/>
    <col min="19" max="19" width="17.90625" style="4" hidden="1" customWidth="1"/>
    <col min="20" max="20" width="18.36328125" style="4" customWidth="1"/>
    <col min="21" max="21" width="18.453125" style="4" hidden="1" customWidth="1"/>
    <col min="22" max="22" width="14.08984375" style="4" hidden="1" customWidth="1"/>
    <col min="23" max="23" width="17.90625" style="4" hidden="1" customWidth="1"/>
    <col min="24" max="24" width="18.36328125" style="4" customWidth="1"/>
    <col min="25" max="25" width="18.453125" style="4" hidden="1" customWidth="1"/>
    <col min="26" max="26" width="14.08984375" style="4" hidden="1" customWidth="1"/>
    <col min="27" max="27" width="17.90625" style="4" hidden="1" customWidth="1"/>
    <col min="28" max="28" width="18.36328125" style="4" bestFit="1" customWidth="1"/>
    <col min="29" max="29" width="18.453125" style="4" hidden="1" customWidth="1"/>
    <col min="30" max="30" width="14.08984375" style="4" hidden="1" customWidth="1"/>
    <col min="31" max="31" width="17.90625" style="4" hidden="1" customWidth="1"/>
    <col min="32" max="32" width="18.36328125" style="4" bestFit="1" customWidth="1"/>
    <col min="33" max="34" width="22.36328125" style="4" customWidth="1"/>
    <col min="35" max="35" width="19.6328125" style="4" customWidth="1"/>
    <col min="36" max="36" width="20.54296875" style="4" customWidth="1"/>
    <col min="37" max="16384" width="11.453125" style="4"/>
  </cols>
  <sheetData>
    <row r="1" spans="1:35" x14ac:dyDescent="0.35">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row>
    <row r="2" spans="1:35" x14ac:dyDescent="0.35">
      <c r="A2" s="6"/>
      <c r="B2" s="50" t="s">
        <v>9</v>
      </c>
      <c r="C2" s="50"/>
      <c r="D2" s="50"/>
      <c r="E2" s="50"/>
      <c r="F2" s="50"/>
      <c r="G2" s="50"/>
      <c r="H2" s="50"/>
      <c r="I2" s="50"/>
      <c r="J2" s="50"/>
      <c r="K2" s="50"/>
      <c r="L2" s="50"/>
      <c r="M2" s="7"/>
      <c r="Q2" s="7"/>
      <c r="U2" s="7"/>
      <c r="Y2" s="7"/>
      <c r="AC2" s="7"/>
    </row>
    <row r="3" spans="1:35" x14ac:dyDescent="0.35">
      <c r="A3" s="6"/>
      <c r="B3" s="50"/>
      <c r="C3" s="50"/>
      <c r="D3" s="50"/>
      <c r="E3" s="50"/>
      <c r="F3" s="50"/>
      <c r="G3" s="50"/>
      <c r="H3" s="50"/>
      <c r="I3" s="50"/>
      <c r="J3" s="50"/>
      <c r="K3" s="50"/>
      <c r="L3" s="50"/>
      <c r="M3" s="7"/>
      <c r="Q3" s="7"/>
      <c r="U3" s="7"/>
      <c r="Y3" s="7"/>
      <c r="AC3" s="7"/>
    </row>
    <row r="4" spans="1:35" x14ac:dyDescent="0.35">
      <c r="A4" s="6"/>
      <c r="B4" s="50"/>
      <c r="C4" s="50"/>
      <c r="D4" s="50"/>
      <c r="E4" s="50"/>
      <c r="F4" s="50"/>
      <c r="G4" s="50"/>
      <c r="H4" s="50"/>
      <c r="I4" s="50"/>
      <c r="J4" s="50"/>
      <c r="K4" s="50"/>
      <c r="L4" s="50"/>
      <c r="M4" s="7"/>
      <c r="Q4" s="7"/>
      <c r="U4" s="7"/>
      <c r="Y4" s="7"/>
      <c r="AC4" s="7"/>
    </row>
    <row r="5" spans="1:35" x14ac:dyDescent="0.35">
      <c r="A5" s="6"/>
      <c r="B5" s="50"/>
      <c r="C5" s="50"/>
      <c r="D5" s="50"/>
      <c r="E5" s="50"/>
      <c r="F5" s="50"/>
      <c r="G5" s="50"/>
      <c r="H5" s="50"/>
      <c r="I5" s="50"/>
      <c r="J5" s="50"/>
      <c r="K5" s="50"/>
      <c r="L5" s="50"/>
      <c r="M5" s="7"/>
      <c r="Q5" s="7"/>
      <c r="U5" s="7"/>
      <c r="Y5" s="7"/>
      <c r="AC5" s="7"/>
    </row>
    <row r="6" spans="1:35" ht="14.5" hidden="1" customHeight="1" x14ac:dyDescent="0.35">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row>
    <row r="7" spans="1:35" ht="14.5" hidden="1" customHeight="1" x14ac:dyDescent="0.35">
      <c r="B7" s="8"/>
      <c r="C7" s="8"/>
      <c r="D7" s="8"/>
      <c r="E7" s="8"/>
      <c r="F7" s="8"/>
      <c r="G7" s="8"/>
      <c r="H7" s="8"/>
      <c r="I7" s="8"/>
      <c r="J7" s="8"/>
      <c r="K7" s="8"/>
      <c r="L7" s="8"/>
      <c r="M7" s="8"/>
      <c r="N7" s="8"/>
      <c r="O7" s="8"/>
      <c r="P7" s="8"/>
      <c r="Q7" s="8"/>
      <c r="R7" s="8"/>
      <c r="S7" s="8"/>
      <c r="T7" s="8"/>
      <c r="U7" s="8"/>
      <c r="V7" s="8"/>
      <c r="W7" s="8"/>
      <c r="X7" s="8"/>
      <c r="Y7" s="8"/>
      <c r="Z7" s="8"/>
      <c r="AA7" s="8"/>
      <c r="AB7" s="8"/>
      <c r="AC7" s="8"/>
      <c r="AD7" s="8"/>
      <c r="AE7" s="8"/>
      <c r="AF7" s="8"/>
    </row>
    <row r="8" spans="1:35" ht="16.5" hidden="1" customHeight="1" x14ac:dyDescent="0.35">
      <c r="A8" s="6"/>
      <c r="B8" s="51" t="s">
        <v>3</v>
      </c>
      <c r="C8" s="52" t="s">
        <v>35</v>
      </c>
      <c r="D8" s="53"/>
      <c r="E8" s="53"/>
      <c r="F8" s="53"/>
      <c r="G8" s="53"/>
      <c r="H8" s="53"/>
      <c r="I8" s="53"/>
      <c r="J8" s="53"/>
      <c r="K8" s="53"/>
      <c r="L8" s="54"/>
      <c r="M8" s="7"/>
      <c r="Q8" s="7"/>
      <c r="U8" s="7"/>
      <c r="Y8" s="7"/>
      <c r="AC8" s="7"/>
    </row>
    <row r="9" spans="1:35" ht="15" hidden="1" customHeight="1" x14ac:dyDescent="0.35">
      <c r="A9" s="6"/>
      <c r="B9" s="51"/>
      <c r="C9" s="55"/>
      <c r="D9" s="56"/>
      <c r="E9" s="56"/>
      <c r="F9" s="56"/>
      <c r="G9" s="56"/>
      <c r="H9" s="56"/>
      <c r="I9" s="56"/>
      <c r="J9" s="56"/>
      <c r="K9" s="56"/>
      <c r="L9" s="57"/>
      <c r="M9" s="7"/>
      <c r="Q9" s="7"/>
      <c r="U9" s="7"/>
      <c r="Y9" s="7"/>
      <c r="AC9" s="7"/>
    </row>
    <row r="10" spans="1:35" ht="15" hidden="1" customHeight="1" x14ac:dyDescent="0.35">
      <c r="B10" s="14"/>
      <c r="C10" s="9"/>
      <c r="D10" s="9"/>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row>
    <row r="11" spans="1:35" ht="66" hidden="1" customHeight="1" x14ac:dyDescent="0.35">
      <c r="B11" s="51" t="s">
        <v>10</v>
      </c>
      <c r="C11" s="58" t="s">
        <v>34</v>
      </c>
      <c r="D11" s="59"/>
      <c r="E11" s="59"/>
      <c r="F11" s="59"/>
      <c r="G11" s="59"/>
      <c r="H11" s="59"/>
      <c r="I11" s="59"/>
      <c r="J11" s="59"/>
      <c r="K11" s="59"/>
      <c r="L11" s="60"/>
    </row>
    <row r="12" spans="1:35" ht="61.5" hidden="1" customHeight="1" x14ac:dyDescent="0.35">
      <c r="B12" s="51"/>
      <c r="C12" s="61"/>
      <c r="D12" s="62"/>
      <c r="E12" s="62"/>
      <c r="F12" s="62"/>
      <c r="G12" s="62"/>
      <c r="H12" s="62"/>
      <c r="I12" s="62"/>
      <c r="J12" s="62"/>
      <c r="K12" s="62"/>
      <c r="L12" s="63"/>
    </row>
    <row r="13" spans="1:35" x14ac:dyDescent="0.35">
      <c r="A13" s="6"/>
      <c r="B13" s="6"/>
      <c r="C13" s="6"/>
      <c r="D13" s="6"/>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8"/>
      <c r="AH13" s="8"/>
      <c r="AI13" s="8"/>
    </row>
    <row r="14" spans="1:35" s="5" customFormat="1" ht="47" customHeight="1" x14ac:dyDescent="0.35">
      <c r="A14" s="10"/>
      <c r="B14" s="1" t="s">
        <v>0</v>
      </c>
      <c r="C14" s="41" t="s">
        <v>4</v>
      </c>
      <c r="D14" s="41"/>
      <c r="E14" s="1" t="s">
        <v>5</v>
      </c>
      <c r="F14" s="1" t="s">
        <v>1</v>
      </c>
      <c r="G14" s="1" t="s">
        <v>2</v>
      </c>
      <c r="H14" s="1" t="s">
        <v>7</v>
      </c>
      <c r="I14" s="1" t="s">
        <v>11</v>
      </c>
      <c r="J14" s="1" t="s">
        <v>12</v>
      </c>
      <c r="K14" s="1" t="s">
        <v>13</v>
      </c>
      <c r="L14" s="23" t="s">
        <v>36</v>
      </c>
      <c r="M14" s="1" t="s">
        <v>11</v>
      </c>
      <c r="N14" s="1" t="s">
        <v>12</v>
      </c>
      <c r="O14" s="1" t="s">
        <v>13</v>
      </c>
      <c r="P14" s="26" t="s">
        <v>37</v>
      </c>
      <c r="Q14" s="1" t="s">
        <v>11</v>
      </c>
      <c r="R14" s="1" t="s">
        <v>12</v>
      </c>
      <c r="S14" s="1" t="s">
        <v>13</v>
      </c>
      <c r="T14" s="25" t="s">
        <v>38</v>
      </c>
      <c r="U14" s="1" t="s">
        <v>11</v>
      </c>
      <c r="V14" s="1" t="s">
        <v>12</v>
      </c>
      <c r="W14" s="1" t="s">
        <v>13</v>
      </c>
      <c r="X14" s="26" t="s">
        <v>39</v>
      </c>
      <c r="Y14" s="1" t="s">
        <v>11</v>
      </c>
      <c r="Z14" s="1" t="s">
        <v>12</v>
      </c>
      <c r="AA14" s="1" t="s">
        <v>13</v>
      </c>
      <c r="AB14" s="31" t="s">
        <v>43</v>
      </c>
      <c r="AC14" s="1" t="s">
        <v>11</v>
      </c>
      <c r="AD14" s="1" t="s">
        <v>12</v>
      </c>
      <c r="AE14" s="1" t="s">
        <v>13</v>
      </c>
      <c r="AF14" s="27" t="s">
        <v>40</v>
      </c>
      <c r="AG14" s="37" t="s">
        <v>41</v>
      </c>
      <c r="AH14" s="22" t="s">
        <v>44</v>
      </c>
      <c r="AI14" s="22" t="s">
        <v>42</v>
      </c>
    </row>
    <row r="15" spans="1:35" ht="26.5" customHeight="1" x14ac:dyDescent="0.35">
      <c r="A15" s="6"/>
      <c r="B15" s="41" t="s">
        <v>15</v>
      </c>
      <c r="C15" s="41"/>
      <c r="D15" s="41"/>
      <c r="E15" s="41"/>
      <c r="F15" s="41"/>
      <c r="G15" s="41"/>
      <c r="H15" s="41"/>
      <c r="I15" s="41"/>
      <c r="J15" s="41"/>
      <c r="K15" s="41"/>
      <c r="L15" s="41"/>
      <c r="M15" s="7"/>
      <c r="Q15" s="7"/>
      <c r="U15" s="7"/>
      <c r="Y15" s="7"/>
      <c r="AC15" s="7"/>
      <c r="AG15" s="9"/>
      <c r="AH15" s="9"/>
      <c r="AI15" s="9"/>
    </row>
    <row r="16" spans="1:35" ht="54.75" customHeight="1" x14ac:dyDescent="0.35">
      <c r="A16" s="6"/>
      <c r="B16" s="2">
        <v>1</v>
      </c>
      <c r="C16" s="40" t="s">
        <v>16</v>
      </c>
      <c r="D16" s="40"/>
      <c r="E16" s="3" t="s">
        <v>8</v>
      </c>
      <c r="F16" s="3" t="s">
        <v>6</v>
      </c>
      <c r="G16" s="3">
        <v>1</v>
      </c>
      <c r="H16" s="3">
        <v>12</v>
      </c>
      <c r="I16" s="15">
        <v>28865002</v>
      </c>
      <c r="J16" s="21">
        <f>I16*19%</f>
        <v>5484350.3799999999</v>
      </c>
      <c r="K16" s="16">
        <f>+J16+I16</f>
        <v>34349352.380000003</v>
      </c>
      <c r="L16" s="16">
        <f>+K16*H16*G16</f>
        <v>412192228.56000006</v>
      </c>
      <c r="M16" s="15">
        <v>29586073</v>
      </c>
      <c r="N16" s="21">
        <f>M16*19%</f>
        <v>5621353.8700000001</v>
      </c>
      <c r="O16" s="16">
        <f>+N16+M16</f>
        <v>35207426.869999997</v>
      </c>
      <c r="P16" s="16">
        <f>+O16*$G16*$H16</f>
        <v>422489122.43999994</v>
      </c>
      <c r="Q16" s="15">
        <v>26618459</v>
      </c>
      <c r="R16" s="21">
        <f>Q16*19%</f>
        <v>5057507.21</v>
      </c>
      <c r="S16" s="16">
        <f>+R16+Q16</f>
        <v>31675966.210000001</v>
      </c>
      <c r="T16" s="16">
        <f>+S16*$G16*$H16</f>
        <v>380111594.51999998</v>
      </c>
      <c r="U16" s="15">
        <v>29038196</v>
      </c>
      <c r="V16" s="21">
        <f>U16*19%</f>
        <v>5517257.2400000002</v>
      </c>
      <c r="W16" s="16">
        <f>+V16+U16</f>
        <v>34555453.240000002</v>
      </c>
      <c r="X16" s="16">
        <f>+W16*$G16*$H16</f>
        <v>414665438.88</v>
      </c>
      <c r="Y16" s="15">
        <v>21000000</v>
      </c>
      <c r="Z16" s="21">
        <f>Y16*19%</f>
        <v>3990000</v>
      </c>
      <c r="AA16" s="16">
        <f>+Z16+Y16</f>
        <v>24990000</v>
      </c>
      <c r="AB16" s="16">
        <f>+AA16*$G16*$H16</f>
        <v>299880000</v>
      </c>
      <c r="AC16" s="15">
        <v>42375920</v>
      </c>
      <c r="AD16" s="21">
        <f>AC16*19%</f>
        <v>8051424.7999999998</v>
      </c>
      <c r="AE16" s="16">
        <f>+AD16+AC16</f>
        <v>50427344.799999997</v>
      </c>
      <c r="AF16" s="32">
        <f>+AE16*$G16*$H16</f>
        <v>605128137.5999999</v>
      </c>
      <c r="AG16" s="16">
        <f>AVERAGE(L16,P16,T16,X16,AB16)</f>
        <v>385867676.88</v>
      </c>
      <c r="AH16" s="16">
        <f>MEDIAN(L16,P16,T16,X16,AB16,AF16)</f>
        <v>413428833.72000003</v>
      </c>
      <c r="AI16" s="34">
        <f>(AF16/AG16)-100%</f>
        <v>0.56822707331401379</v>
      </c>
    </row>
    <row r="17" spans="1:38" ht="28" x14ac:dyDescent="0.35">
      <c r="A17" s="6"/>
      <c r="B17" s="2">
        <v>2</v>
      </c>
      <c r="C17" s="40" t="s">
        <v>17</v>
      </c>
      <c r="D17" s="40"/>
      <c r="E17" s="3" t="s">
        <v>8</v>
      </c>
      <c r="F17" s="3" t="s">
        <v>6</v>
      </c>
      <c r="G17" s="3">
        <v>1</v>
      </c>
      <c r="H17" s="3">
        <v>12</v>
      </c>
      <c r="I17" s="15">
        <v>4749884.33</v>
      </c>
      <c r="J17" s="21">
        <f t="shared" ref="J17:J21" si="0">I17*19%</f>
        <v>902478.02269999997</v>
      </c>
      <c r="K17" s="16">
        <f t="shared" ref="K17:K21" si="1">+J17+I17</f>
        <v>5652362.3526999997</v>
      </c>
      <c r="L17" s="16">
        <f t="shared" ref="L17:L21" si="2">+K17*H17*G17</f>
        <v>67828348.2324</v>
      </c>
      <c r="M17" s="15">
        <v>4149884</v>
      </c>
      <c r="N17" s="21">
        <f t="shared" ref="N17:N21" si="3">M17*19%</f>
        <v>788477.96</v>
      </c>
      <c r="O17" s="16">
        <f t="shared" ref="O17:O21" si="4">+N17+M17</f>
        <v>4938361.96</v>
      </c>
      <c r="P17" s="16">
        <f t="shared" ref="P17:P31" si="5">+O17*$G17*$H17</f>
        <v>59260343.519999996</v>
      </c>
      <c r="Q17" s="15">
        <v>5349884</v>
      </c>
      <c r="R17" s="21">
        <f t="shared" ref="R17:R21" si="6">Q17*19%</f>
        <v>1016477.96</v>
      </c>
      <c r="S17" s="16">
        <f t="shared" ref="S17:S21" si="7">+R17+Q17</f>
        <v>6366361.96</v>
      </c>
      <c r="T17" s="16">
        <f t="shared" ref="T17:T31" si="8">+S17*$G17*$H17</f>
        <v>76396343.519999996</v>
      </c>
      <c r="U17" s="15">
        <v>4349884</v>
      </c>
      <c r="V17" s="21">
        <f t="shared" ref="V17:V21" si="9">U17*19%</f>
        <v>826477.96</v>
      </c>
      <c r="W17" s="16">
        <f t="shared" ref="W17:W21" si="10">+V17+U17</f>
        <v>5176361.96</v>
      </c>
      <c r="X17" s="16">
        <f t="shared" ref="X17:X31" si="11">+W17*$G17*$H17</f>
        <v>62116343.519999996</v>
      </c>
      <c r="Y17" s="15">
        <v>3700000</v>
      </c>
      <c r="Z17" s="21">
        <f t="shared" ref="Z17:Z21" si="12">Y17*19%</f>
        <v>703000</v>
      </c>
      <c r="AA17" s="16">
        <f t="shared" ref="AA17:AA21" si="13">+Z17+Y17</f>
        <v>4403000</v>
      </c>
      <c r="AB17" s="16">
        <f t="shared" ref="AB17:AB21" si="14">+AA17*$G17*$H17</f>
        <v>52836000</v>
      </c>
      <c r="AC17" s="15">
        <v>15328139</v>
      </c>
      <c r="AD17" s="21">
        <f t="shared" ref="AD17:AD21" si="15">AC17*19%</f>
        <v>2912346.41</v>
      </c>
      <c r="AE17" s="16">
        <f t="shared" ref="AE17:AE21" si="16">+AD17+AC17</f>
        <v>18240485.41</v>
      </c>
      <c r="AF17" s="32">
        <f t="shared" ref="AF17:AF29" si="17">+AE17*$G17*$H17</f>
        <v>218885824.92000002</v>
      </c>
      <c r="AG17" s="16">
        <f>AVERAGE(L17,P17,T17,X17,AB17)</f>
        <v>63687475.758479998</v>
      </c>
      <c r="AH17" s="16">
        <f t="shared" ref="AH17:AH21" si="18">MEDIAN(L17,P17,T17,X17,AB17,AF17)</f>
        <v>64972345.876199998</v>
      </c>
      <c r="AI17" s="34">
        <f>(AF17/AG17)-100%</f>
        <v>2.4368739271450139</v>
      </c>
      <c r="AJ17" s="4">
        <v>140000000</v>
      </c>
      <c r="AK17" s="4">
        <f>AJ17/12</f>
        <v>11666666.666666666</v>
      </c>
      <c r="AL17" s="4">
        <f>AK17*6</f>
        <v>70000000</v>
      </c>
    </row>
    <row r="18" spans="1:38" ht="48" customHeight="1" x14ac:dyDescent="0.35">
      <c r="A18" s="6"/>
      <c r="B18" s="2">
        <v>3</v>
      </c>
      <c r="C18" s="40" t="s">
        <v>18</v>
      </c>
      <c r="D18" s="40"/>
      <c r="E18" s="3" t="s">
        <v>8</v>
      </c>
      <c r="F18" s="3" t="s">
        <v>6</v>
      </c>
      <c r="G18" s="3">
        <v>1</v>
      </c>
      <c r="H18" s="3">
        <v>12</v>
      </c>
      <c r="I18" s="15">
        <v>3262413.25</v>
      </c>
      <c r="J18" s="21">
        <f t="shared" si="0"/>
        <v>619858.51749999996</v>
      </c>
      <c r="K18" s="16">
        <f t="shared" si="1"/>
        <v>3882271.7675000001</v>
      </c>
      <c r="L18" s="16">
        <f t="shared" si="2"/>
        <v>46587261.210000001</v>
      </c>
      <c r="M18" s="15">
        <v>3862413</v>
      </c>
      <c r="N18" s="21">
        <f t="shared" si="3"/>
        <v>733858.47</v>
      </c>
      <c r="O18" s="16">
        <f t="shared" si="4"/>
        <v>4596271.47</v>
      </c>
      <c r="P18" s="16">
        <f t="shared" si="5"/>
        <v>55155257.640000001</v>
      </c>
      <c r="Q18" s="15">
        <v>4262413</v>
      </c>
      <c r="R18" s="21">
        <f t="shared" si="6"/>
        <v>809858.47</v>
      </c>
      <c r="S18" s="16">
        <f t="shared" si="7"/>
        <v>5072271.47</v>
      </c>
      <c r="T18" s="16">
        <f t="shared" si="8"/>
        <v>60867257.640000001</v>
      </c>
      <c r="U18" s="15">
        <v>3262413</v>
      </c>
      <c r="V18" s="21">
        <f t="shared" si="9"/>
        <v>619858.47</v>
      </c>
      <c r="W18" s="16">
        <f t="shared" si="10"/>
        <v>3882271.4699999997</v>
      </c>
      <c r="X18" s="16">
        <f t="shared" si="11"/>
        <v>46587257.640000001</v>
      </c>
      <c r="Y18" s="15">
        <v>3600000</v>
      </c>
      <c r="Z18" s="21">
        <f t="shared" si="12"/>
        <v>684000</v>
      </c>
      <c r="AA18" s="16">
        <f t="shared" si="13"/>
        <v>4284000</v>
      </c>
      <c r="AB18" s="16">
        <f t="shared" si="14"/>
        <v>51408000</v>
      </c>
      <c r="AC18" s="15">
        <v>24408365</v>
      </c>
      <c r="AD18" s="21">
        <f t="shared" si="15"/>
        <v>4637589.3499999996</v>
      </c>
      <c r="AE18" s="16">
        <f t="shared" si="16"/>
        <v>29045954.350000001</v>
      </c>
      <c r="AF18" s="32">
        <f t="shared" si="17"/>
        <v>348551452.20000005</v>
      </c>
      <c r="AG18" s="16">
        <f>AVERAGE(L18,P18,T18,X18,AB18)</f>
        <v>52121006.825999998</v>
      </c>
      <c r="AH18" s="16">
        <f t="shared" si="18"/>
        <v>53281628.82</v>
      </c>
      <c r="AI18" s="34"/>
      <c r="AJ18" s="30">
        <f>SUM(AG16:AG18)</f>
        <v>501676159.46447998</v>
      </c>
      <c r="AK18" s="30">
        <f>AJ18/12</f>
        <v>41806346.622039996</v>
      </c>
      <c r="AL18" s="30"/>
    </row>
    <row r="19" spans="1:38" ht="26.5" customHeight="1" x14ac:dyDescent="0.35">
      <c r="A19" s="6"/>
      <c r="B19" s="42">
        <v>4</v>
      </c>
      <c r="C19" s="45" t="s">
        <v>19</v>
      </c>
      <c r="D19" s="18" t="s">
        <v>20</v>
      </c>
      <c r="E19" s="3" t="s">
        <v>8</v>
      </c>
      <c r="F19" s="3" t="s">
        <v>6</v>
      </c>
      <c r="G19" s="3">
        <v>1</v>
      </c>
      <c r="H19" s="3">
        <v>1</v>
      </c>
      <c r="I19" s="15">
        <v>9566700</v>
      </c>
      <c r="J19" s="21">
        <f t="shared" si="0"/>
        <v>1817673</v>
      </c>
      <c r="K19" s="16">
        <f t="shared" si="1"/>
        <v>11384373</v>
      </c>
      <c r="L19" s="16">
        <f t="shared" si="2"/>
        <v>11384373</v>
      </c>
      <c r="M19" s="15">
        <v>66226700</v>
      </c>
      <c r="N19" s="21">
        <f t="shared" si="3"/>
        <v>12583073</v>
      </c>
      <c r="O19" s="16">
        <f t="shared" si="4"/>
        <v>78809773</v>
      </c>
      <c r="P19" s="16">
        <f t="shared" si="5"/>
        <v>78809773</v>
      </c>
      <c r="Q19" s="15">
        <v>66666700</v>
      </c>
      <c r="R19" s="21">
        <f t="shared" si="6"/>
        <v>12666673</v>
      </c>
      <c r="S19" s="16">
        <f t="shared" si="7"/>
        <v>79333373</v>
      </c>
      <c r="T19" s="16">
        <f t="shared" si="8"/>
        <v>79333373</v>
      </c>
      <c r="U19" s="15">
        <v>66666700</v>
      </c>
      <c r="V19" s="21">
        <f t="shared" si="9"/>
        <v>12666673</v>
      </c>
      <c r="W19" s="16">
        <f t="shared" si="10"/>
        <v>79333373</v>
      </c>
      <c r="X19" s="16">
        <f t="shared" si="11"/>
        <v>79333373</v>
      </c>
      <c r="Y19" s="15">
        <v>63000000</v>
      </c>
      <c r="Z19" s="21">
        <f t="shared" si="12"/>
        <v>11970000</v>
      </c>
      <c r="AA19" s="16">
        <f t="shared" si="13"/>
        <v>74970000</v>
      </c>
      <c r="AB19" s="16">
        <f t="shared" si="14"/>
        <v>74970000</v>
      </c>
      <c r="AC19" s="15">
        <v>652825023</v>
      </c>
      <c r="AD19" s="21">
        <f t="shared" si="15"/>
        <v>124036754.37</v>
      </c>
      <c r="AE19" s="16">
        <f t="shared" si="16"/>
        <v>776861777.37</v>
      </c>
      <c r="AF19" s="32">
        <f t="shared" si="17"/>
        <v>776861777.37</v>
      </c>
      <c r="AG19" s="16">
        <f t="shared" ref="AG19" si="19">AVERAGE(L19,P19,T19,X19)</f>
        <v>62215223</v>
      </c>
      <c r="AH19" s="16">
        <f t="shared" si="18"/>
        <v>79071573</v>
      </c>
      <c r="AI19" s="34">
        <f>(AF19/AG19)-100%</f>
        <v>11.486683160647033</v>
      </c>
    </row>
    <row r="20" spans="1:38" ht="32.5" customHeight="1" x14ac:dyDescent="0.35">
      <c r="A20" s="6"/>
      <c r="B20" s="43"/>
      <c r="C20" s="46"/>
      <c r="D20" s="18" t="s">
        <v>21</v>
      </c>
      <c r="E20" s="3" t="s">
        <v>8</v>
      </c>
      <c r="F20" s="3" t="s">
        <v>6</v>
      </c>
      <c r="G20" s="3">
        <v>1</v>
      </c>
      <c r="H20" s="3">
        <v>1</v>
      </c>
      <c r="I20" s="15">
        <v>116666667</v>
      </c>
      <c r="J20" s="21">
        <f t="shared" si="0"/>
        <v>22166666.73</v>
      </c>
      <c r="K20" s="16">
        <f t="shared" si="1"/>
        <v>138833333.72999999</v>
      </c>
      <c r="L20" s="16">
        <f t="shared" si="2"/>
        <v>138833333.72999999</v>
      </c>
      <c r="M20" s="15">
        <v>116666667</v>
      </c>
      <c r="N20" s="21">
        <f t="shared" si="3"/>
        <v>22166666.73</v>
      </c>
      <c r="O20" s="16">
        <f t="shared" si="4"/>
        <v>138833333.72999999</v>
      </c>
      <c r="P20" s="16">
        <f t="shared" si="5"/>
        <v>138833333.72999999</v>
      </c>
      <c r="Q20" s="15">
        <v>116666667</v>
      </c>
      <c r="R20" s="21">
        <f t="shared" si="6"/>
        <v>22166666.73</v>
      </c>
      <c r="S20" s="16">
        <f t="shared" si="7"/>
        <v>138833333.72999999</v>
      </c>
      <c r="T20" s="16">
        <f t="shared" si="8"/>
        <v>138833333.72999999</v>
      </c>
      <c r="U20" s="15">
        <v>116666667</v>
      </c>
      <c r="V20" s="21">
        <f t="shared" si="9"/>
        <v>22166666.73</v>
      </c>
      <c r="W20" s="16">
        <f t="shared" si="10"/>
        <v>138833333.72999999</v>
      </c>
      <c r="X20" s="16">
        <f t="shared" si="11"/>
        <v>138833333.72999999</v>
      </c>
      <c r="Y20" s="15">
        <v>6500000</v>
      </c>
      <c r="Z20" s="21">
        <f t="shared" si="12"/>
        <v>1235000</v>
      </c>
      <c r="AA20" s="16">
        <f t="shared" si="13"/>
        <v>7735000</v>
      </c>
      <c r="AB20" s="32">
        <f t="shared" si="14"/>
        <v>7735000</v>
      </c>
      <c r="AC20" s="15">
        <v>36572830</v>
      </c>
      <c r="AD20" s="21">
        <f t="shared" si="15"/>
        <v>6948837.7000000002</v>
      </c>
      <c r="AE20" s="16">
        <f t="shared" si="16"/>
        <v>43521667.700000003</v>
      </c>
      <c r="AF20" s="16">
        <f t="shared" si="17"/>
        <v>43521667.700000003</v>
      </c>
      <c r="AG20" s="16">
        <f>AVERAGE(L20,P20,T20,X20,AF20)</f>
        <v>119771000.524</v>
      </c>
      <c r="AH20" s="16">
        <f t="shared" si="18"/>
        <v>138833333.72999999</v>
      </c>
      <c r="AI20" s="34">
        <f>(AF20/AB20)-100%</f>
        <v>4.6265892307692313</v>
      </c>
    </row>
    <row r="21" spans="1:38" ht="34" customHeight="1" x14ac:dyDescent="0.35">
      <c r="A21" s="6"/>
      <c r="B21" s="43"/>
      <c r="C21" s="46"/>
      <c r="D21" s="18" t="s">
        <v>22</v>
      </c>
      <c r="E21" s="3" t="s">
        <v>8</v>
      </c>
      <c r="F21" s="3" t="s">
        <v>6</v>
      </c>
      <c r="G21" s="3">
        <v>10</v>
      </c>
      <c r="H21" s="3">
        <v>1</v>
      </c>
      <c r="I21" s="15">
        <v>1333334</v>
      </c>
      <c r="J21" s="21">
        <f t="shared" si="0"/>
        <v>253333.46</v>
      </c>
      <c r="K21" s="16">
        <f t="shared" si="1"/>
        <v>1586667.46</v>
      </c>
      <c r="L21" s="16">
        <f t="shared" si="2"/>
        <v>15866674.6</v>
      </c>
      <c r="M21" s="15">
        <v>1322334</v>
      </c>
      <c r="N21" s="21">
        <f t="shared" si="3"/>
        <v>251243.46</v>
      </c>
      <c r="O21" s="16">
        <f t="shared" si="4"/>
        <v>1573577.46</v>
      </c>
      <c r="P21" s="16">
        <f t="shared" si="5"/>
        <v>15735774.6</v>
      </c>
      <c r="Q21" s="15">
        <v>1733334</v>
      </c>
      <c r="R21" s="21">
        <f t="shared" si="6"/>
        <v>329333.46000000002</v>
      </c>
      <c r="S21" s="16">
        <f t="shared" si="7"/>
        <v>2062667.46</v>
      </c>
      <c r="T21" s="16">
        <f t="shared" si="8"/>
        <v>20626674.600000001</v>
      </c>
      <c r="U21" s="15">
        <v>1333334</v>
      </c>
      <c r="V21" s="21">
        <f t="shared" si="9"/>
        <v>253333.46</v>
      </c>
      <c r="W21" s="16">
        <f t="shared" si="10"/>
        <v>1586667.46</v>
      </c>
      <c r="X21" s="16">
        <f t="shared" si="11"/>
        <v>15866674.6</v>
      </c>
      <c r="Y21" s="15">
        <v>2430000</v>
      </c>
      <c r="Z21" s="21">
        <f t="shared" si="12"/>
        <v>461700</v>
      </c>
      <c r="AA21" s="16">
        <f t="shared" si="13"/>
        <v>2891700</v>
      </c>
      <c r="AB21" s="16">
        <f t="shared" si="14"/>
        <v>28917000</v>
      </c>
      <c r="AC21" s="15">
        <v>42199424</v>
      </c>
      <c r="AD21" s="21">
        <f t="shared" si="15"/>
        <v>8017890.5600000005</v>
      </c>
      <c r="AE21" s="16">
        <f t="shared" si="16"/>
        <v>50217314.560000002</v>
      </c>
      <c r="AF21" s="32">
        <f>+AE21*$H21</f>
        <v>50217314.560000002</v>
      </c>
      <c r="AG21" s="16">
        <f>AVERAGE(L21,P21,T21,X21,AB21)</f>
        <v>19402559.68</v>
      </c>
      <c r="AH21" s="16">
        <f t="shared" si="18"/>
        <v>18246674.600000001</v>
      </c>
      <c r="AI21" s="34">
        <f>(AF21/AG21)-100%</f>
        <v>1.5881798787488641</v>
      </c>
    </row>
    <row r="22" spans="1:38" ht="24" customHeight="1" x14ac:dyDescent="0.35">
      <c r="A22" s="6"/>
      <c r="B22" s="41" t="s">
        <v>30</v>
      </c>
      <c r="C22" s="41"/>
      <c r="D22" s="41"/>
      <c r="E22" s="41"/>
      <c r="F22" s="41"/>
      <c r="G22" s="41"/>
      <c r="H22" s="41"/>
      <c r="I22" s="41"/>
      <c r="J22" s="41"/>
      <c r="K22" s="41"/>
      <c r="L22" s="41"/>
      <c r="M22" s="7"/>
      <c r="Q22" s="7"/>
      <c r="U22" s="7"/>
      <c r="Y22" s="7"/>
      <c r="AC22" s="7"/>
      <c r="AI22" s="35"/>
    </row>
    <row r="23" spans="1:38" ht="28" x14ac:dyDescent="0.35">
      <c r="A23" s="6"/>
      <c r="B23" s="2">
        <v>5</v>
      </c>
      <c r="C23" s="40" t="s">
        <v>23</v>
      </c>
      <c r="D23" s="40"/>
      <c r="E23" s="3" t="s">
        <v>8</v>
      </c>
      <c r="F23" s="3" t="s">
        <v>6</v>
      </c>
      <c r="G23" s="3">
        <v>1</v>
      </c>
      <c r="H23" s="3">
        <v>2</v>
      </c>
      <c r="I23" s="15">
        <v>26397232</v>
      </c>
      <c r="J23" s="21">
        <f>I23*19%</f>
        <v>5015474.08</v>
      </c>
      <c r="K23" s="16">
        <f>+J23+I23</f>
        <v>31412706.079999998</v>
      </c>
      <c r="L23" s="16">
        <f>+K23*H23*G23</f>
        <v>62825412.159999996</v>
      </c>
      <c r="M23" s="15">
        <v>24669615</v>
      </c>
      <c r="N23" s="21">
        <f>M23*19%</f>
        <v>4687226.8499999996</v>
      </c>
      <c r="O23" s="16">
        <f>+N23+M23</f>
        <v>29356841.850000001</v>
      </c>
      <c r="P23" s="16">
        <f t="shared" si="5"/>
        <v>58713683.700000003</v>
      </c>
      <c r="Q23" s="15">
        <v>28170390</v>
      </c>
      <c r="R23" s="21">
        <f>Q23*19%</f>
        <v>5352374.0999999996</v>
      </c>
      <c r="S23" s="16">
        <f>+R23+Q23</f>
        <v>33522764.100000001</v>
      </c>
      <c r="T23" s="16">
        <f t="shared" si="8"/>
        <v>67045528.200000003</v>
      </c>
      <c r="U23" s="15">
        <v>25539556</v>
      </c>
      <c r="V23" s="21">
        <f>U23*19%</f>
        <v>4852515.6399999997</v>
      </c>
      <c r="W23" s="16">
        <f>+V23+U23</f>
        <v>30392071.640000001</v>
      </c>
      <c r="X23" s="16">
        <f t="shared" si="11"/>
        <v>60784143.280000001</v>
      </c>
      <c r="Y23" s="15">
        <v>8000000</v>
      </c>
      <c r="Z23" s="21">
        <f>Y23*19%</f>
        <v>1520000</v>
      </c>
      <c r="AA23" s="16">
        <f>+Z23+Y23</f>
        <v>9520000</v>
      </c>
      <c r="AB23" s="32">
        <f t="shared" ref="AB23:AB27" si="20">+AA23*$G23*$H23</f>
        <v>19040000</v>
      </c>
      <c r="AC23" s="15">
        <v>22052477</v>
      </c>
      <c r="AD23" s="21">
        <f>AC23*19%</f>
        <v>4189970.63</v>
      </c>
      <c r="AE23" s="16">
        <f>+AD23+AC23</f>
        <v>26242447.629999999</v>
      </c>
      <c r="AF23" s="16">
        <f t="shared" si="17"/>
        <v>52484895.259999998</v>
      </c>
      <c r="AG23" s="16">
        <f>AVERAGE(L23,P23,T23,X23,AF23)</f>
        <v>60370732.520000003</v>
      </c>
      <c r="AH23" s="16">
        <f t="shared" ref="AH23:AH29" si="21">MEDIAN(L23,P23,T23,X23,AB23,AF23)</f>
        <v>59748913.490000002</v>
      </c>
      <c r="AI23" s="34">
        <f>(AB23/AG23)-100%</f>
        <v>-0.68461538886094675</v>
      </c>
    </row>
    <row r="24" spans="1:38" ht="28" x14ac:dyDescent="0.35">
      <c r="A24" s="6"/>
      <c r="B24" s="42">
        <v>6</v>
      </c>
      <c r="C24" s="45" t="s">
        <v>24</v>
      </c>
      <c r="D24" s="19" t="s">
        <v>25</v>
      </c>
      <c r="E24" s="3" t="s">
        <v>8</v>
      </c>
      <c r="F24" s="3" t="s">
        <v>6</v>
      </c>
      <c r="G24" s="3">
        <v>2</v>
      </c>
      <c r="H24" s="20">
        <v>12</v>
      </c>
      <c r="I24" s="15">
        <v>6743759.5</v>
      </c>
      <c r="J24" s="21">
        <f t="shared" ref="J24:J29" si="22">I24*19%</f>
        <v>1281314.3049999999</v>
      </c>
      <c r="K24" s="16">
        <f t="shared" ref="K24:K29" si="23">+J24+I24</f>
        <v>8025073.8049999997</v>
      </c>
      <c r="L24" s="16">
        <f t="shared" ref="L24:L29" si="24">+K24*H24*G24</f>
        <v>192601771.31999999</v>
      </c>
      <c r="M24" s="15">
        <v>5208659</v>
      </c>
      <c r="N24" s="21">
        <f t="shared" ref="N24:N29" si="25">M24*19%</f>
        <v>989645.21</v>
      </c>
      <c r="O24" s="16">
        <f t="shared" ref="O24:O29" si="26">+N24+M24</f>
        <v>6198304.21</v>
      </c>
      <c r="P24" s="16">
        <f t="shared" si="5"/>
        <v>148759301.03999999</v>
      </c>
      <c r="Q24" s="15">
        <v>5895691</v>
      </c>
      <c r="R24" s="21">
        <f t="shared" ref="R24:R29" si="27">Q24*19%</f>
        <v>1120181.29</v>
      </c>
      <c r="S24" s="16">
        <f t="shared" ref="S24:S29" si="28">+R24+Q24</f>
        <v>7015872.29</v>
      </c>
      <c r="T24" s="16">
        <f t="shared" si="8"/>
        <v>168380934.96000001</v>
      </c>
      <c r="U24" s="15">
        <v>5779228</v>
      </c>
      <c r="V24" s="21">
        <f t="shared" ref="V24:V29" si="29">U24*19%</f>
        <v>1098053.32</v>
      </c>
      <c r="W24" s="16">
        <f t="shared" ref="W24:W29" si="30">+V24+U24</f>
        <v>6877281.3200000003</v>
      </c>
      <c r="X24" s="16">
        <f t="shared" si="11"/>
        <v>165054751.68000001</v>
      </c>
      <c r="Y24" s="15">
        <v>14800000</v>
      </c>
      <c r="Z24" s="21">
        <f t="shared" ref="Z24:Z27" si="31">Y24*19%</f>
        <v>2812000</v>
      </c>
      <c r="AA24" s="16">
        <f t="shared" ref="AA24:AA27" si="32">+Z24+Y24</f>
        <v>17612000</v>
      </c>
      <c r="AB24" s="32">
        <f t="shared" si="20"/>
        <v>422688000</v>
      </c>
      <c r="AC24" s="15">
        <f>141233445/H24</f>
        <v>11769453.75</v>
      </c>
      <c r="AD24" s="21">
        <f t="shared" ref="AD24:AD26" si="33">AC24*19%</f>
        <v>2236196.2124999999</v>
      </c>
      <c r="AE24" s="16">
        <f t="shared" ref="AE24:AE26" si="34">+AD24+AC24</f>
        <v>14005649.9625</v>
      </c>
      <c r="AF24" s="16">
        <f t="shared" si="17"/>
        <v>336135599.10000002</v>
      </c>
      <c r="AG24" s="16">
        <f>AVERAGE(L24,P24,T24,X24)</f>
        <v>168699189.75</v>
      </c>
      <c r="AH24" s="16">
        <f t="shared" si="21"/>
        <v>180491353.13999999</v>
      </c>
      <c r="AI24" s="34">
        <f>(AB24/AG24)-100%</f>
        <v>1.5055721999992593</v>
      </c>
    </row>
    <row r="25" spans="1:38" ht="28" x14ac:dyDescent="0.35">
      <c r="A25" s="6"/>
      <c r="B25" s="43"/>
      <c r="C25" s="46"/>
      <c r="D25" s="19" t="s">
        <v>26</v>
      </c>
      <c r="E25" s="3" t="s">
        <v>8</v>
      </c>
      <c r="F25" s="3" t="s">
        <v>6</v>
      </c>
      <c r="G25" s="3">
        <v>2</v>
      </c>
      <c r="H25" s="20">
        <v>12</v>
      </c>
      <c r="I25" s="15">
        <v>9816560.5999999996</v>
      </c>
      <c r="J25" s="21">
        <f t="shared" si="22"/>
        <v>1865146.514</v>
      </c>
      <c r="K25" s="16">
        <f t="shared" si="23"/>
        <v>11681707.114</v>
      </c>
      <c r="L25" s="16">
        <f t="shared" si="24"/>
        <v>280360970.736</v>
      </c>
      <c r="M25" s="15">
        <v>9319077</v>
      </c>
      <c r="N25" s="21">
        <f t="shared" si="25"/>
        <v>1770624.6300000001</v>
      </c>
      <c r="O25" s="16">
        <f t="shared" si="26"/>
        <v>11089701.630000001</v>
      </c>
      <c r="P25" s="16">
        <f t="shared" si="5"/>
        <v>266152839.12</v>
      </c>
      <c r="Q25" s="15">
        <v>8837838</v>
      </c>
      <c r="R25" s="21">
        <f t="shared" si="27"/>
        <v>1679189.22</v>
      </c>
      <c r="S25" s="16">
        <f t="shared" si="28"/>
        <v>10517027.220000001</v>
      </c>
      <c r="T25" s="16">
        <f t="shared" si="8"/>
        <v>252408653.28000003</v>
      </c>
      <c r="U25" s="15">
        <v>9271860</v>
      </c>
      <c r="V25" s="21">
        <f t="shared" si="29"/>
        <v>1761653.4</v>
      </c>
      <c r="W25" s="16">
        <f t="shared" si="30"/>
        <v>11033513.4</v>
      </c>
      <c r="X25" s="16">
        <f t="shared" si="11"/>
        <v>264804321.60000002</v>
      </c>
      <c r="Y25" s="15">
        <v>14300000</v>
      </c>
      <c r="Z25" s="21">
        <f t="shared" si="31"/>
        <v>2717000</v>
      </c>
      <c r="AA25" s="16">
        <f t="shared" si="32"/>
        <v>17017000</v>
      </c>
      <c r="AB25" s="32">
        <f t="shared" si="20"/>
        <v>408408000</v>
      </c>
      <c r="AC25" s="15">
        <f>157502966/H25</f>
        <v>13125247.166666666</v>
      </c>
      <c r="AD25" s="21">
        <f t="shared" si="33"/>
        <v>2493796.9616666664</v>
      </c>
      <c r="AE25" s="16">
        <f t="shared" si="34"/>
        <v>15619044.128333332</v>
      </c>
      <c r="AF25" s="16">
        <f t="shared" si="17"/>
        <v>374857059.07999998</v>
      </c>
      <c r="AG25" s="16">
        <f>AVERAGE(L25,P25,T25,X25)</f>
        <v>265931696.18399999</v>
      </c>
      <c r="AH25" s="16">
        <f t="shared" si="21"/>
        <v>273256904.92799997</v>
      </c>
      <c r="AI25" s="34">
        <f>(AB25/AG25)-100%</f>
        <v>0.53576277615820445</v>
      </c>
    </row>
    <row r="26" spans="1:38" ht="28" x14ac:dyDescent="0.35">
      <c r="A26" s="6"/>
      <c r="B26" s="43"/>
      <c r="C26" s="46"/>
      <c r="D26" s="19" t="s">
        <v>31</v>
      </c>
      <c r="E26" s="3" t="s">
        <v>8</v>
      </c>
      <c r="F26" s="3" t="s">
        <v>6</v>
      </c>
      <c r="G26" s="3">
        <v>1</v>
      </c>
      <c r="H26" s="20">
        <v>12</v>
      </c>
      <c r="I26" s="15">
        <v>3833896.6</v>
      </c>
      <c r="J26" s="21">
        <f t="shared" si="22"/>
        <v>728440.35400000005</v>
      </c>
      <c r="K26" s="16">
        <f t="shared" si="23"/>
        <v>4562336.9539999999</v>
      </c>
      <c r="L26" s="16">
        <f t="shared" si="24"/>
        <v>54748043.447999999</v>
      </c>
      <c r="M26" s="15">
        <v>2765418</v>
      </c>
      <c r="N26" s="21">
        <f t="shared" si="25"/>
        <v>525429.42000000004</v>
      </c>
      <c r="O26" s="16">
        <f t="shared" si="26"/>
        <v>3290847.42</v>
      </c>
      <c r="P26" s="16">
        <f t="shared" si="5"/>
        <v>39490169.039999999</v>
      </c>
      <c r="Q26" s="15">
        <v>2809691</v>
      </c>
      <c r="R26" s="21">
        <f t="shared" si="27"/>
        <v>533841.29</v>
      </c>
      <c r="S26" s="16">
        <f t="shared" si="28"/>
        <v>3343532.29</v>
      </c>
      <c r="T26" s="16">
        <f t="shared" si="8"/>
        <v>40122387.480000004</v>
      </c>
      <c r="U26" s="15">
        <v>2850900</v>
      </c>
      <c r="V26" s="21">
        <f t="shared" si="29"/>
        <v>541671</v>
      </c>
      <c r="W26" s="16">
        <f t="shared" si="30"/>
        <v>3392571</v>
      </c>
      <c r="X26" s="16">
        <f t="shared" si="11"/>
        <v>40710852</v>
      </c>
      <c r="Y26" s="15">
        <v>6300000</v>
      </c>
      <c r="Z26" s="21">
        <f t="shared" si="31"/>
        <v>1197000</v>
      </c>
      <c r="AA26" s="16">
        <f t="shared" si="32"/>
        <v>7497000</v>
      </c>
      <c r="AB26" s="32">
        <f t="shared" si="20"/>
        <v>89964000</v>
      </c>
      <c r="AC26" s="15">
        <f>67545202/H26</f>
        <v>5628766.833333333</v>
      </c>
      <c r="AD26" s="21">
        <f t="shared" si="33"/>
        <v>1069465.6983333332</v>
      </c>
      <c r="AE26" s="16">
        <f t="shared" si="34"/>
        <v>6698232.5316666663</v>
      </c>
      <c r="AF26" s="16">
        <f t="shared" si="17"/>
        <v>80378790.379999995</v>
      </c>
      <c r="AG26" s="16">
        <f>AVERAGE(L26,P26,T26,X26)</f>
        <v>43767862.991999999</v>
      </c>
      <c r="AH26" s="16">
        <f t="shared" si="21"/>
        <v>47729447.723999999</v>
      </c>
      <c r="AI26" s="34">
        <f>(AB26/AG26)-100%</f>
        <v>1.055480753457025</v>
      </c>
    </row>
    <row r="27" spans="1:38" ht="28" x14ac:dyDescent="0.35">
      <c r="A27" s="6"/>
      <c r="B27" s="44"/>
      <c r="C27" s="47"/>
      <c r="D27" s="19" t="s">
        <v>27</v>
      </c>
      <c r="E27" s="3" t="s">
        <v>8</v>
      </c>
      <c r="F27" s="3" t="s">
        <v>6</v>
      </c>
      <c r="G27" s="3">
        <v>1700</v>
      </c>
      <c r="H27" s="20">
        <v>12</v>
      </c>
      <c r="I27" s="15">
        <v>4097.3999999999996</v>
      </c>
      <c r="J27" s="21">
        <f t="shared" si="22"/>
        <v>778.50599999999997</v>
      </c>
      <c r="K27" s="16">
        <f t="shared" si="23"/>
        <v>4875.9059999999999</v>
      </c>
      <c r="L27" s="16">
        <f t="shared" si="24"/>
        <v>99468482.400000006</v>
      </c>
      <c r="M27" s="15">
        <v>4134</v>
      </c>
      <c r="N27" s="21">
        <f t="shared" si="25"/>
        <v>785.46</v>
      </c>
      <c r="O27" s="16">
        <f t="shared" si="26"/>
        <v>4919.46</v>
      </c>
      <c r="P27" s="16">
        <f t="shared" si="5"/>
        <v>100356984</v>
      </c>
      <c r="Q27" s="15">
        <v>4062</v>
      </c>
      <c r="R27" s="21">
        <f t="shared" si="27"/>
        <v>771.78</v>
      </c>
      <c r="S27" s="16">
        <f t="shared" si="28"/>
        <v>4833.78</v>
      </c>
      <c r="T27" s="16">
        <f t="shared" si="8"/>
        <v>98609112</v>
      </c>
      <c r="U27" s="15">
        <v>4122</v>
      </c>
      <c r="V27" s="21">
        <f t="shared" si="29"/>
        <v>783.18000000000006</v>
      </c>
      <c r="W27" s="16">
        <f t="shared" si="30"/>
        <v>4905.18</v>
      </c>
      <c r="X27" s="16">
        <f t="shared" si="11"/>
        <v>100065672.00000001</v>
      </c>
      <c r="Y27" s="15">
        <v>50000</v>
      </c>
      <c r="Z27" s="21">
        <f t="shared" si="31"/>
        <v>9500</v>
      </c>
      <c r="AA27" s="16">
        <f t="shared" si="32"/>
        <v>59500</v>
      </c>
      <c r="AB27" s="32">
        <f t="shared" si="20"/>
        <v>1213800000</v>
      </c>
      <c r="AC27" s="15">
        <v>3272.4522573735371</v>
      </c>
      <c r="AD27" s="21">
        <f t="shared" ref="AD27" si="35">AC27*19%</f>
        <v>621.76592890097209</v>
      </c>
      <c r="AE27" s="16">
        <f t="shared" ref="AE27" si="36">+AD27+AC27</f>
        <v>3894.2181862745092</v>
      </c>
      <c r="AF27" s="16">
        <f t="shared" si="17"/>
        <v>79442051</v>
      </c>
      <c r="AG27" s="16">
        <f t="shared" ref="AG27" si="37">AVERAGE(L27,P27,T27,X27,AF27)</f>
        <v>95588460.280000001</v>
      </c>
      <c r="AH27" s="16">
        <f t="shared" si="21"/>
        <v>99767077.200000018</v>
      </c>
      <c r="AI27" s="34">
        <f>(AB27/AG27)-100%</f>
        <v>11.698185496915716</v>
      </c>
    </row>
    <row r="28" spans="1:38" ht="28" x14ac:dyDescent="0.35">
      <c r="A28" s="6"/>
      <c r="B28" s="2">
        <v>7</v>
      </c>
      <c r="C28" s="48" t="s">
        <v>28</v>
      </c>
      <c r="D28" s="49"/>
      <c r="E28" s="3" t="s">
        <v>8</v>
      </c>
      <c r="F28" s="3" t="s">
        <v>6</v>
      </c>
      <c r="G28" s="24">
        <v>10</v>
      </c>
      <c r="H28" s="3">
        <v>12</v>
      </c>
      <c r="I28" s="15">
        <v>2402474.0499999998</v>
      </c>
      <c r="J28" s="21">
        <f t="shared" si="22"/>
        <v>456470.06949999998</v>
      </c>
      <c r="K28" s="16">
        <f t="shared" si="23"/>
        <v>2858944.1195</v>
      </c>
      <c r="L28" s="16">
        <f t="shared" si="24"/>
        <v>343073294.34000003</v>
      </c>
      <c r="M28" s="16">
        <v>2329197</v>
      </c>
      <c r="N28" s="36">
        <f t="shared" si="25"/>
        <v>442547.43</v>
      </c>
      <c r="O28" s="16">
        <f t="shared" si="26"/>
        <v>2771744.43</v>
      </c>
      <c r="P28" s="16">
        <f t="shared" si="5"/>
        <v>332609331.60000002</v>
      </c>
      <c r="Q28" s="16">
        <v>2381954</v>
      </c>
      <c r="R28" s="36">
        <f t="shared" si="27"/>
        <v>452571.26</v>
      </c>
      <c r="S28" s="16">
        <f t="shared" si="28"/>
        <v>2834525.26</v>
      </c>
      <c r="T28" s="16">
        <f t="shared" si="8"/>
        <v>340143031.19999999</v>
      </c>
      <c r="U28" s="16">
        <v>2416889</v>
      </c>
      <c r="V28" s="36">
        <f t="shared" si="29"/>
        <v>459208.91000000003</v>
      </c>
      <c r="W28" s="16">
        <f t="shared" si="30"/>
        <v>2876097.91</v>
      </c>
      <c r="X28" s="16">
        <f t="shared" si="11"/>
        <v>345131749.20000005</v>
      </c>
      <c r="Y28" s="16">
        <f>AB28-Z28</f>
        <v>0</v>
      </c>
      <c r="Z28" s="36">
        <f>0.19*AB28/1.19</f>
        <v>0</v>
      </c>
      <c r="AA28" s="16"/>
      <c r="AB28" s="16"/>
      <c r="AC28" s="16">
        <f>AF28-AD28</f>
        <v>276514763.86554623</v>
      </c>
      <c r="AD28" s="36">
        <f>0.19*AF28/1.19</f>
        <v>52537805.134453781</v>
      </c>
      <c r="AE28" s="16"/>
      <c r="AF28" s="16">
        <v>329052569</v>
      </c>
      <c r="AG28" s="38"/>
      <c r="AH28" s="38"/>
      <c r="AI28" s="34"/>
    </row>
    <row r="29" spans="1:38" ht="42" x14ac:dyDescent="0.35">
      <c r="A29" s="6"/>
      <c r="B29" s="2">
        <v>8</v>
      </c>
      <c r="C29" s="18" t="s">
        <v>29</v>
      </c>
      <c r="D29" s="18" t="s">
        <v>32</v>
      </c>
      <c r="E29" s="3" t="s">
        <v>8</v>
      </c>
      <c r="F29" s="3" t="s">
        <v>6</v>
      </c>
      <c r="G29" s="3">
        <v>150</v>
      </c>
      <c r="H29" s="3">
        <v>12</v>
      </c>
      <c r="I29" s="15">
        <v>25906.78</v>
      </c>
      <c r="J29" s="21">
        <f t="shared" si="22"/>
        <v>4922.2882</v>
      </c>
      <c r="K29" s="16">
        <f t="shared" si="23"/>
        <v>30829.068199999998</v>
      </c>
      <c r="L29" s="16">
        <f t="shared" si="24"/>
        <v>55492322.759999998</v>
      </c>
      <c r="M29" s="15">
        <v>26195</v>
      </c>
      <c r="N29" s="21">
        <f t="shared" si="25"/>
        <v>4977.05</v>
      </c>
      <c r="O29" s="16">
        <f t="shared" si="26"/>
        <v>31172.05</v>
      </c>
      <c r="P29" s="16">
        <f>+O29*$G29*$H29</f>
        <v>56109690</v>
      </c>
      <c r="Q29" s="15">
        <v>25686</v>
      </c>
      <c r="R29" s="21">
        <f t="shared" si="27"/>
        <v>4880.34</v>
      </c>
      <c r="S29" s="16">
        <f t="shared" si="28"/>
        <v>30566.34</v>
      </c>
      <c r="T29" s="16">
        <f>+S29*$G29*$H29</f>
        <v>55019412</v>
      </c>
      <c r="U29" s="15">
        <v>26062</v>
      </c>
      <c r="V29" s="21">
        <f t="shared" si="29"/>
        <v>4951.78</v>
      </c>
      <c r="W29" s="16">
        <f t="shared" si="30"/>
        <v>31013.78</v>
      </c>
      <c r="X29" s="16">
        <f>+W29*$G29*$H29</f>
        <v>55824804</v>
      </c>
      <c r="Y29" s="15">
        <v>33000</v>
      </c>
      <c r="Z29" s="21">
        <f t="shared" ref="Z29" si="38">Y29*19%</f>
        <v>6270</v>
      </c>
      <c r="AA29" s="16">
        <f t="shared" ref="AA29" si="39">+Z29+Y29</f>
        <v>39270</v>
      </c>
      <c r="AB29" s="16">
        <f t="shared" ref="AB29" si="40">+AA29*$G29*$H29</f>
        <v>70686000</v>
      </c>
      <c r="AC29" s="15">
        <v>62661.580765639592</v>
      </c>
      <c r="AD29" s="21">
        <f t="shared" ref="AD29" si="41">AC29*19%</f>
        <v>11905.700345471523</v>
      </c>
      <c r="AE29" s="16">
        <f t="shared" ref="AE29" si="42">+AD29+AC29</f>
        <v>74567.281111111108</v>
      </c>
      <c r="AF29" s="16">
        <f t="shared" si="17"/>
        <v>134221106</v>
      </c>
      <c r="AG29" s="16">
        <f>AVERAGE(L29,P29,T29,X29)</f>
        <v>55611557.189999998</v>
      </c>
      <c r="AH29" s="16">
        <f t="shared" si="21"/>
        <v>55967247</v>
      </c>
      <c r="AI29" s="34">
        <f>(AF29/AG29)-100%</f>
        <v>1.4135469816359589</v>
      </c>
    </row>
    <row r="30" spans="1:38" x14ac:dyDescent="0.35">
      <c r="A30" s="6"/>
      <c r="B30" s="41" t="s">
        <v>33</v>
      </c>
      <c r="C30" s="41"/>
      <c r="D30" s="41"/>
      <c r="E30" s="41"/>
      <c r="F30" s="41"/>
      <c r="G30" s="41"/>
      <c r="H30" s="41"/>
      <c r="I30" s="41"/>
      <c r="J30" s="41"/>
      <c r="K30" s="41"/>
      <c r="L30" s="41"/>
      <c r="M30" s="11"/>
      <c r="Q30" s="11"/>
      <c r="U30" s="11"/>
      <c r="Y30" s="11"/>
      <c r="AC30" s="11"/>
    </row>
    <row r="31" spans="1:38" ht="28" x14ac:dyDescent="0.35">
      <c r="A31" s="6"/>
      <c r="B31" s="2">
        <v>9</v>
      </c>
      <c r="C31" s="40" t="s">
        <v>46</v>
      </c>
      <c r="D31" s="40"/>
      <c r="E31" s="3" t="s">
        <v>8</v>
      </c>
      <c r="F31" s="3" t="s">
        <v>6</v>
      </c>
      <c r="G31" s="3">
        <v>1</v>
      </c>
      <c r="H31" s="3">
        <v>12</v>
      </c>
      <c r="I31" s="15">
        <v>11882956.1</v>
      </c>
      <c r="J31" s="21">
        <f>I31*19%</f>
        <v>2257761.659</v>
      </c>
      <c r="K31" s="16">
        <f>+J31+I31</f>
        <v>14140717.759</v>
      </c>
      <c r="L31" s="16">
        <f>+K31*H31*G31</f>
        <v>169688613.10799998</v>
      </c>
      <c r="M31" s="15">
        <v>13815133</v>
      </c>
      <c r="N31" s="21">
        <f>M31*19%</f>
        <v>2624875.27</v>
      </c>
      <c r="O31" s="16">
        <f>+N31+M31</f>
        <v>16440008.27</v>
      </c>
      <c r="P31" s="16">
        <f t="shared" si="5"/>
        <v>197280099.24000001</v>
      </c>
      <c r="Q31" s="15">
        <v>11781450</v>
      </c>
      <c r="R31" s="21">
        <f>Q31*19%</f>
        <v>2238475.5</v>
      </c>
      <c r="S31" s="16">
        <f>+R31+Q31</f>
        <v>14019925.5</v>
      </c>
      <c r="T31" s="16">
        <f t="shared" si="8"/>
        <v>168239106</v>
      </c>
      <c r="U31" s="15">
        <v>11954222</v>
      </c>
      <c r="V31" s="21">
        <f>U31*19%</f>
        <v>2271302.1800000002</v>
      </c>
      <c r="W31" s="16">
        <f>+V31+U31</f>
        <v>14225524.18</v>
      </c>
      <c r="X31" s="16">
        <f t="shared" si="11"/>
        <v>170706290.16</v>
      </c>
      <c r="Y31" s="32"/>
      <c r="Z31" s="33"/>
      <c r="AA31" s="32"/>
      <c r="AB31" s="32"/>
      <c r="AC31" s="15">
        <v>126665621</v>
      </c>
      <c r="AD31" s="21">
        <f>AC31*19%</f>
        <v>24066467.990000002</v>
      </c>
      <c r="AE31" s="16">
        <f>+AD31+AC31</f>
        <v>150732088.99000001</v>
      </c>
      <c r="AF31" s="32">
        <f>+AE31*$G31</f>
        <v>150732088.99000001</v>
      </c>
      <c r="AG31" s="16">
        <f>AVERAGE(L31,P31,T31,X31,AF31)</f>
        <v>171329239.49959999</v>
      </c>
      <c r="AH31" s="16">
        <f>MEDIAN(L31,P31,T31,X31,AB31,AF31)</f>
        <v>169688613.10799998</v>
      </c>
      <c r="AI31" s="28">
        <f>(AF31/AG31)-100%</f>
        <v>-0.12021970429424611</v>
      </c>
    </row>
    <row r="32" spans="1:38" ht="47.5" customHeight="1" x14ac:dyDescent="0.35">
      <c r="A32" s="6"/>
      <c r="B32" s="2">
        <v>10</v>
      </c>
      <c r="C32" s="40" t="s">
        <v>45</v>
      </c>
      <c r="D32" s="40"/>
      <c r="E32" s="3" t="s">
        <v>8</v>
      </c>
      <c r="F32" s="3" t="s">
        <v>6</v>
      </c>
      <c r="G32" s="3">
        <v>1</v>
      </c>
      <c r="H32" s="3">
        <v>12</v>
      </c>
      <c r="I32" s="15"/>
      <c r="J32" s="21"/>
      <c r="K32" s="16">
        <f>+J32+I32</f>
        <v>0</v>
      </c>
      <c r="L32" s="16">
        <f>+K32*H32*G32</f>
        <v>0</v>
      </c>
      <c r="M32" s="15"/>
      <c r="N32" s="21"/>
      <c r="O32" s="16">
        <f>+N32+M32</f>
        <v>0</v>
      </c>
      <c r="P32" s="16">
        <f t="shared" ref="P32" si="43">+O32*$G32*$H32</f>
        <v>0</v>
      </c>
      <c r="Q32" s="15"/>
      <c r="R32" s="21"/>
      <c r="S32" s="16">
        <f>+R32+Q32</f>
        <v>0</v>
      </c>
      <c r="T32" s="16">
        <f t="shared" ref="T32" si="44">+S32*$G32*$H32</f>
        <v>0</v>
      </c>
      <c r="U32" s="15"/>
      <c r="V32" s="21"/>
      <c r="W32" s="16">
        <f>+V32+U32</f>
        <v>0</v>
      </c>
      <c r="X32" s="16">
        <f t="shared" ref="X32" si="45">+W32*$G32*$H32</f>
        <v>0</v>
      </c>
      <c r="Y32" s="15">
        <f>690000*10</f>
        <v>6900000</v>
      </c>
      <c r="Z32" s="21">
        <f t="shared" ref="Z32" si="46">Y32*19%</f>
        <v>1311000</v>
      </c>
      <c r="AA32" s="16">
        <f t="shared" ref="AA32" si="47">+Z32+Y32</f>
        <v>8211000</v>
      </c>
      <c r="AB32" s="16">
        <f t="shared" ref="AB32" si="48">+AA32*$G32*$H32</f>
        <v>98532000</v>
      </c>
      <c r="AC32" s="15"/>
      <c r="AD32" s="21"/>
      <c r="AE32" s="16">
        <f>+AD32+AC32</f>
        <v>0</v>
      </c>
      <c r="AF32" s="32">
        <f>+AE32*$G32</f>
        <v>0</v>
      </c>
      <c r="AG32" s="16">
        <f>AB32</f>
        <v>98532000</v>
      </c>
      <c r="AH32" s="16">
        <f>AG32</f>
        <v>98532000</v>
      </c>
      <c r="AI32" s="28">
        <f>(AF32/AG32)-100%</f>
        <v>-1</v>
      </c>
    </row>
    <row r="33" spans="2:35" ht="30.5" customHeight="1" x14ac:dyDescent="0.35">
      <c r="B33" s="12"/>
      <c r="C33" s="13"/>
      <c r="D33" s="13"/>
      <c r="E33" s="13"/>
      <c r="F33" s="13"/>
      <c r="G33" s="13"/>
      <c r="H33" s="13"/>
      <c r="I33" s="13"/>
      <c r="J33" s="13"/>
      <c r="K33" s="1" t="s">
        <v>14</v>
      </c>
      <c r="L33" s="17">
        <f>SUM(L16:L31)</f>
        <v>1950951129.6044002</v>
      </c>
      <c r="M33" s="13"/>
      <c r="N33" s="13"/>
      <c r="O33" s="1" t="s">
        <v>14</v>
      </c>
      <c r="P33" s="17">
        <f>SUM(P16:P31)</f>
        <v>1969755702.6699998</v>
      </c>
      <c r="Q33" s="13"/>
      <c r="R33" s="13"/>
      <c r="S33" s="1" t="s">
        <v>14</v>
      </c>
      <c r="T33" s="17">
        <f>SUM(T16:T31)</f>
        <v>1946136742.1300001</v>
      </c>
      <c r="U33" s="13"/>
      <c r="V33" s="13"/>
      <c r="W33" s="1" t="s">
        <v>14</v>
      </c>
      <c r="X33" s="17">
        <f>SUM(X16:X31)</f>
        <v>1960485005.29</v>
      </c>
      <c r="Y33" s="13"/>
      <c r="Z33" s="13"/>
      <c r="AA33" s="1" t="s">
        <v>14</v>
      </c>
      <c r="AB33" s="17">
        <f>SUM(AB16:AB31)</f>
        <v>2740332000</v>
      </c>
      <c r="AC33" s="13"/>
      <c r="AD33" s="13"/>
      <c r="AE33" s="1" t="s">
        <v>14</v>
      </c>
      <c r="AF33" s="17">
        <f>SUM(AF16:AF31)</f>
        <v>3580470333.1599998</v>
      </c>
      <c r="AG33" s="17">
        <f>SUM(AG16:AG31)</f>
        <v>1564363681.08408</v>
      </c>
      <c r="AH33" s="17">
        <f>SUM(AH16:AH31)</f>
        <v>1654483946.3362002</v>
      </c>
      <c r="AI33" s="29"/>
    </row>
    <row r="34" spans="2:35" x14ac:dyDescent="0.35">
      <c r="L34" s="9"/>
      <c r="P34" s="9"/>
      <c r="T34" s="9"/>
      <c r="X34" s="9"/>
      <c r="AB34" s="9"/>
      <c r="AF34" s="9"/>
      <c r="AG34" s="30"/>
      <c r="AH34" s="30"/>
    </row>
    <row r="35" spans="2:35" x14ac:dyDescent="0.35">
      <c r="AH35" s="30"/>
    </row>
  </sheetData>
  <sheetProtection formatColumns="0" selectLockedCells="1" selectUnlockedCells="1"/>
  <mergeCells count="20">
    <mergeCell ref="C32:D32"/>
    <mergeCell ref="C31:D31"/>
    <mergeCell ref="B24:B27"/>
    <mergeCell ref="B22:L22"/>
    <mergeCell ref="C23:D23"/>
    <mergeCell ref="C24:C27"/>
    <mergeCell ref="C28:D28"/>
    <mergeCell ref="B30:L30"/>
    <mergeCell ref="C18:D18"/>
    <mergeCell ref="B19:B21"/>
    <mergeCell ref="C16:D16"/>
    <mergeCell ref="C17:D17"/>
    <mergeCell ref="B2:L5"/>
    <mergeCell ref="B8:B9"/>
    <mergeCell ref="C8:L9"/>
    <mergeCell ref="C11:L12"/>
    <mergeCell ref="B11:B12"/>
    <mergeCell ref="C14:D14"/>
    <mergeCell ref="B15:L15"/>
    <mergeCell ref="C19:C21"/>
  </mergeCells>
  <pageMargins left="0.7" right="0.7" top="0.75" bottom="0.75" header="0.3" footer="0.3"/>
  <pageSetup orientation="portrait" r:id="rId1"/>
  <headerFooter>
    <oddFooter>&amp;L_x000D_&amp;1#&amp;"Aptos"&amp;10&amp;K000000 Informacion publica</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9A7D6-44EF-49AA-A6A8-8C7BC8866966}">
  <dimension ref="A1"/>
  <sheetViews>
    <sheetView workbookViewId="0">
      <selection activeCell="K23" sqref="K23"/>
    </sheetView>
  </sheetViews>
  <sheetFormatPr baseColWidth="10" defaultRowHeight="14.5" x14ac:dyDescent="0.35"/>
  <sheetData/>
  <pageMargins left="0.7" right="0.7" top="0.75" bottom="0.75" header="0.3" footer="0.3"/>
  <pageSetup orientation="portrait" r:id="rId1"/>
  <drawing r:id="rId2"/>
  <legacyDrawing r:id="rId3"/>
  <oleObjects>
    <mc:AlternateContent xmlns:mc="http://schemas.openxmlformats.org/markup-compatibility/2006">
      <mc:Choice Requires="x14">
        <oleObject progId="Acrobat.pdfxml.1" shapeId="6145" r:id="rId4">
          <objectPr defaultSize="0" autoPict="0" r:id="rId5">
            <anchor moveWithCells="1">
              <from>
                <xdr:col>0</xdr:col>
                <xdr:colOff>222250</xdr:colOff>
                <xdr:row>1</xdr:row>
                <xdr:rowOff>6350</xdr:rowOff>
              </from>
              <to>
                <xdr:col>8</xdr:col>
                <xdr:colOff>374650</xdr:colOff>
                <xdr:row>27</xdr:row>
                <xdr:rowOff>44450</xdr:rowOff>
              </to>
            </anchor>
          </objectPr>
        </oleObject>
      </mc:Choice>
      <mc:Fallback>
        <oleObject progId="Acrobat.pdfxml.1" shapeId="6145" r:id="rId4"/>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2713F2-FF81-4BED-8078-C34F83E8FEC1}">
  <dimension ref="A1"/>
  <sheetViews>
    <sheetView topLeftCell="A7" workbookViewId="0">
      <selection activeCell="J12" sqref="J12"/>
    </sheetView>
  </sheetViews>
  <sheetFormatPr baseColWidth="10" defaultRowHeight="14.5" x14ac:dyDescent="0.35"/>
  <sheetData/>
  <pageMargins left="0.7" right="0.7" top="0.75" bottom="0.75" header="0.3" footer="0.3"/>
  <pageSetup orientation="portrait" r:id="rId1"/>
  <drawing r:id="rId2"/>
  <legacyDrawing r:id="rId3"/>
  <oleObjects>
    <mc:AlternateContent xmlns:mc="http://schemas.openxmlformats.org/markup-compatibility/2006">
      <mc:Choice Requires="x14">
        <oleObject progId="Acrobat.pdfxml.1" shapeId="7169" r:id="rId4">
          <objectPr defaultSize="0" autoPict="0" r:id="rId5">
            <anchor moveWithCells="1">
              <from>
                <xdr:col>0</xdr:col>
                <xdr:colOff>438150</xdr:colOff>
                <xdr:row>0</xdr:row>
                <xdr:rowOff>171450</xdr:rowOff>
              </from>
              <to>
                <xdr:col>7</xdr:col>
                <xdr:colOff>704850</xdr:colOff>
                <xdr:row>43</xdr:row>
                <xdr:rowOff>177800</xdr:rowOff>
              </to>
            </anchor>
          </objectPr>
        </oleObject>
      </mc:Choice>
      <mc:Fallback>
        <oleObject progId="Acrobat.pdfxml.1" shapeId="7169"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660250-D9C5-446A-99A4-ED43E60A94E8}">
  <dimension ref="A1"/>
  <sheetViews>
    <sheetView topLeftCell="A4" workbookViewId="0">
      <selection activeCell="L13" sqref="L13"/>
    </sheetView>
  </sheetViews>
  <sheetFormatPr baseColWidth="10" defaultRowHeight="14.5" x14ac:dyDescent="0.35"/>
  <sheetData/>
  <pageMargins left="0.7" right="0.7" top="0.75" bottom="0.75" header="0.3" footer="0.3"/>
  <pageSetup orientation="portrait" r:id="rId1"/>
  <drawing r:id="rId2"/>
  <legacyDrawing r:id="rId3"/>
  <oleObjects>
    <mc:AlternateContent xmlns:mc="http://schemas.openxmlformats.org/markup-compatibility/2006">
      <mc:Choice Requires="x14">
        <oleObject progId="Acrobat.pdfxml.1" shapeId="8193" r:id="rId4">
          <objectPr defaultSize="0" r:id="rId5">
            <anchor moveWithCells="1">
              <from>
                <xdr:col>0</xdr:col>
                <xdr:colOff>0</xdr:colOff>
                <xdr:row>0</xdr:row>
                <xdr:rowOff>0</xdr:rowOff>
              </from>
              <to>
                <xdr:col>6</xdr:col>
                <xdr:colOff>457200</xdr:colOff>
                <xdr:row>21</xdr:row>
                <xdr:rowOff>19050</xdr:rowOff>
              </to>
            </anchor>
          </objectPr>
        </oleObject>
      </mc:Choice>
      <mc:Fallback>
        <oleObject progId="Acrobat.pdfxml.1" shapeId="8193" r:id="rId4"/>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C9549-A6C7-49B9-8DFC-6BFA0964E2D4}">
  <dimension ref="A1"/>
  <sheetViews>
    <sheetView workbookViewId="0">
      <selection activeCell="I11" sqref="I11"/>
    </sheetView>
  </sheetViews>
  <sheetFormatPr baseColWidth="10" defaultRowHeight="14.5" x14ac:dyDescent="0.35"/>
  <sheetData/>
  <pageMargins left="0.7" right="0.7" top="0.75" bottom="0.75" header="0.3" footer="0.3"/>
  <pageSetup orientation="portrait" r:id="rId1"/>
  <drawing r:id="rId2"/>
  <legacyDrawing r:id="rId3"/>
  <oleObjects>
    <mc:AlternateContent xmlns:mc="http://schemas.openxmlformats.org/markup-compatibility/2006">
      <mc:Choice Requires="x14">
        <oleObject progId="Acrobat.pdfxml.1" shapeId="9217" r:id="rId4">
          <objectPr defaultSize="0" r:id="rId5">
            <anchor moveWithCells="1">
              <from>
                <xdr:col>0</xdr:col>
                <xdr:colOff>0</xdr:colOff>
                <xdr:row>0</xdr:row>
                <xdr:rowOff>0</xdr:rowOff>
              </from>
              <to>
                <xdr:col>6</xdr:col>
                <xdr:colOff>457200</xdr:colOff>
                <xdr:row>21</xdr:row>
                <xdr:rowOff>19050</xdr:rowOff>
              </to>
            </anchor>
          </objectPr>
        </oleObject>
      </mc:Choice>
      <mc:Fallback>
        <oleObject progId="Acrobat.pdfxml.1" shapeId="9217"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D1A2CB949A4314296A5DCB6A477569C" ma:contentTypeVersion="19" ma:contentTypeDescription="Crear nuevo documento." ma:contentTypeScope="" ma:versionID="fd26ea29526dd08d68c3476bb62eb370">
  <xsd:schema xmlns:xsd="http://www.w3.org/2001/XMLSchema" xmlns:xs="http://www.w3.org/2001/XMLSchema" xmlns:p="http://schemas.microsoft.com/office/2006/metadata/properties" xmlns:ns2="92a1c345-3758-4b38-95da-fe0f55a4e55b" xmlns:ns3="fab91004-4f33-45c0-9686-241387b41e7c" targetNamespace="http://schemas.microsoft.com/office/2006/metadata/properties" ma:root="true" ma:fieldsID="a435ee80205f3a91d527cd2b6248bff8" ns2:_="" ns3:_="">
    <xsd:import namespace="92a1c345-3758-4b38-95da-fe0f55a4e55b"/>
    <xsd:import namespace="fab91004-4f33-45c0-9686-241387b41e7c"/>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2a1c345-3758-4b38-95da-fe0f55a4e55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5c98dda9-c6a7-4353-928d-6403415cfdc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ab91004-4f33-45c0-9686-241387b41e7c"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930f9d8a-0430-4e33-a305-cb1098e453fa}" ma:internalName="TaxCatchAll" ma:showField="CatchAllData" ma:web="fab91004-4f33-45c0-9686-241387b41e7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fab91004-4f33-45c0-9686-241387b41e7c" xsi:nil="true"/>
    <lcf76f155ced4ddcb4097134ff3c332f xmlns="92a1c345-3758-4b38-95da-fe0f55a4e55b">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D526879-88F1-4E32-9984-AD5C86E0BC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2a1c345-3758-4b38-95da-fe0f55a4e55b"/>
    <ds:schemaRef ds:uri="fab91004-4f33-45c0-9686-241387b41e7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894ACFA-1107-49BF-8C60-B66AE1959800}">
  <ds:schemaRefs>
    <ds:schemaRef ds:uri="http://schemas.microsoft.com/office/2006/metadata/properties"/>
    <ds:schemaRef ds:uri="http://schemas.microsoft.com/office/infopath/2007/PartnerControls"/>
    <ds:schemaRef ds:uri="fab91004-4f33-45c0-9686-241387b41e7c"/>
    <ds:schemaRef ds:uri="92a1c345-3758-4b38-95da-fe0f55a4e55b"/>
  </ds:schemaRefs>
</ds:datastoreItem>
</file>

<file path=customXml/itemProps3.xml><?xml version="1.0" encoding="utf-8"?>
<ds:datastoreItem xmlns:ds="http://schemas.openxmlformats.org/officeDocument/2006/customXml" ds:itemID="{A9B961EF-1612-4115-ADB7-ABBF268BB4F2}">
  <ds:schemaRefs>
    <ds:schemaRef ds:uri="http://schemas.microsoft.com/sharepoint/v3/contenttype/forms"/>
  </ds:schemaRefs>
</ds:datastoreItem>
</file>

<file path=docMetadata/LabelInfo.xml><?xml version="1.0" encoding="utf-8"?>
<clbl:labelList xmlns:clbl="http://schemas.microsoft.com/office/2020/mipLabelMetadata">
  <clbl:label id="{9cb8cdce-76f3-4733-b872-7f7ece033f1c}" enabled="1" method="Privileged" siteId="{7d321262-f092-4e84-bb7c-97bc5421bd2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GAMMA INGENIEROS</vt:lpstr>
      <vt:lpstr>COMPARATIVO</vt:lpstr>
      <vt:lpstr>INTERNEXA</vt:lpstr>
      <vt:lpstr>e&amp;C ING</vt:lpstr>
      <vt:lpstr>DATASEC</vt:lpstr>
      <vt:lpstr>WEXLER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Alexander Pena Ocampo</dc:creator>
  <cp:lastModifiedBy>Luis Alonso Lugo Charry</cp:lastModifiedBy>
  <dcterms:created xsi:type="dcterms:W3CDTF">2026-01-22T14:45:35Z</dcterms:created>
  <dcterms:modified xsi:type="dcterms:W3CDTF">2026-06-04T19:24:22Z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0x0101005D1A2CB949A4314296A5DCB6A477569C</vt:lpwstr>
  </property>
</Properties>
</file>