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1.bin" ContentType="application/vnd.openxmlformats-officedocument.oleObject"/>
  <Override PartName="/xl/drawings/drawing6.xml" ContentType="application/vnd.openxmlformats-officedocument.drawing+xml"/>
  <Override PartName="/xl/embeddings/oleObject2.bin" ContentType="application/vnd.openxmlformats-officedocument.oleObject"/>
  <Override PartName="/xl/drawings/drawing7.xml" ContentType="application/vnd.openxmlformats-officedocument.drawing+xml"/>
  <Override PartName="/xl/embeddings/oleObject3.bin" ContentType="application/vnd.openxmlformats-officedocument.oleObject"/>
  <Override PartName="/xl/drawings/drawing8.xml" ContentType="application/vnd.openxmlformats-officedocument.drawing+xml"/>
  <Override PartName="/xl/embeddings/oleObject4.bin" ContentType="application/vnd.openxmlformats-officedocument.oleObject"/>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embeddings/oleObject5.bin" ContentType="application/vnd.openxmlformats-officedocument.oleObject"/>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Override PartName="/xl/richData/rdrichvaluestructure.xml" ContentType="application/vnd.ms-excel.rdrichvaluestructure+xml"/>
  <Override PartName="/xl/richData/rdrichvalue.xml" ContentType="application/vnd.ms-excel.rdrichvalue+xml"/>
  <Override PartName="/xl/richData/richValueRel.xml" ContentType="application/vnd.ms-excel.richvaluerel+xml"/>
  <Override PartName="/xl/richData/rdRichValueTypes.xml" ContentType="application/vnd.ms-excel.rdrichvaluetyp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1. ANM\7. PLURALIDAD DE OFERENTES\2. SASI\3. SOC - INFRAESTRUCTURA TECN\DOCUMENTOS A PUBLICAR\"/>
    </mc:Choice>
  </mc:AlternateContent>
  <bookViews>
    <workbookView xWindow="0" yWindow="0" windowWidth="19200" windowHeight="6930" firstSheet="1" activeTab="2"/>
  </bookViews>
  <sheets>
    <sheet name="ASPECTOS A TENER EN CUENTA" sheetId="2" state="hidden" r:id="rId1"/>
    <sheet name="ANALISIS INICIAL DISPERSION" sheetId="15" r:id="rId2"/>
    <sheet name="PPTO DEFINITIVO SIN ATIPICOS" sheetId="16" r:id="rId3"/>
    <sheet name="ESTUDIO DE MERCADO" sheetId="3" state="hidden" r:id="rId4"/>
    <sheet name="GAMMA INGENIEROS" sheetId="5" r:id="rId5"/>
    <sheet name="INTERNEXA" sheetId="6" r:id="rId6"/>
    <sheet name="e&amp;C ING" sheetId="7" r:id="rId7"/>
    <sheet name="DATASEC" sheetId="8" r:id="rId8"/>
    <sheet name="WEXLER" sheetId="9" r:id="rId9"/>
    <sheet name="REAL TIME" sheetId="10" r:id="rId10"/>
    <sheet name="PAM WEXLER" sheetId="11" r:id="rId11"/>
    <sheet name="PAM REAL TIME" sheetId="12" r:id="rId12"/>
    <sheet name="PAM INTERNEXA" sheetId="13" r:id="rId13"/>
    <sheet name="PAM FORTINET" sheetId="14" r:id="rId1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1" i="15" l="1" a="1"/>
  <c r="BG31" i="15" s="1"/>
  <c r="BG29" i="15" a="1"/>
  <c r="BG29" i="15" s="1"/>
  <c r="BG28" i="15" a="1"/>
  <c r="BG28" i="15" s="1"/>
  <c r="BG24" i="15" a="1"/>
  <c r="BG24" i="15" s="1"/>
  <c r="BG21" i="15" a="1"/>
  <c r="BG21" i="15" s="1"/>
  <c r="BG20" i="15" a="1"/>
  <c r="BG20" i="15" s="1"/>
  <c r="BG19" i="15" a="1"/>
  <c r="BG19" i="15" s="1"/>
  <c r="BG18" i="15" a="1"/>
  <c r="BG18" i="15" s="1"/>
  <c r="BG17" i="15" a="1"/>
  <c r="BG17" i="15" s="1"/>
  <c r="BG31" i="16" a="1"/>
  <c r="BG31" i="16" s="1"/>
  <c r="BG29" i="16" a="1"/>
  <c r="BG29" i="16" s="1"/>
  <c r="BI29" i="16" s="1"/>
  <c r="BJ29" i="16" s="1"/>
  <c r="BG28" i="16" a="1"/>
  <c r="BG28" i="16" s="1"/>
  <c r="BH28" i="16" s="1"/>
  <c r="BG24" i="16" a="1"/>
  <c r="BG24" i="16" s="1"/>
  <c r="BI24" i="16" s="1"/>
  <c r="BJ24" i="16" s="1"/>
  <c r="BG18" i="16" a="1"/>
  <c r="BG18" i="16" s="1"/>
  <c r="BI18" i="16" s="1"/>
  <c r="BJ18" i="16" s="1"/>
  <c r="BG19" i="16" a="1"/>
  <c r="BG19" i="16" s="1"/>
  <c r="BG20" i="16" a="1"/>
  <c r="BG20" i="16" s="1"/>
  <c r="BI20" i="16" s="1"/>
  <c r="BJ20" i="16" s="1"/>
  <c r="BG21" i="16" a="1"/>
  <c r="BG21" i="16" s="1"/>
  <c r="BH21" i="16" s="1"/>
  <c r="BG22" i="16" a="1"/>
  <c r="BG22" i="16" s="1"/>
  <c r="BH22" i="16" s="1"/>
  <c r="BG17" i="16" a="1"/>
  <c r="BG17" i="16" s="1"/>
  <c r="BI17" i="16" s="1"/>
  <c r="BJ17" i="16" s="1"/>
  <c r="AL32" i="16"/>
  <c r="AJ32" i="16" s="1"/>
  <c r="AK32" i="16" s="1"/>
  <c r="AH32" i="16"/>
  <c r="AF32" i="16" s="1"/>
  <c r="AG32" i="16" s="1"/>
  <c r="AD32" i="16"/>
  <c r="AB32" i="16"/>
  <c r="AC32" i="16" s="1"/>
  <c r="Z32" i="16"/>
  <c r="X32" i="16" s="1"/>
  <c r="BC31" i="16" a="1"/>
  <c r="BC31" i="16" s="1"/>
  <c r="AY31" i="16"/>
  <c r="AZ31" i="16" s="1"/>
  <c r="AU31" i="16"/>
  <c r="AW31" i="16" s="1"/>
  <c r="AX31" i="16" s="1"/>
  <c r="AP31" i="16"/>
  <c r="AQ31" i="16" s="1"/>
  <c r="AO31" i="16"/>
  <c r="AG31" i="16"/>
  <c r="AH31" i="16" s="1"/>
  <c r="Y31" i="16"/>
  <c r="Z31" i="16" s="1"/>
  <c r="AA31" i="16" s="1"/>
  <c r="U31" i="16"/>
  <c r="V31" i="16" s="1"/>
  <c r="W31" i="16" s="1"/>
  <c r="Q31" i="16"/>
  <c r="R31" i="16" s="1"/>
  <c r="S31" i="16" s="1"/>
  <c r="M31" i="16"/>
  <c r="N31" i="16" s="1"/>
  <c r="O31" i="16" s="1"/>
  <c r="BC29" i="16" a="1"/>
  <c r="BC29" i="16" s="1"/>
  <c r="AY29" i="16"/>
  <c r="AZ29" i="16" s="1"/>
  <c r="AU29" i="16"/>
  <c r="AW29" i="16" s="1"/>
  <c r="AX29" i="16" s="1"/>
  <c r="AP29" i="16"/>
  <c r="AO29" i="16"/>
  <c r="AG29" i="16"/>
  <c r="AH29" i="16" s="1"/>
  <c r="AC29" i="16"/>
  <c r="AD29" i="16" s="1"/>
  <c r="AE29" i="16" s="1"/>
  <c r="Y29" i="16"/>
  <c r="Z29" i="16" s="1"/>
  <c r="AA29" i="16" s="1"/>
  <c r="U29" i="16"/>
  <c r="V29" i="16" s="1"/>
  <c r="W29" i="16" s="1"/>
  <c r="Q29" i="16"/>
  <c r="R29" i="16" s="1"/>
  <c r="S29" i="16" s="1"/>
  <c r="M29" i="16"/>
  <c r="N29" i="16" s="1"/>
  <c r="O29" i="16" s="1"/>
  <c r="BC28" i="16" a="1"/>
  <c r="BC28" i="16" s="1"/>
  <c r="AY28" i="16"/>
  <c r="AZ28" i="16" s="1"/>
  <c r="AU28" i="16"/>
  <c r="AW28" i="16" s="1"/>
  <c r="AX28" i="16" s="1"/>
  <c r="AP28" i="16"/>
  <c r="AO28" i="16"/>
  <c r="AG28" i="16"/>
  <c r="AH28" i="16" s="1"/>
  <c r="AI28" i="16" s="1"/>
  <c r="AC28" i="16"/>
  <c r="AD28" i="16" s="1"/>
  <c r="Y28" i="16"/>
  <c r="Z28" i="16" s="1"/>
  <c r="AA28" i="16" s="1"/>
  <c r="U28" i="16"/>
  <c r="V28" i="16" s="1"/>
  <c r="W28" i="16" s="1"/>
  <c r="Q28" i="16"/>
  <c r="R28" i="16" s="1"/>
  <c r="S28" i="16" s="1"/>
  <c r="M28" i="16"/>
  <c r="N28" i="16" s="1"/>
  <c r="O28" i="16" s="1"/>
  <c r="AF27" i="16"/>
  <c r="AP27" i="16" s="1"/>
  <c r="AC27" i="16"/>
  <c r="AD27" i="16" s="1"/>
  <c r="AE27" i="16" s="1"/>
  <c r="Y27" i="16"/>
  <c r="Z27" i="16" s="1"/>
  <c r="AA27" i="16" s="1"/>
  <c r="U27" i="16"/>
  <c r="V27" i="16" s="1"/>
  <c r="W27" i="16" s="1"/>
  <c r="Q27" i="16"/>
  <c r="R27" i="16" s="1"/>
  <c r="S27" i="16" s="1"/>
  <c r="M27" i="16"/>
  <c r="N27" i="16" s="1"/>
  <c r="O27" i="16" s="1"/>
  <c r="AF26" i="16"/>
  <c r="AG26" i="16" s="1"/>
  <c r="AH26" i="16" s="1"/>
  <c r="AI26" i="16" s="1"/>
  <c r="AC26" i="16"/>
  <c r="AD26" i="16" s="1"/>
  <c r="AE26" i="16" s="1"/>
  <c r="Y26" i="16"/>
  <c r="Z26" i="16" s="1"/>
  <c r="AA26" i="16" s="1"/>
  <c r="U26" i="16"/>
  <c r="V26" i="16" s="1"/>
  <c r="W26" i="16" s="1"/>
  <c r="Q26" i="16"/>
  <c r="R26" i="16" s="1"/>
  <c r="S26" i="16" s="1"/>
  <c r="M26" i="16"/>
  <c r="N26" i="16" s="1"/>
  <c r="O26" i="16" s="1"/>
  <c r="AF25" i="16"/>
  <c r="AY25" i="16" s="1"/>
  <c r="BN25" i="16" s="1"/>
  <c r="AC25" i="16"/>
  <c r="AD25" i="16" s="1"/>
  <c r="AE25" i="16" s="1"/>
  <c r="Y25" i="16"/>
  <c r="Z25" i="16" s="1"/>
  <c r="AA25" i="16" s="1"/>
  <c r="U25" i="16"/>
  <c r="V25" i="16" s="1"/>
  <c r="W25" i="16" s="1"/>
  <c r="Q25" i="16"/>
  <c r="R25" i="16" s="1"/>
  <c r="S25" i="16" s="1"/>
  <c r="M25" i="16"/>
  <c r="N25" i="16" s="1"/>
  <c r="O25" i="16" s="1"/>
  <c r="BC24" i="16" a="1"/>
  <c r="BC24" i="16" s="1"/>
  <c r="AY24" i="16"/>
  <c r="BN24" i="16" s="1"/>
  <c r="AU24" i="16"/>
  <c r="AW24" i="16" s="1"/>
  <c r="AX24" i="16" s="1"/>
  <c r="AP24" i="16"/>
  <c r="AO24" i="16"/>
  <c r="AG24" i="16"/>
  <c r="AH24" i="16" s="1"/>
  <c r="AI24" i="16" s="1"/>
  <c r="AC24" i="16"/>
  <c r="AD24" i="16" s="1"/>
  <c r="AE24" i="16" s="1"/>
  <c r="Y24" i="16"/>
  <c r="Z24" i="16" s="1"/>
  <c r="AA24" i="16" s="1"/>
  <c r="U24" i="16"/>
  <c r="V24" i="16" s="1"/>
  <c r="W24" i="16" s="1"/>
  <c r="Q24" i="16"/>
  <c r="R24" i="16" s="1"/>
  <c r="S24" i="16" s="1"/>
  <c r="M24" i="16"/>
  <c r="N24" i="16" s="1"/>
  <c r="O24" i="16" s="1"/>
  <c r="AH22" i="16"/>
  <c r="AC22" i="16"/>
  <c r="AD22" i="16" s="1"/>
  <c r="AE22" i="16" s="1"/>
  <c r="Y22" i="16"/>
  <c r="Z22" i="16" s="1"/>
  <c r="AA22" i="16" s="1"/>
  <c r="U22" i="16"/>
  <c r="V22" i="16" s="1"/>
  <c r="W22" i="16" s="1"/>
  <c r="Q22" i="16"/>
  <c r="R22" i="16" s="1"/>
  <c r="S22" i="16" s="1"/>
  <c r="M22" i="16"/>
  <c r="N22" i="16" s="1"/>
  <c r="O22" i="16" s="1"/>
  <c r="BC21" i="16" a="1"/>
  <c r="BC21" i="16" s="1"/>
  <c r="AY21" i="16"/>
  <c r="BA21" i="16" s="1"/>
  <c r="BB21" i="16" s="1"/>
  <c r="AU21" i="16"/>
  <c r="AP21" i="16"/>
  <c r="AO21" i="16"/>
  <c r="AG21" i="16"/>
  <c r="AH21" i="16" s="1"/>
  <c r="AI21" i="16" s="1"/>
  <c r="AC21" i="16"/>
  <c r="AD21" i="16" s="1"/>
  <c r="AE21" i="16" s="1"/>
  <c r="Y21" i="16"/>
  <c r="Z21" i="16" s="1"/>
  <c r="AA21" i="16" s="1"/>
  <c r="U21" i="16"/>
  <c r="V21" i="16" s="1"/>
  <c r="W21" i="16" s="1"/>
  <c r="Q21" i="16"/>
  <c r="R21" i="16" s="1"/>
  <c r="S21" i="16" s="1"/>
  <c r="M21" i="16"/>
  <c r="N21" i="16" s="1"/>
  <c r="O21" i="16" s="1"/>
  <c r="BC20" i="16" a="1"/>
  <c r="BC20" i="16" s="1"/>
  <c r="BE20" i="16" s="1"/>
  <c r="BF20" i="16" s="1"/>
  <c r="AY20" i="16"/>
  <c r="BA20" i="16" s="1"/>
  <c r="BB20" i="16" s="1"/>
  <c r="AU20" i="16"/>
  <c r="AW20" i="16" s="1"/>
  <c r="AX20" i="16" s="1"/>
  <c r="AP20" i="16"/>
  <c r="AO20" i="16"/>
  <c r="AG20" i="16"/>
  <c r="AH20" i="16" s="1"/>
  <c r="AI20" i="16" s="1"/>
  <c r="AC20" i="16"/>
  <c r="AD20" i="16" s="1"/>
  <c r="AE20" i="16" s="1"/>
  <c r="Y20" i="16"/>
  <c r="Z20" i="16" s="1"/>
  <c r="AA20" i="16" s="1"/>
  <c r="U20" i="16"/>
  <c r="V20" i="16" s="1"/>
  <c r="W20" i="16" s="1"/>
  <c r="Q20" i="16"/>
  <c r="R20" i="16" s="1"/>
  <c r="S20" i="16" s="1"/>
  <c r="M20" i="16"/>
  <c r="N20" i="16" s="1"/>
  <c r="O20" i="16" s="1"/>
  <c r="BC19" i="16" a="1"/>
  <c r="BC19" i="16" s="1"/>
  <c r="BD19" i="16" s="1"/>
  <c r="AY19" i="16"/>
  <c r="BN19" i="16" s="1"/>
  <c r="AU19" i="16"/>
  <c r="AV19" i="16" s="1"/>
  <c r="AP19" i="16"/>
  <c r="AO19" i="16"/>
  <c r="AG19" i="16"/>
  <c r="AH19" i="16" s="1"/>
  <c r="AI19" i="16" s="1"/>
  <c r="AC19" i="16"/>
  <c r="AD19" i="16" s="1"/>
  <c r="AE19" i="16" s="1"/>
  <c r="Y19" i="16"/>
  <c r="Z19" i="16" s="1"/>
  <c r="AA19" i="16" s="1"/>
  <c r="U19" i="16"/>
  <c r="V19" i="16" s="1"/>
  <c r="W19" i="16" s="1"/>
  <c r="Q19" i="16"/>
  <c r="R19" i="16" s="1"/>
  <c r="S19" i="16" s="1"/>
  <c r="M19" i="16"/>
  <c r="N19" i="16" s="1"/>
  <c r="O19" i="16" s="1"/>
  <c r="BC18" i="16" a="1"/>
  <c r="BC18" i="16" s="1"/>
  <c r="AY18" i="16"/>
  <c r="BN18" i="16" s="1"/>
  <c r="AU18" i="16"/>
  <c r="AP18" i="16"/>
  <c r="AO18" i="16"/>
  <c r="AG18" i="16"/>
  <c r="AH18" i="16" s="1"/>
  <c r="AI18" i="16" s="1"/>
  <c r="AC18" i="16"/>
  <c r="AD18" i="16" s="1"/>
  <c r="AE18" i="16" s="1"/>
  <c r="Y18" i="16"/>
  <c r="Z18" i="16" s="1"/>
  <c r="AA18" i="16" s="1"/>
  <c r="U18" i="16"/>
  <c r="V18" i="16" s="1"/>
  <c r="W18" i="16" s="1"/>
  <c r="Q18" i="16"/>
  <c r="R18" i="16" s="1"/>
  <c r="S18" i="16" s="1"/>
  <c r="M18" i="16"/>
  <c r="N18" i="16" s="1"/>
  <c r="O18" i="16" s="1"/>
  <c r="BC17" i="16" a="1"/>
  <c r="BC17" i="16" s="1"/>
  <c r="BD17" i="16" s="1"/>
  <c r="AY17" i="16"/>
  <c r="BN17" i="16" s="1"/>
  <c r="AU17" i="16"/>
  <c r="AW17" i="16" s="1"/>
  <c r="AX17" i="16" s="1"/>
  <c r="AP17" i="16"/>
  <c r="AO17" i="16"/>
  <c r="AG17" i="16"/>
  <c r="AH17" i="16" s="1"/>
  <c r="AI17" i="16" s="1"/>
  <c r="AC17" i="16"/>
  <c r="AD17" i="16" s="1"/>
  <c r="AE17" i="16" s="1"/>
  <c r="Y17" i="16"/>
  <c r="Z17" i="16" s="1"/>
  <c r="AA17" i="16" s="1"/>
  <c r="U17" i="16"/>
  <c r="V17" i="16" s="1"/>
  <c r="W17" i="16" s="1"/>
  <c r="Q17" i="16"/>
  <c r="R17" i="16" s="1"/>
  <c r="S17" i="16" s="1"/>
  <c r="M17" i="16"/>
  <c r="N17" i="16" s="1"/>
  <c r="O17" i="16" s="1"/>
  <c r="AT1" i="16" a="1"/>
  <c r="AT1" i="16" s="1"/>
  <c r="AP18" i="15"/>
  <c r="AP19" i="15"/>
  <c r="AP20" i="15"/>
  <c r="AP21" i="15"/>
  <c r="AP24" i="15"/>
  <c r="AP28" i="15"/>
  <c r="AP29" i="15"/>
  <c r="AP31" i="15"/>
  <c r="AP17" i="15"/>
  <c r="AO18" i="15"/>
  <c r="AO19" i="15"/>
  <c r="AO20" i="15"/>
  <c r="AO21" i="15"/>
  <c r="AO24" i="15"/>
  <c r="AO28" i="15"/>
  <c r="AO29" i="15"/>
  <c r="AO31" i="15"/>
  <c r="AO17" i="15"/>
  <c r="AQ29" i="16" l="1"/>
  <c r="AQ19" i="16"/>
  <c r="BO17" i="16"/>
  <c r="BP17" i="16"/>
  <c r="BQ17" i="16" s="1"/>
  <c r="BN21" i="16"/>
  <c r="AQ17" i="16"/>
  <c r="BN31" i="16"/>
  <c r="BI17" i="15"/>
  <c r="BJ17" i="15" s="1"/>
  <c r="BH17" i="15"/>
  <c r="BH18" i="15"/>
  <c r="BI18" i="15"/>
  <c r="BJ18" i="15" s="1"/>
  <c r="BI19" i="15"/>
  <c r="BJ19" i="15" s="1"/>
  <c r="BH19" i="15"/>
  <c r="BI20" i="15"/>
  <c r="BJ20" i="15" s="1"/>
  <c r="BH20" i="15"/>
  <c r="BI21" i="15"/>
  <c r="BJ21" i="15" s="1"/>
  <c r="BH21" i="15"/>
  <c r="BI24" i="15"/>
  <c r="BJ24" i="15" s="1"/>
  <c r="BH24" i="15"/>
  <c r="BH28" i="15"/>
  <c r="BI28" i="15"/>
  <c r="BJ28" i="15" s="1"/>
  <c r="BI29" i="15"/>
  <c r="BJ29" i="15" s="1"/>
  <c r="BH29" i="15"/>
  <c r="BI31" i="15"/>
  <c r="BJ31" i="15" s="1"/>
  <c r="BH31" i="15"/>
  <c r="BO19" i="16"/>
  <c r="BP19" i="16"/>
  <c r="BQ19" i="16" s="1"/>
  <c r="BO24" i="16"/>
  <c r="BP24" i="16"/>
  <c r="BQ24" i="16" s="1"/>
  <c r="BO18" i="16"/>
  <c r="BP18" i="16"/>
  <c r="BQ18" i="16" s="1"/>
  <c r="BO25" i="16"/>
  <c r="BP25" i="16"/>
  <c r="BQ25" i="16" s="1"/>
  <c r="BN20" i="16"/>
  <c r="BG25" i="16" a="1"/>
  <c r="BG25" i="16" s="1"/>
  <c r="BI25" i="16" s="1"/>
  <c r="BJ25" i="16" s="1"/>
  <c r="BN29" i="16"/>
  <c r="BG27" i="16" a="1"/>
  <c r="BG27" i="16" s="1"/>
  <c r="BH27" i="16" s="1"/>
  <c r="AU27" i="16"/>
  <c r="AW27" i="16" s="1"/>
  <c r="AX27" i="16" s="1"/>
  <c r="W33" i="16"/>
  <c r="AY27" i="16"/>
  <c r="BC27" i="16" a="1"/>
  <c r="BC27" i="16" s="1"/>
  <c r="BE27" i="16" s="1"/>
  <c r="BF27" i="16" s="1"/>
  <c r="BN28" i="16"/>
  <c r="BH20" i="16"/>
  <c r="BH19" i="16"/>
  <c r="BI19" i="16"/>
  <c r="BJ19" i="16" s="1"/>
  <c r="BG32" i="16" a="1"/>
  <c r="BG32" i="16" s="1"/>
  <c r="AP32" i="16"/>
  <c r="AQ32" i="16" s="1"/>
  <c r="BH31" i="16"/>
  <c r="BI31" i="16"/>
  <c r="BJ31" i="16" s="1"/>
  <c r="AQ24" i="16"/>
  <c r="AV24" i="16"/>
  <c r="AO26" i="16"/>
  <c r="BH18" i="16"/>
  <c r="AP26" i="16"/>
  <c r="BH24" i="16"/>
  <c r="AU26" i="16"/>
  <c r="AW26" i="16" s="1"/>
  <c r="AX26" i="16" s="1"/>
  <c r="AY26" i="16"/>
  <c r="AZ26" i="16" s="1"/>
  <c r="BC26" i="16" a="1"/>
  <c r="BC26" i="16" s="1"/>
  <c r="BD26" i="16" s="1"/>
  <c r="AQ28" i="16"/>
  <c r="BC25" i="16" a="1"/>
  <c r="BC25" i="16" s="1"/>
  <c r="BD25" i="16" s="1"/>
  <c r="BI28" i="16"/>
  <c r="BJ28" i="16" s="1"/>
  <c r="AG27" i="16"/>
  <c r="AH27" i="16" s="1"/>
  <c r="AI27" i="16" s="1"/>
  <c r="BI21" i="16"/>
  <c r="BJ21" i="16" s="1"/>
  <c r="BH29" i="16"/>
  <c r="AO27" i="16"/>
  <c r="BG26" i="16" a="1"/>
  <c r="BG26" i="16" s="1"/>
  <c r="BH17" i="16"/>
  <c r="BI22" i="16"/>
  <c r="BJ22" i="16" s="1"/>
  <c r="AQ21" i="16"/>
  <c r="BA31" i="16"/>
  <c r="BB31" i="16" s="1"/>
  <c r="BA29" i="16"/>
  <c r="BB29" i="16" s="1"/>
  <c r="BE28" i="16"/>
  <c r="BF28" i="16" s="1"/>
  <c r="BD28" i="16"/>
  <c r="BE19" i="16"/>
  <c r="BF19" i="16" s="1"/>
  <c r="AZ21" i="16"/>
  <c r="AQ20" i="16"/>
  <c r="AV18" i="16"/>
  <c r="AW18" i="16"/>
  <c r="AX18" i="16" s="1"/>
  <c r="BE24" i="16"/>
  <c r="BF24" i="16" s="1"/>
  <c r="BD24" i="16"/>
  <c r="AI31" i="16"/>
  <c r="BD31" i="16"/>
  <c r="BE31" i="16"/>
  <c r="BF31" i="16" s="1"/>
  <c r="BA25" i="16"/>
  <c r="BB25" i="16" s="1"/>
  <c r="AZ25" i="16"/>
  <c r="BE21" i="16"/>
  <c r="BF21" i="16" s="1"/>
  <c r="BD21" i="16"/>
  <c r="S33" i="16"/>
  <c r="AI29" i="16"/>
  <c r="AW21" i="16"/>
  <c r="AX21" i="16" s="1"/>
  <c r="AV21" i="16"/>
  <c r="BE29" i="16"/>
  <c r="BF29" i="16" s="1"/>
  <c r="BD29" i="16"/>
  <c r="O33" i="16"/>
  <c r="AA33" i="16"/>
  <c r="AU32" i="16"/>
  <c r="AO32" i="16"/>
  <c r="AQ18" i="16"/>
  <c r="AZ18" i="16"/>
  <c r="AZ24" i="16"/>
  <c r="BA24" i="16"/>
  <c r="BB24" i="16" s="1"/>
  <c r="BC32" i="16" a="1"/>
  <c r="BC32" i="16" s="1"/>
  <c r="AZ17" i="16"/>
  <c r="AW19" i="16"/>
  <c r="AX19" i="16" s="1"/>
  <c r="AE28" i="16"/>
  <c r="AE33" i="16" s="1"/>
  <c r="AY22" i="16"/>
  <c r="BN22" i="16" s="1"/>
  <c r="AU22" i="16"/>
  <c r="BA18" i="16"/>
  <c r="BB18" i="16" s="1"/>
  <c r="AV20" i="16"/>
  <c r="AG22" i="16"/>
  <c r="BE18" i="16"/>
  <c r="BF18" i="16" s="1"/>
  <c r="BD18" i="16"/>
  <c r="AO22" i="16"/>
  <c r="AV17" i="16"/>
  <c r="AP22" i="16"/>
  <c r="BD20" i="16"/>
  <c r="AP25" i="16"/>
  <c r="AG25" i="16"/>
  <c r="AH25" i="16" s="1"/>
  <c r="AI25" i="16" s="1"/>
  <c r="AO25" i="16"/>
  <c r="AV28" i="16"/>
  <c r="BC22" i="16" a="1"/>
  <c r="BC22" i="16" s="1"/>
  <c r="AU25" i="16"/>
  <c r="BA17" i="16"/>
  <c r="BB17" i="16" s="1"/>
  <c r="BA19" i="16"/>
  <c r="BB19" i="16" s="1"/>
  <c r="AZ19" i="16"/>
  <c r="AI32" i="16"/>
  <c r="BE17" i="16"/>
  <c r="BF17" i="16" s="1"/>
  <c r="Y32" i="16"/>
  <c r="AY32" i="16"/>
  <c r="BN32" i="16" s="1"/>
  <c r="AZ20" i="16"/>
  <c r="BA28" i="16"/>
  <c r="BB28" i="16" s="1"/>
  <c r="AV29" i="16"/>
  <c r="AV31" i="16"/>
  <c r="AQ22" i="16" l="1"/>
  <c r="AQ25" i="16"/>
  <c r="AV27" i="16"/>
  <c r="BH25" i="16"/>
  <c r="BE25" i="16"/>
  <c r="BF25" i="16" s="1"/>
  <c r="BO21" i="16"/>
  <c r="BP21" i="16"/>
  <c r="BQ21" i="16" s="1"/>
  <c r="BO31" i="16"/>
  <c r="BP31" i="16"/>
  <c r="BQ31" i="16" s="1"/>
  <c r="BA27" i="16"/>
  <c r="BB27" i="16" s="1"/>
  <c r="BN27" i="16"/>
  <c r="BD27" i="16"/>
  <c r="BA26" i="16"/>
  <c r="BB26" i="16" s="1"/>
  <c r="BN26" i="16"/>
  <c r="AQ27" i="16"/>
  <c r="BO32" i="16"/>
  <c r="BP32" i="16"/>
  <c r="BQ32" i="16" s="1"/>
  <c r="BO29" i="16"/>
  <c r="BP29" i="16"/>
  <c r="BQ29" i="16" s="1"/>
  <c r="BO20" i="16"/>
  <c r="BP20" i="16"/>
  <c r="BQ20" i="16" s="1"/>
  <c r="BO22" i="16"/>
  <c r="BP22" i="16"/>
  <c r="BQ22" i="16" s="1"/>
  <c r="AZ27" i="16"/>
  <c r="BI27" i="16"/>
  <c r="BJ27" i="16" s="1"/>
  <c r="BO28" i="16"/>
  <c r="BP28" i="16"/>
  <c r="BQ28" i="16" s="1"/>
  <c r="AQ26" i="16"/>
  <c r="BE26" i="16"/>
  <c r="BF26" i="16" s="1"/>
  <c r="BI26" i="16"/>
  <c r="BJ26" i="16" s="1"/>
  <c r="BH26" i="16"/>
  <c r="AV26" i="16"/>
  <c r="BH32" i="16"/>
  <c r="BI32" i="16"/>
  <c r="BJ32" i="16" s="1"/>
  <c r="AI33" i="16"/>
  <c r="BE22" i="16"/>
  <c r="BF22" i="16" s="1"/>
  <c r="BD22" i="16"/>
  <c r="AW32" i="16"/>
  <c r="AX32" i="16" s="1"/>
  <c r="AV32" i="16"/>
  <c r="BE32" i="16"/>
  <c r="BF32" i="16" s="1"/>
  <c r="BD32" i="16"/>
  <c r="BA22" i="16"/>
  <c r="BB22" i="16" s="1"/>
  <c r="AZ22" i="16"/>
  <c r="BA32" i="16"/>
  <c r="BB32" i="16" s="1"/>
  <c r="AZ32" i="16"/>
  <c r="AW25" i="16"/>
  <c r="AX25" i="16" s="1"/>
  <c r="AV25" i="16"/>
  <c r="AV22" i="16"/>
  <c r="AW22" i="16"/>
  <c r="AX22" i="16" s="1"/>
  <c r="BJ33" i="16" l="1"/>
  <c r="BO27" i="16"/>
  <c r="BP27" i="16"/>
  <c r="BQ27" i="16" s="1"/>
  <c r="BO26" i="16"/>
  <c r="BP26" i="16"/>
  <c r="BQ26" i="16" s="1"/>
  <c r="BQ33" i="16" s="1"/>
  <c r="BB33" i="16"/>
  <c r="BF33" i="16"/>
  <c r="AX33" i="16"/>
  <c r="AG31" i="15" l="1"/>
  <c r="AH31" i="15" s="1"/>
  <c r="AI31" i="15" s="1"/>
  <c r="AG29" i="15"/>
  <c r="AH29" i="15" s="1"/>
  <c r="AI29" i="15" s="1"/>
  <c r="AG28" i="15"/>
  <c r="AH28" i="15" s="1"/>
  <c r="AI28" i="15" s="1"/>
  <c r="AG24" i="15"/>
  <c r="AH24" i="15" s="1"/>
  <c r="AI24" i="15" s="1"/>
  <c r="AG21" i="15"/>
  <c r="AH21" i="15" s="1"/>
  <c r="AI21" i="15" s="1"/>
  <c r="AG20" i="15"/>
  <c r="AH20" i="15" s="1"/>
  <c r="AI20" i="15" s="1"/>
  <c r="AG19" i="15"/>
  <c r="AH19" i="15" s="1"/>
  <c r="AI19" i="15" s="1"/>
  <c r="AG18" i="15"/>
  <c r="AH18" i="15" s="1"/>
  <c r="AI18" i="15" s="1"/>
  <c r="AG17" i="15"/>
  <c r="AH17" i="15" s="1"/>
  <c r="AI17" i="15" s="1"/>
  <c r="AC29" i="15"/>
  <c r="AD29" i="15" s="1"/>
  <c r="AE29" i="15" s="1"/>
  <c r="AC28" i="15"/>
  <c r="AD28" i="15" s="1"/>
  <c r="AE28" i="15" s="1"/>
  <c r="AC27" i="15"/>
  <c r="AD27" i="15" s="1"/>
  <c r="AE27" i="15" s="1"/>
  <c r="AC26" i="15"/>
  <c r="AD26" i="15" s="1"/>
  <c r="AE26" i="15" s="1"/>
  <c r="AC25" i="15"/>
  <c r="AD25" i="15" s="1"/>
  <c r="AE25" i="15" s="1"/>
  <c r="AC24" i="15"/>
  <c r="AD24" i="15" s="1"/>
  <c r="AE24" i="15" s="1"/>
  <c r="AC22" i="15"/>
  <c r="AD22" i="15" s="1"/>
  <c r="AE22" i="15" s="1"/>
  <c r="AC21" i="15"/>
  <c r="AD21" i="15" s="1"/>
  <c r="AE21" i="15" s="1"/>
  <c r="AC20" i="15"/>
  <c r="AD20" i="15" s="1"/>
  <c r="AE20" i="15" s="1"/>
  <c r="AC19" i="15"/>
  <c r="AD19" i="15" s="1"/>
  <c r="AE19" i="15" s="1"/>
  <c r="AC18" i="15"/>
  <c r="AD18" i="15" s="1"/>
  <c r="AE18" i="15" s="1"/>
  <c r="AC17" i="15"/>
  <c r="AD17" i="15" s="1"/>
  <c r="AE17" i="15" s="1"/>
  <c r="Y31" i="15"/>
  <c r="Z31" i="15" s="1"/>
  <c r="AA31" i="15" s="1"/>
  <c r="Y29" i="15"/>
  <c r="Z29" i="15" s="1"/>
  <c r="AA29" i="15" s="1"/>
  <c r="Y28" i="15"/>
  <c r="Z28" i="15" s="1"/>
  <c r="AA28" i="15" s="1"/>
  <c r="Y27" i="15"/>
  <c r="Z27" i="15" s="1"/>
  <c r="AA27" i="15" s="1"/>
  <c r="Y26" i="15"/>
  <c r="Z26" i="15" s="1"/>
  <c r="AA26" i="15" s="1"/>
  <c r="Y25" i="15"/>
  <c r="Z25" i="15" s="1"/>
  <c r="AA25" i="15" s="1"/>
  <c r="Y24" i="15"/>
  <c r="Z24" i="15" s="1"/>
  <c r="AA24" i="15" s="1"/>
  <c r="Y18" i="15"/>
  <c r="Z18" i="15" s="1"/>
  <c r="AA18" i="15" s="1"/>
  <c r="Y19" i="15"/>
  <c r="Z19" i="15" s="1"/>
  <c r="AA19" i="15" s="1"/>
  <c r="Y20" i="15"/>
  <c r="Z20" i="15" s="1"/>
  <c r="AA20" i="15" s="1"/>
  <c r="Y21" i="15"/>
  <c r="Z21" i="15" s="1"/>
  <c r="AA21" i="15" s="1"/>
  <c r="Y22" i="15"/>
  <c r="Z22" i="15" s="1"/>
  <c r="AA22" i="15" s="1"/>
  <c r="Y17" i="15"/>
  <c r="Z17" i="15" s="1"/>
  <c r="AA17" i="15" s="1"/>
  <c r="U31" i="15"/>
  <c r="V31" i="15" s="1"/>
  <c r="W31" i="15" s="1"/>
  <c r="U29" i="15"/>
  <c r="V29" i="15" s="1"/>
  <c r="W29" i="15" s="1"/>
  <c r="U28" i="15"/>
  <c r="V28" i="15" s="1"/>
  <c r="W28" i="15" s="1"/>
  <c r="U27" i="15"/>
  <c r="V27" i="15" s="1"/>
  <c r="W27" i="15" s="1"/>
  <c r="U26" i="15"/>
  <c r="V26" i="15" s="1"/>
  <c r="W26" i="15" s="1"/>
  <c r="U25" i="15"/>
  <c r="V25" i="15" s="1"/>
  <c r="W25" i="15" s="1"/>
  <c r="U24" i="15"/>
  <c r="V24" i="15" s="1"/>
  <c r="W24" i="15" s="1"/>
  <c r="U18" i="15"/>
  <c r="V18" i="15" s="1"/>
  <c r="W18" i="15" s="1"/>
  <c r="U19" i="15"/>
  <c r="V19" i="15" s="1"/>
  <c r="W19" i="15" s="1"/>
  <c r="U20" i="15"/>
  <c r="V20" i="15" s="1"/>
  <c r="W20" i="15" s="1"/>
  <c r="U21" i="15"/>
  <c r="V21" i="15" s="1"/>
  <c r="W21" i="15" s="1"/>
  <c r="U22" i="15"/>
  <c r="V22" i="15" s="1"/>
  <c r="W22" i="15" s="1"/>
  <c r="U17" i="15"/>
  <c r="V17" i="15" s="1"/>
  <c r="W17" i="15" s="1"/>
  <c r="M31" i="15"/>
  <c r="N31" i="15" s="1"/>
  <c r="O31" i="15" s="1"/>
  <c r="M29" i="15"/>
  <c r="N29" i="15" s="1"/>
  <c r="O29" i="15" s="1"/>
  <c r="M28" i="15"/>
  <c r="M27" i="15"/>
  <c r="N27" i="15" s="1"/>
  <c r="O27" i="15" s="1"/>
  <c r="M26" i="15"/>
  <c r="N26" i="15" s="1"/>
  <c r="O26" i="15" s="1"/>
  <c r="M25" i="15"/>
  <c r="N25" i="15" s="1"/>
  <c r="M24" i="15"/>
  <c r="N24" i="15" s="1"/>
  <c r="O24" i="15" s="1"/>
  <c r="M18" i="15"/>
  <c r="N18" i="15" s="1"/>
  <c r="M19" i="15"/>
  <c r="N19" i="15" s="1"/>
  <c r="O19" i="15" s="1"/>
  <c r="M20" i="15"/>
  <c r="N20" i="15" s="1"/>
  <c r="M21" i="15"/>
  <c r="N21" i="15" s="1"/>
  <c r="M22" i="15"/>
  <c r="N22" i="15" s="1"/>
  <c r="M17" i="15"/>
  <c r="N17" i="15" s="1"/>
  <c r="O17" i="15" s="1"/>
  <c r="Q31" i="15"/>
  <c r="R31" i="15" s="1"/>
  <c r="S31" i="15" s="1"/>
  <c r="Q29" i="15"/>
  <c r="R29" i="15" s="1"/>
  <c r="S29" i="15" s="1"/>
  <c r="Q28" i="15"/>
  <c r="R28" i="15" s="1"/>
  <c r="S28" i="15" s="1"/>
  <c r="Q27" i="15"/>
  <c r="R27" i="15" s="1"/>
  <c r="S27" i="15" s="1"/>
  <c r="Q26" i="15"/>
  <c r="R26" i="15" s="1"/>
  <c r="S26" i="15" s="1"/>
  <c r="Q25" i="15"/>
  <c r="R25" i="15" s="1"/>
  <c r="S25" i="15" s="1"/>
  <c r="Q24" i="15"/>
  <c r="R24" i="15" s="1"/>
  <c r="S24" i="15" s="1"/>
  <c r="Q18" i="15"/>
  <c r="R18" i="15" s="1"/>
  <c r="S18" i="15" s="1"/>
  <c r="Q19" i="15"/>
  <c r="R19" i="15" s="1"/>
  <c r="S19" i="15" s="1"/>
  <c r="Q20" i="15"/>
  <c r="R20" i="15" s="1"/>
  <c r="S20" i="15" s="1"/>
  <c r="Q21" i="15"/>
  <c r="R21" i="15" s="1"/>
  <c r="S21" i="15" s="1"/>
  <c r="Q22" i="15"/>
  <c r="R22" i="15" s="1"/>
  <c r="S22" i="15" s="1"/>
  <c r="Q17" i="15"/>
  <c r="R17" i="15" s="1"/>
  <c r="S17" i="15" s="1"/>
  <c r="AL32" i="15"/>
  <c r="AJ32" i="15" s="1"/>
  <c r="AK32" i="15" s="1"/>
  <c r="AH32" i="15"/>
  <c r="AI32" i="15" s="1"/>
  <c r="AD32" i="15"/>
  <c r="AB32" i="15" s="1"/>
  <c r="AC32" i="15" s="1"/>
  <c r="Z32" i="15"/>
  <c r="X32" i="15" s="1"/>
  <c r="BC31" i="15" a="1"/>
  <c r="BC31" i="15" s="1"/>
  <c r="AY31" i="15"/>
  <c r="BA31" i="15" s="1"/>
  <c r="BB31" i="15" s="1"/>
  <c r="AU31" i="15"/>
  <c r="BC29" i="15" a="1"/>
  <c r="BC29" i="15" s="1"/>
  <c r="AY29" i="15"/>
  <c r="BN29" i="15" s="1"/>
  <c r="AU29" i="15"/>
  <c r="BC28" i="15" a="1"/>
  <c r="BC28" i="15" s="1"/>
  <c r="AY28" i="15"/>
  <c r="BN28" i="15" s="1"/>
  <c r="AU28" i="15"/>
  <c r="AF27" i="15"/>
  <c r="BG27" i="15" s="1" a="1"/>
  <c r="BG27" i="15" s="1"/>
  <c r="AF26" i="15"/>
  <c r="BG26" i="15" s="1" a="1"/>
  <c r="BG26" i="15" s="1"/>
  <c r="AF25" i="15"/>
  <c r="BG25" i="15" s="1" a="1"/>
  <c r="BG25" i="15" s="1"/>
  <c r="BC24" i="15" a="1"/>
  <c r="BC24" i="15" s="1"/>
  <c r="AY24" i="15"/>
  <c r="BA24" i="15" s="1"/>
  <c r="BB24" i="15" s="1"/>
  <c r="AU24" i="15"/>
  <c r="AH22" i="15"/>
  <c r="AF22" i="15" s="1"/>
  <c r="BG22" i="15" s="1" a="1"/>
  <c r="BG22" i="15" s="1"/>
  <c r="BC21" i="15" a="1"/>
  <c r="BC21" i="15" s="1"/>
  <c r="AY21" i="15"/>
  <c r="BN21" i="15" s="1"/>
  <c r="AU21" i="15"/>
  <c r="BC20" i="15" a="1"/>
  <c r="BC20" i="15" s="1"/>
  <c r="AY20" i="15"/>
  <c r="AZ20" i="15" s="1"/>
  <c r="AU20" i="15"/>
  <c r="BC19" i="15" a="1"/>
  <c r="BC19" i="15" s="1"/>
  <c r="AY19" i="15"/>
  <c r="BN19" i="15" s="1"/>
  <c r="AU19" i="15"/>
  <c r="BC18" i="15" a="1"/>
  <c r="BC18" i="15" s="1"/>
  <c r="AY18" i="15"/>
  <c r="BA18" i="15" s="1"/>
  <c r="BB18" i="15" s="1"/>
  <c r="AU18" i="15"/>
  <c r="BC17" i="15" a="1"/>
  <c r="BC17" i="15" s="1"/>
  <c r="AY17" i="15"/>
  <c r="BA17" i="15" s="1"/>
  <c r="BB17" i="15" s="1"/>
  <c r="AU17" i="15"/>
  <c r="AT1" i="15" a="1"/>
  <c r="AT1" i="15" s="1"/>
  <c r="BH26" i="15" l="1"/>
  <c r="BI26" i="15"/>
  <c r="BJ26" i="15" s="1"/>
  <c r="BI27" i="15"/>
  <c r="BJ27" i="15" s="1"/>
  <c r="BH27" i="15"/>
  <c r="BH22" i="15"/>
  <c r="BI22" i="15"/>
  <c r="BJ22" i="15" s="1"/>
  <c r="BI25" i="15"/>
  <c r="BJ25" i="15" s="1"/>
  <c r="BH25" i="15"/>
  <c r="AG22" i="15"/>
  <c r="AP22" i="15"/>
  <c r="AO22" i="15"/>
  <c r="AW24" i="15"/>
  <c r="AX24" i="15" s="1"/>
  <c r="AQ24" i="15"/>
  <c r="AY27" i="15"/>
  <c r="BN27" i="15" s="1"/>
  <c r="AO27" i="15"/>
  <c r="AP27" i="15"/>
  <c r="AW17" i="15"/>
  <c r="AX17" i="15" s="1"/>
  <c r="AQ17" i="15"/>
  <c r="AV18" i="15"/>
  <c r="AQ18" i="15"/>
  <c r="AW28" i="15"/>
  <c r="AX28" i="15" s="1"/>
  <c r="AQ28" i="15"/>
  <c r="AW29" i="15"/>
  <c r="AX29" i="15" s="1"/>
  <c r="AQ29" i="15"/>
  <c r="AV21" i="15"/>
  <c r="AQ21" i="15"/>
  <c r="Y32" i="15"/>
  <c r="AU25" i="15"/>
  <c r="AW25" i="15" s="1"/>
  <c r="AX25" i="15" s="1"/>
  <c r="AP25" i="15"/>
  <c r="AO25" i="15"/>
  <c r="AW19" i="15"/>
  <c r="AX19" i="15" s="1"/>
  <c r="AQ19" i="15"/>
  <c r="AY26" i="15"/>
  <c r="BN26" i="15" s="1"/>
  <c r="AP26" i="15"/>
  <c r="AQ26" i="15" s="1"/>
  <c r="AO26" i="15"/>
  <c r="AW20" i="15"/>
  <c r="AX20" i="15" s="1"/>
  <c r="AQ20" i="15"/>
  <c r="AV31" i="15"/>
  <c r="AQ31" i="15"/>
  <c r="AY25" i="15"/>
  <c r="BA25" i="15" s="1"/>
  <c r="BB25" i="15" s="1"/>
  <c r="BC25" i="15" a="1"/>
  <c r="BC25" i="15" s="1"/>
  <c r="BE25" i="15" s="1"/>
  <c r="BF25" i="15" s="1"/>
  <c r="BN17" i="15"/>
  <c r="BO17" i="15" s="1"/>
  <c r="O25" i="15"/>
  <c r="AG25" i="15"/>
  <c r="AH25" i="15" s="1"/>
  <c r="AI25" i="15" s="1"/>
  <c r="N28" i="15"/>
  <c r="O28" i="15" s="1"/>
  <c r="AG26" i="15"/>
  <c r="AH26" i="15" s="1"/>
  <c r="AI26" i="15" s="1"/>
  <c r="AG27" i="15"/>
  <c r="AH27" i="15" s="1"/>
  <c r="AI27" i="15" s="1"/>
  <c r="O22" i="15"/>
  <c r="O21" i="15"/>
  <c r="O20" i="15"/>
  <c r="O18" i="15"/>
  <c r="BA26" i="15"/>
  <c r="BB26" i="15" s="1"/>
  <c r="AZ26" i="15"/>
  <c r="AZ24" i="15"/>
  <c r="AV19" i="15"/>
  <c r="AV17" i="15"/>
  <c r="BN18" i="15"/>
  <c r="AW21" i="15"/>
  <c r="AX21" i="15" s="1"/>
  <c r="BC26" i="15" a="1"/>
  <c r="BC26" i="15" s="1"/>
  <c r="BD26" i="15" s="1"/>
  <c r="AZ21" i="15"/>
  <c r="BA21" i="15"/>
  <c r="BB21" i="15" s="1"/>
  <c r="AV24" i="15"/>
  <c r="AU26" i="15"/>
  <c r="AW18" i="15"/>
  <c r="AX18" i="15" s="1"/>
  <c r="BA29" i="15"/>
  <c r="BB29" i="15" s="1"/>
  <c r="BC27" i="15" a="1"/>
  <c r="BC27" i="15" s="1"/>
  <c r="BE27" i="15" s="1"/>
  <c r="BF27" i="15" s="1"/>
  <c r="AU27" i="15"/>
  <c r="S33" i="15"/>
  <c r="BN31" i="15"/>
  <c r="AV28" i="15"/>
  <c r="BP21" i="15"/>
  <c r="BQ21" i="15" s="1"/>
  <c r="BO21" i="15"/>
  <c r="AA33" i="15"/>
  <c r="BP19" i="15"/>
  <c r="BQ19" i="15" s="1"/>
  <c r="BO19" i="15"/>
  <c r="BD21" i="15"/>
  <c r="BE21" i="15"/>
  <c r="BF21" i="15" s="1"/>
  <c r="W33" i="15"/>
  <c r="BE18" i="15"/>
  <c r="BF18" i="15" s="1"/>
  <c r="BD18" i="15"/>
  <c r="BE17" i="15"/>
  <c r="BF17" i="15" s="1"/>
  <c r="BD17" i="15"/>
  <c r="BD20" i="15"/>
  <c r="BE20" i="15"/>
  <c r="BF20" i="15" s="1"/>
  <c r="BE31" i="15"/>
  <c r="BF31" i="15" s="1"/>
  <c r="BD31" i="15"/>
  <c r="BE19" i="15"/>
  <c r="BF19" i="15" s="1"/>
  <c r="BD19" i="15"/>
  <c r="AE33" i="15"/>
  <c r="BC22" i="15" a="1"/>
  <c r="BC22" i="15" s="1"/>
  <c r="AY22" i="15"/>
  <c r="AU22" i="15"/>
  <c r="BO28" i="15"/>
  <c r="BP28" i="15"/>
  <c r="BQ28" i="15" s="1"/>
  <c r="BO29" i="15"/>
  <c r="BP29" i="15"/>
  <c r="BQ29" i="15" s="1"/>
  <c r="BE28" i="15"/>
  <c r="BF28" i="15" s="1"/>
  <c r="BD28" i="15"/>
  <c r="BD29" i="15"/>
  <c r="BE29" i="15"/>
  <c r="BF29" i="15" s="1"/>
  <c r="BE24" i="15"/>
  <c r="BF24" i="15" s="1"/>
  <c r="BD24" i="15"/>
  <c r="AZ19" i="15"/>
  <c r="BA20" i="15"/>
  <c r="BB20" i="15" s="1"/>
  <c r="AZ18" i="15"/>
  <c r="BA19" i="15"/>
  <c r="BB19" i="15" s="1"/>
  <c r="AZ17" i="15"/>
  <c r="AV29" i="15"/>
  <c r="AZ31" i="15"/>
  <c r="AF32" i="15"/>
  <c r="AG32" i="15" s="1"/>
  <c r="BN24" i="15"/>
  <c r="AW31" i="15"/>
  <c r="AX31" i="15" s="1"/>
  <c r="BN20" i="15"/>
  <c r="AZ29" i="15"/>
  <c r="AV20" i="15"/>
  <c r="AZ28" i="15"/>
  <c r="BA28" i="15"/>
  <c r="BB28" i="15" s="1"/>
  <c r="AZ27" i="15" l="1"/>
  <c r="BA27" i="15"/>
  <c r="BB27" i="15" s="1"/>
  <c r="AQ25" i="15"/>
  <c r="BG32" i="15" a="1"/>
  <c r="BG32" i="15" s="1"/>
  <c r="AV25" i="15"/>
  <c r="BC32" i="15" a="1"/>
  <c r="BC32" i="15" s="1"/>
  <c r="BE32" i="15" s="1"/>
  <c r="BF32" i="15" s="1"/>
  <c r="W35" i="15" s="1"/>
  <c r="BE26" i="15"/>
  <c r="BF26" i="15" s="1"/>
  <c r="AO32" i="15"/>
  <c r="AQ22" i="15"/>
  <c r="AQ27" i="15"/>
  <c r="AP32" i="15"/>
  <c r="BN25" i="15"/>
  <c r="BP25" i="15" s="1"/>
  <c r="BQ25" i="15" s="1"/>
  <c r="BD25" i="15"/>
  <c r="AZ25" i="15"/>
  <c r="O33" i="15"/>
  <c r="BP17" i="15"/>
  <c r="BQ17" i="15" s="1"/>
  <c r="AW26" i="15"/>
  <c r="AX26" i="15" s="1"/>
  <c r="AV26" i="15"/>
  <c r="BP18" i="15"/>
  <c r="BQ18" i="15" s="1"/>
  <c r="BO18" i="15"/>
  <c r="AU32" i="15"/>
  <c r="AV32" i="15" s="1"/>
  <c r="AY32" i="15"/>
  <c r="BA32" i="15" s="1"/>
  <c r="BB32" i="15" s="1"/>
  <c r="AI33" i="15"/>
  <c r="BD27" i="15"/>
  <c r="BO31" i="15"/>
  <c r="BP31" i="15"/>
  <c r="BQ31" i="15" s="1"/>
  <c r="AW27" i="15"/>
  <c r="AX27" i="15" s="1"/>
  <c r="AV27" i="15"/>
  <c r="BP27" i="15"/>
  <c r="BQ27" i="15" s="1"/>
  <c r="BO27" i="15"/>
  <c r="BP26" i="15"/>
  <c r="BQ26" i="15" s="1"/>
  <c r="BO26" i="15"/>
  <c r="AZ22" i="15"/>
  <c r="BA22" i="15"/>
  <c r="BB22" i="15" s="1"/>
  <c r="BN22" i="15"/>
  <c r="BP20" i="15"/>
  <c r="BQ20" i="15" s="1"/>
  <c r="BO20" i="15"/>
  <c r="BP24" i="15"/>
  <c r="BQ24" i="15" s="1"/>
  <c r="BO24" i="15"/>
  <c r="BD22" i="15"/>
  <c r="BE22" i="15"/>
  <c r="BF22" i="15" s="1"/>
  <c r="AW22" i="15"/>
  <c r="AX22" i="15" s="1"/>
  <c r="AV22" i="15"/>
  <c r="BB33" i="15" l="1"/>
  <c r="BH32" i="15"/>
  <c r="BI32" i="15"/>
  <c r="BJ32" i="15" s="1"/>
  <c r="BJ33" i="15" s="1"/>
  <c r="S35" i="15"/>
  <c r="BD32" i="15"/>
  <c r="BO25" i="15"/>
  <c r="AW32" i="15"/>
  <c r="AX32" i="15" s="1"/>
  <c r="AX33" i="15" s="1"/>
  <c r="AQ32" i="15"/>
  <c r="BF33" i="15"/>
  <c r="BN32" i="15"/>
  <c r="BP32" i="15" s="1"/>
  <c r="BQ32" i="15" s="1"/>
  <c r="AZ32" i="15"/>
  <c r="BP22" i="15"/>
  <c r="BQ22" i="15" s="1"/>
  <c r="BO22" i="15"/>
  <c r="O35" i="15" l="1"/>
  <c r="BQ33" i="15"/>
  <c r="BO32" i="15"/>
  <c r="BB18" i="3"/>
  <c r="BB19" i="3"/>
  <c r="BB20" i="3"/>
  <c r="BB21" i="3"/>
  <c r="BB22" i="3"/>
  <c r="BB24" i="3"/>
  <c r="BB25" i="3"/>
  <c r="BB26" i="3"/>
  <c r="BB27" i="3"/>
  <c r="BB28" i="3"/>
  <c r="BB29" i="3"/>
  <c r="BB30" i="3"/>
  <c r="BB32" i="3"/>
  <c r="BB33" i="3"/>
  <c r="BB17" i="3"/>
  <c r="AS32" i="3"/>
  <c r="AU32" i="3" s="1"/>
  <c r="AV32" i="3" s="1"/>
  <c r="AS30" i="3"/>
  <c r="AS29" i="3"/>
  <c r="AS28" i="3"/>
  <c r="AS27" i="3"/>
  <c r="AS26" i="3"/>
  <c r="AS25" i="3"/>
  <c r="AS22" i="3"/>
  <c r="AS21" i="3"/>
  <c r="AS20" i="3"/>
  <c r="AS19" i="3"/>
  <c r="AS18" i="3"/>
  <c r="AS17" i="3"/>
  <c r="AS24" i="3"/>
  <c r="AS33" i="3"/>
  <c r="AW28" i="3" a="1"/>
  <c r="AW28" i="3" s="1"/>
  <c r="AY28" i="3" s="1"/>
  <c r="AZ28" i="3" s="1"/>
  <c r="AE28" i="3"/>
  <c r="AO18" i="3"/>
  <c r="AQ18" i="3" s="1"/>
  <c r="AR18" i="3" s="1"/>
  <c r="AR34" i="3" s="1"/>
  <c r="AR17" i="3"/>
  <c r="AN1" i="3" a="1"/>
  <c r="AN1" i="3" s="1"/>
  <c r="AW32" i="3" a="1"/>
  <c r="AW32" i="3" s="1"/>
  <c r="AY32" i="3" s="1"/>
  <c r="AZ32" i="3" s="1"/>
  <c r="AW30" i="3" a="1"/>
  <c r="AW30" i="3" s="1"/>
  <c r="AX30" i="3" s="1"/>
  <c r="AW24" i="3" a="1"/>
  <c r="AW24" i="3" s="1"/>
  <c r="AX24" i="3" s="1"/>
  <c r="AW18" i="3" a="1"/>
  <c r="AW18" i="3" s="1"/>
  <c r="AY18" i="3" s="1"/>
  <c r="AZ18" i="3" s="1"/>
  <c r="AW19" i="3" a="1"/>
  <c r="AW19" i="3" s="1"/>
  <c r="AY19" i="3" s="1"/>
  <c r="AZ19" i="3" s="1"/>
  <c r="AW20" i="3" a="1"/>
  <c r="AW20" i="3" s="1"/>
  <c r="AX20" i="3" s="1"/>
  <c r="AW21" i="3" a="1"/>
  <c r="AW21" i="3" s="1"/>
  <c r="AX21" i="3" s="1"/>
  <c r="AW17" i="3" a="1"/>
  <c r="AW17" i="3" s="1"/>
  <c r="AX17" i="3" s="1"/>
  <c r="AO32" i="3"/>
  <c r="AQ32" i="3" s="1"/>
  <c r="AR32" i="3" s="1"/>
  <c r="AO30" i="3"/>
  <c r="AQ30" i="3" s="1"/>
  <c r="AR30" i="3" s="1"/>
  <c r="AO28" i="3"/>
  <c r="AP28" i="3" s="1"/>
  <c r="AO24" i="3"/>
  <c r="AP24" i="3" s="1"/>
  <c r="AO19" i="3"/>
  <c r="AP19" i="3" s="1"/>
  <c r="AO20" i="3"/>
  <c r="AP20" i="3" s="1"/>
  <c r="AO21" i="3"/>
  <c r="AQ21" i="3" s="1"/>
  <c r="AR21" i="3" s="1"/>
  <c r="AO17" i="3"/>
  <c r="AP17" i="3" s="1"/>
  <c r="AL33" i="3"/>
  <c r="AJ33" i="3" s="1"/>
  <c r="AK33" i="3" s="1"/>
  <c r="J40" i="10"/>
  <c r="K40" i="10" s="1"/>
  <c r="L40" i="10" s="1"/>
  <c r="J39" i="10"/>
  <c r="K39" i="10" s="1"/>
  <c r="L39" i="10" s="1"/>
  <c r="J38" i="10"/>
  <c r="K38" i="10" s="1"/>
  <c r="L38" i="10" s="1"/>
  <c r="J37" i="10"/>
  <c r="K37" i="10" s="1"/>
  <c r="L37" i="10" s="1"/>
  <c r="J36" i="10"/>
  <c r="K36" i="10" s="1"/>
  <c r="L36" i="10" s="1"/>
  <c r="J35" i="10"/>
  <c r="K35" i="10" s="1"/>
  <c r="L35" i="10" s="1"/>
  <c r="J34" i="10"/>
  <c r="K34" i="10" s="1"/>
  <c r="L34" i="10" s="1"/>
  <c r="J33" i="10"/>
  <c r="K33" i="10" s="1"/>
  <c r="L33" i="10" s="1"/>
  <c r="J31" i="10"/>
  <c r="K31" i="10" s="1"/>
  <c r="L31" i="10" s="1"/>
  <c r="J29" i="10"/>
  <c r="K29" i="10" s="1"/>
  <c r="L29" i="10" s="1"/>
  <c r="J27" i="10"/>
  <c r="K27" i="10" s="1"/>
  <c r="L27" i="10" s="1"/>
  <c r="J26" i="10"/>
  <c r="K26" i="10" s="1"/>
  <c r="L26" i="10" s="1"/>
  <c r="J25" i="10"/>
  <c r="K25" i="10" s="1"/>
  <c r="L25" i="10" s="1"/>
  <c r="J24" i="10"/>
  <c r="K24" i="10" s="1"/>
  <c r="L24" i="10" s="1"/>
  <c r="J23" i="10"/>
  <c r="K23" i="10" s="1"/>
  <c r="L23" i="10" s="1"/>
  <c r="J21" i="10"/>
  <c r="K21" i="10" s="1"/>
  <c r="L21" i="10" s="1"/>
  <c r="J20" i="10"/>
  <c r="K20" i="10" s="1"/>
  <c r="L20" i="10" s="1"/>
  <c r="J19" i="10"/>
  <c r="K19" i="10" s="1"/>
  <c r="L19" i="10" s="1"/>
  <c r="J18" i="10"/>
  <c r="K18" i="10" s="1"/>
  <c r="L18" i="10" s="1"/>
  <c r="J17" i="10"/>
  <c r="K17" i="10" s="1"/>
  <c r="L17" i="10" s="1"/>
  <c r="J16" i="10"/>
  <c r="K16" i="10" s="1"/>
  <c r="L16" i="10" s="1"/>
  <c r="BD24" i="3" l="1"/>
  <c r="BE24" i="3" s="1"/>
  <c r="BC21" i="3"/>
  <c r="BC32" i="3"/>
  <c r="BC30" i="3"/>
  <c r="BD30" i="3"/>
  <c r="BE30" i="3" s="1"/>
  <c r="BC24" i="3"/>
  <c r="BD21" i="3"/>
  <c r="BE21" i="3" s="1"/>
  <c r="BD32" i="3"/>
  <c r="BE32" i="3" s="1"/>
  <c r="AX19" i="3"/>
  <c r="AX18" i="3"/>
  <c r="AY24" i="3"/>
  <c r="AZ24" i="3" s="1"/>
  <c r="AY17" i="3"/>
  <c r="AZ17" i="3" s="1"/>
  <c r="AX28" i="3"/>
  <c r="AX32" i="3"/>
  <c r="AY21" i="3"/>
  <c r="AZ21" i="3" s="1"/>
  <c r="AY20" i="3"/>
  <c r="AZ20" i="3" s="1"/>
  <c r="AY30" i="3"/>
  <c r="AZ30" i="3" s="1"/>
  <c r="AT32" i="3"/>
  <c r="AP32" i="3"/>
  <c r="AQ20" i="3"/>
  <c r="AR20" i="3" s="1"/>
  <c r="AQ19" i="3"/>
  <c r="AR19" i="3" s="1"/>
  <c r="AQ24" i="3"/>
  <c r="AR24" i="3" s="1"/>
  <c r="AP21" i="3"/>
  <c r="AQ28" i="3"/>
  <c r="AR28" i="3" s="1"/>
  <c r="AP18" i="3"/>
  <c r="AP30" i="3"/>
  <c r="AQ17" i="3"/>
  <c r="L41" i="10"/>
  <c r="BC18" i="3" l="1"/>
  <c r="BD18" i="3"/>
  <c r="BE18" i="3" s="1"/>
  <c r="BD17" i="3"/>
  <c r="BE17" i="3" s="1"/>
  <c r="BC17" i="3"/>
  <c r="BD28" i="3"/>
  <c r="BE28" i="3" s="1"/>
  <c r="BC28" i="3"/>
  <c r="BC20" i="3"/>
  <c r="BD20" i="3"/>
  <c r="BE20" i="3" s="1"/>
  <c r="J40" i="5"/>
  <c r="K40" i="5" s="1"/>
  <c r="L40" i="5" s="1"/>
  <c r="J39" i="5"/>
  <c r="K39" i="5" s="1"/>
  <c r="L39" i="5" s="1"/>
  <c r="J38" i="5"/>
  <c r="K38" i="5" s="1"/>
  <c r="L38" i="5" s="1"/>
  <c r="J37" i="5"/>
  <c r="K37" i="5" s="1"/>
  <c r="L37" i="5" s="1"/>
  <c r="J36" i="5"/>
  <c r="K36" i="5" s="1"/>
  <c r="L36" i="5" s="1"/>
  <c r="J35" i="5"/>
  <c r="K35" i="5" s="1"/>
  <c r="L35" i="5" s="1"/>
  <c r="J34" i="5"/>
  <c r="K34" i="5" s="1"/>
  <c r="L34" i="5" s="1"/>
  <c r="J33" i="5"/>
  <c r="K33" i="5" s="1"/>
  <c r="L33" i="5" s="1"/>
  <c r="J31" i="5"/>
  <c r="K31" i="5" s="1"/>
  <c r="L31" i="5" s="1"/>
  <c r="J29" i="5"/>
  <c r="K29" i="5" s="1"/>
  <c r="L29" i="5" s="1"/>
  <c r="J28" i="5"/>
  <c r="K28" i="5" s="1"/>
  <c r="L28" i="5" s="1"/>
  <c r="J27" i="5"/>
  <c r="K27" i="5" s="1"/>
  <c r="L27" i="5" s="1"/>
  <c r="J26" i="5"/>
  <c r="K26" i="5" s="1"/>
  <c r="L26" i="5" s="1"/>
  <c r="J25" i="5"/>
  <c r="K25" i="5" s="1"/>
  <c r="L25" i="5" s="1"/>
  <c r="J24" i="5"/>
  <c r="K24" i="5" s="1"/>
  <c r="L24" i="5" s="1"/>
  <c r="J23" i="5"/>
  <c r="K23" i="5" s="1"/>
  <c r="L23" i="5" s="1"/>
  <c r="J21" i="5"/>
  <c r="K21" i="5" s="1"/>
  <c r="L21" i="5" s="1"/>
  <c r="J20" i="5"/>
  <c r="K20" i="5" s="1"/>
  <c r="L20" i="5" s="1"/>
  <c r="J19" i="5"/>
  <c r="K19" i="5" s="1"/>
  <c r="L19" i="5" s="1"/>
  <c r="J18" i="5"/>
  <c r="K18" i="5" s="1"/>
  <c r="L18" i="5" s="1"/>
  <c r="J17" i="5"/>
  <c r="K17" i="5" s="1"/>
  <c r="L17" i="5" s="1"/>
  <c r="J16" i="5"/>
  <c r="K16" i="5" s="1"/>
  <c r="L16" i="5" s="1"/>
  <c r="L41" i="5" s="1"/>
  <c r="AH29" i="3" l="1"/>
  <c r="AH33" i="3"/>
  <c r="AI33" i="3" s="1"/>
  <c r="AD33" i="3"/>
  <c r="AB33" i="3" s="1"/>
  <c r="AC33" i="3" s="1"/>
  <c r="Z33" i="3"/>
  <c r="X33" i="3" s="1"/>
  <c r="Y33" i="3" l="1"/>
  <c r="AF33" i="3"/>
  <c r="AG33" i="3" s="1"/>
  <c r="AW33" i="3" l="1" a="1"/>
  <c r="AW33" i="3" s="1"/>
  <c r="AO33" i="3"/>
  <c r="AG32" i="3"/>
  <c r="AH32" i="3" s="1"/>
  <c r="Y32" i="3"/>
  <c r="Z32" i="3" s="1"/>
  <c r="U32" i="3"/>
  <c r="V32" i="3" s="1"/>
  <c r="W32" i="3" s="1"/>
  <c r="Q32" i="3"/>
  <c r="R32" i="3" s="1"/>
  <c r="S32" i="3" s="1"/>
  <c r="M32" i="3"/>
  <c r="N32" i="3" s="1"/>
  <c r="AG30" i="3"/>
  <c r="AH30" i="3" s="1"/>
  <c r="AC30" i="3"/>
  <c r="AD30" i="3" s="1"/>
  <c r="AE30" i="3" s="1"/>
  <c r="Y30" i="3"/>
  <c r="Z30" i="3" s="1"/>
  <c r="AA30" i="3" s="1"/>
  <c r="U30" i="3"/>
  <c r="V30" i="3" s="1"/>
  <c r="W30" i="3" s="1"/>
  <c r="Q30" i="3"/>
  <c r="R30" i="3" s="1"/>
  <c r="S30" i="3" s="1"/>
  <c r="M30" i="3"/>
  <c r="AG29" i="3"/>
  <c r="AF29" i="3" s="1"/>
  <c r="Y29" i="3"/>
  <c r="Z29" i="3" s="1"/>
  <c r="U29" i="3"/>
  <c r="V29" i="3" s="1"/>
  <c r="W29" i="3" s="1"/>
  <c r="Q29" i="3"/>
  <c r="R29" i="3" s="1"/>
  <c r="S29" i="3" s="1"/>
  <c r="M29" i="3"/>
  <c r="N29" i="3" s="1"/>
  <c r="AG28" i="3"/>
  <c r="AH28" i="3" s="1"/>
  <c r="AC28" i="3"/>
  <c r="Y28" i="3"/>
  <c r="Z28" i="3" s="1"/>
  <c r="AA28" i="3" s="1"/>
  <c r="U28" i="3"/>
  <c r="V28" i="3" s="1"/>
  <c r="W28" i="3" s="1"/>
  <c r="Q28" i="3"/>
  <c r="R28" i="3" s="1"/>
  <c r="S28" i="3" s="1"/>
  <c r="M28" i="3"/>
  <c r="AF27" i="3"/>
  <c r="AW27" i="3" s="1" a="1"/>
  <c r="AW27" i="3" s="1"/>
  <c r="AC27" i="3"/>
  <c r="Y27" i="3"/>
  <c r="Z27" i="3" s="1"/>
  <c r="AA27" i="3" s="1"/>
  <c r="U27" i="3"/>
  <c r="V27" i="3" s="1"/>
  <c r="W27" i="3" s="1"/>
  <c r="Q27" i="3"/>
  <c r="R27" i="3" s="1"/>
  <c r="S27" i="3" s="1"/>
  <c r="M27" i="3"/>
  <c r="AF26" i="3"/>
  <c r="AW26" i="3" s="1" a="1"/>
  <c r="AW26" i="3" s="1"/>
  <c r="AC26" i="3"/>
  <c r="Y26" i="3"/>
  <c r="Z26" i="3" s="1"/>
  <c r="AA26" i="3" s="1"/>
  <c r="U26" i="3"/>
  <c r="V26" i="3" s="1"/>
  <c r="W26" i="3" s="1"/>
  <c r="Q26" i="3"/>
  <c r="R26" i="3" s="1"/>
  <c r="S26" i="3" s="1"/>
  <c r="M26" i="3"/>
  <c r="AF25" i="3"/>
  <c r="AW25" i="3" s="1" a="1"/>
  <c r="AW25" i="3" s="1"/>
  <c r="AC25" i="3"/>
  <c r="Y25" i="3"/>
  <c r="Z25" i="3" s="1"/>
  <c r="AA25" i="3" s="1"/>
  <c r="U25" i="3"/>
  <c r="V25" i="3" s="1"/>
  <c r="W25" i="3" s="1"/>
  <c r="Q25" i="3"/>
  <c r="R25" i="3" s="1"/>
  <c r="S25" i="3" s="1"/>
  <c r="M25" i="3"/>
  <c r="AG24" i="3"/>
  <c r="AH24" i="3" s="1"/>
  <c r="AC24" i="3"/>
  <c r="Y24" i="3"/>
  <c r="Z24" i="3" s="1"/>
  <c r="AA24" i="3" s="1"/>
  <c r="U24" i="3"/>
  <c r="V24" i="3" s="1"/>
  <c r="W24" i="3" s="1"/>
  <c r="Q24" i="3"/>
  <c r="R24" i="3" s="1"/>
  <c r="S24" i="3" s="1"/>
  <c r="M24" i="3"/>
  <c r="AC22" i="3"/>
  <c r="AD22" i="3" s="1"/>
  <c r="AE22" i="3" s="1"/>
  <c r="Y22" i="3"/>
  <c r="Z22" i="3" s="1"/>
  <c r="AA22" i="3" s="1"/>
  <c r="U22" i="3"/>
  <c r="V22" i="3" s="1"/>
  <c r="W22" i="3" s="1"/>
  <c r="Q22" i="3"/>
  <c r="R22" i="3" s="1"/>
  <c r="S22" i="3" s="1"/>
  <c r="M22" i="3"/>
  <c r="AG21" i="3"/>
  <c r="AH21" i="3" s="1"/>
  <c r="AC21" i="3"/>
  <c r="AD21" i="3" s="1"/>
  <c r="AE21" i="3" s="1"/>
  <c r="Y21" i="3"/>
  <c r="Z21" i="3" s="1"/>
  <c r="AA21" i="3" s="1"/>
  <c r="U21" i="3"/>
  <c r="V21" i="3" s="1"/>
  <c r="W21" i="3" s="1"/>
  <c r="Q21" i="3"/>
  <c r="R21" i="3" s="1"/>
  <c r="S21" i="3" s="1"/>
  <c r="M21" i="3"/>
  <c r="AG20" i="3"/>
  <c r="AH20" i="3" s="1"/>
  <c r="AC20" i="3"/>
  <c r="AD20" i="3" s="1"/>
  <c r="AE20" i="3" s="1"/>
  <c r="Y20" i="3"/>
  <c r="Z20" i="3" s="1"/>
  <c r="AA20" i="3" s="1"/>
  <c r="U20" i="3"/>
  <c r="V20" i="3" s="1"/>
  <c r="W20" i="3" s="1"/>
  <c r="Q20" i="3"/>
  <c r="R20" i="3" s="1"/>
  <c r="S20" i="3" s="1"/>
  <c r="M20" i="3"/>
  <c r="AG19" i="3"/>
  <c r="AH19" i="3" s="1"/>
  <c r="AC19" i="3"/>
  <c r="AD19" i="3" s="1"/>
  <c r="AE19" i="3" s="1"/>
  <c r="Y19" i="3"/>
  <c r="Z19" i="3" s="1"/>
  <c r="AA19" i="3" s="1"/>
  <c r="U19" i="3"/>
  <c r="V19" i="3" s="1"/>
  <c r="W19" i="3" s="1"/>
  <c r="Q19" i="3"/>
  <c r="R19" i="3" s="1"/>
  <c r="S19" i="3" s="1"/>
  <c r="M19" i="3"/>
  <c r="AG18" i="3"/>
  <c r="AH18" i="3" s="1"/>
  <c r="AC18" i="3"/>
  <c r="AD18" i="3" s="1"/>
  <c r="AE18" i="3" s="1"/>
  <c r="Y18" i="3"/>
  <c r="Z18" i="3" s="1"/>
  <c r="AA18" i="3" s="1"/>
  <c r="U18" i="3"/>
  <c r="V18" i="3" s="1"/>
  <c r="W18" i="3" s="1"/>
  <c r="Q18" i="3"/>
  <c r="R18" i="3" s="1"/>
  <c r="S18" i="3" s="1"/>
  <c r="M18" i="3"/>
  <c r="AG17" i="3"/>
  <c r="AH17" i="3" s="1"/>
  <c r="AC17" i="3"/>
  <c r="AD17" i="3" s="1"/>
  <c r="AE17" i="3" s="1"/>
  <c r="Y17" i="3"/>
  <c r="Z17" i="3" s="1"/>
  <c r="AA17" i="3" s="1"/>
  <c r="U17" i="3"/>
  <c r="V17" i="3" s="1"/>
  <c r="W17" i="3" s="1"/>
  <c r="Q17" i="3"/>
  <c r="R17" i="3" s="1"/>
  <c r="S17" i="3" s="1"/>
  <c r="M17" i="3"/>
  <c r="BC33" i="3" l="1"/>
  <c r="BD33" i="3"/>
  <c r="BE33" i="3" s="1"/>
  <c r="AD25" i="3"/>
  <c r="AE25" i="3" s="1"/>
  <c r="AD24" i="3"/>
  <c r="AE24" i="3" s="1"/>
  <c r="AD28" i="3"/>
  <c r="AD27" i="3"/>
  <c r="AE27" i="3" s="1"/>
  <c r="AD26" i="3"/>
  <c r="AE26" i="3" s="1"/>
  <c r="AX25" i="3"/>
  <c r="AY25" i="3"/>
  <c r="AZ25" i="3" s="1"/>
  <c r="AX26" i="3"/>
  <c r="AY26" i="3"/>
  <c r="AZ26" i="3" s="1"/>
  <c r="AX27" i="3"/>
  <c r="AY27" i="3"/>
  <c r="AZ27" i="3" s="1"/>
  <c r="AY33" i="3"/>
  <c r="AZ33" i="3" s="1"/>
  <c r="AX33" i="3"/>
  <c r="N24" i="3"/>
  <c r="N17" i="3"/>
  <c r="O17" i="3" s="1"/>
  <c r="N21" i="3"/>
  <c r="N25" i="3"/>
  <c r="N28" i="3"/>
  <c r="O28" i="3" s="1"/>
  <c r="N19" i="3"/>
  <c r="N27" i="3"/>
  <c r="O27" i="3" s="1"/>
  <c r="N18" i="3"/>
  <c r="N22" i="3"/>
  <c r="N30" i="3"/>
  <c r="N26" i="3"/>
  <c r="O26" i="3" s="1"/>
  <c r="N20" i="3"/>
  <c r="O20" i="3" s="1"/>
  <c r="AT33" i="3"/>
  <c r="AU33" i="3"/>
  <c r="AV33" i="3" s="1"/>
  <c r="AG27" i="3"/>
  <c r="AH27" i="3" s="1"/>
  <c r="AI27" i="3" s="1"/>
  <c r="AO27" i="3"/>
  <c r="AG25" i="3"/>
  <c r="AH25" i="3" s="1"/>
  <c r="AI25" i="3" s="1"/>
  <c r="AO25" i="3"/>
  <c r="AG26" i="3"/>
  <c r="AH26" i="3" s="1"/>
  <c r="AO26" i="3"/>
  <c r="AQ33" i="3"/>
  <c r="AR33" i="3" s="1"/>
  <c r="AP33" i="3"/>
  <c r="AA32" i="3"/>
  <c r="S34" i="3"/>
  <c r="W34" i="3"/>
  <c r="O32" i="3"/>
  <c r="O22" i="3"/>
  <c r="O29" i="3"/>
  <c r="O24" i="3"/>
  <c r="AI21" i="3"/>
  <c r="AI20" i="3"/>
  <c r="AI17" i="3"/>
  <c r="AI19" i="3"/>
  <c r="AA29" i="3"/>
  <c r="AI18" i="3"/>
  <c r="AI32" i="3"/>
  <c r="AI24" i="3"/>
  <c r="AI28" i="3"/>
  <c r="AI30" i="3"/>
  <c r="AE34" i="3" l="1"/>
  <c r="AU24" i="3"/>
  <c r="AV24" i="3" s="1"/>
  <c r="BD25" i="3"/>
  <c r="BE25" i="3" s="1"/>
  <c r="BC25" i="3"/>
  <c r="BD27" i="3"/>
  <c r="BE27" i="3" s="1"/>
  <c r="BC27" i="3"/>
  <c r="BD26" i="3"/>
  <c r="BE26" i="3" s="1"/>
  <c r="BC26" i="3"/>
  <c r="AT27" i="3"/>
  <c r="AU25" i="3"/>
  <c r="AV25" i="3" s="1"/>
  <c r="O30" i="3"/>
  <c r="O21" i="3"/>
  <c r="AT21" i="3" s="1"/>
  <c r="O25" i="3"/>
  <c r="O19" i="3"/>
  <c r="AT24" i="3"/>
  <c r="AU20" i="3"/>
  <c r="AV20" i="3" s="1"/>
  <c r="AT20" i="3"/>
  <c r="AU30" i="3"/>
  <c r="AV30" i="3" s="1"/>
  <c r="AT30" i="3"/>
  <c r="AT17" i="3"/>
  <c r="AU17" i="3"/>
  <c r="AV17" i="3" s="1"/>
  <c r="AT26" i="3"/>
  <c r="AU26" i="3"/>
  <c r="AV26" i="3" s="1"/>
  <c r="AT28" i="3"/>
  <c r="AU28" i="3"/>
  <c r="AV28" i="3" s="1"/>
  <c r="AT25" i="3"/>
  <c r="O18" i="3"/>
  <c r="AP26" i="3"/>
  <c r="AQ26" i="3"/>
  <c r="AR26" i="3" s="1"/>
  <c r="AQ25" i="3"/>
  <c r="AR25" i="3" s="1"/>
  <c r="AP25" i="3"/>
  <c r="AI26" i="3"/>
  <c r="AP27" i="3"/>
  <c r="AQ27" i="3"/>
  <c r="AR27" i="3" s="1"/>
  <c r="AA34" i="3"/>
  <c r="AU27" i="3" l="1"/>
  <c r="AV27" i="3" s="1"/>
  <c r="AU19" i="3"/>
  <c r="AV19" i="3" s="1"/>
  <c r="AU21" i="3"/>
  <c r="AV21" i="3" s="1"/>
  <c r="O34" i="3"/>
  <c r="AT19" i="3"/>
  <c r="AI34" i="3"/>
  <c r="BC19" i="3" l="1"/>
  <c r="BD19" i="3"/>
  <c r="BE19" i="3" s="1"/>
  <c r="AT18" i="3"/>
  <c r="AU18" i="3"/>
  <c r="AV18" i="3" s="1"/>
  <c r="J36" i="2"/>
  <c r="J35" i="2"/>
  <c r="J34" i="2"/>
  <c r="J33" i="2"/>
  <c r="J32" i="2"/>
  <c r="J31" i="2"/>
  <c r="J30" i="2"/>
  <c r="J29" i="2"/>
  <c r="J25" i="2"/>
  <c r="AH22" i="3" l="1"/>
  <c r="AF22" i="3" l="1"/>
  <c r="AT22" i="3" l="1"/>
  <c r="AW22" i="3" a="1"/>
  <c r="AW22" i="3" s="1"/>
  <c r="AG22" i="3"/>
  <c r="AO22" i="3"/>
  <c r="BD22" i="3" l="1"/>
  <c r="BE22" i="3" s="1"/>
  <c r="BC22" i="3"/>
  <c r="AU22" i="3"/>
  <c r="AV22" i="3" s="1"/>
  <c r="AV34" i="3" s="1"/>
  <c r="AX22" i="3"/>
  <c r="AY22" i="3"/>
  <c r="AZ22" i="3" s="1"/>
  <c r="AZ34" i="3" s="1"/>
  <c r="AP22" i="3"/>
  <c r="AQ22" i="3"/>
  <c r="AR22" i="3" s="1"/>
  <c r="BE34" i="3"/>
</calcChain>
</file>

<file path=xl/metadata.xml><?xml version="1.0" encoding="utf-8"?>
<metadata xmlns="http://schemas.openxmlformats.org/spreadsheetml/2006/main">
  <metadataTypes count="2">
    <metadataType name="XLRICHVALUE" minSupportedVersion="120000" copy="1" pasteAll="1" pasteValues="1" merge="1" splitFirst="1" rowColShift="1" clearFormats="1" clearComments="1" assign="1" coerce="1"/>
    <metadataType name="XLDAPR" minSupportedVersion="120000" copy="1" pasteAll="1" pasteValues="1" merge="1" splitFirst="1" rowColShift="1" clearFormats="1" clearComments="1" assign="1" coerce="1" cellMeta="1"/>
  </metadataTypes>
  <futureMetadata name="XLRICHVALUE" count="1">
    <bk>
      <extLst>
        <ext xmlns:xlrd="http://schemas.microsoft.com/office/spreadsheetml/2017/richdata" uri="{3e2802c4-a4d2-4d8b-9148-e3be6c30e623}">
          <xlrd:rvb i="0"/>
        </ext>
      </extLst>
    </bk>
  </futureMetadata>
  <futureMetadata name="XLDAPR" count="1">
    <bk>
      <extLst>
        <ext xmlns:xda="http://schemas.microsoft.com/office/spreadsheetml/2017/dynamicarray" uri="{bdbb8cdc-fa1e-496e-a857-3c3f30c029c3}">
          <xda:dynamicArrayProperties fDynamic="1" fCollapsed="0"/>
        </ext>
      </extLst>
    </bk>
  </futureMetadata>
  <cellMetadata count="1">
    <bk>
      <rc t="2" v="0"/>
    </bk>
  </cellMetadata>
  <valueMetadata count="1">
    <bk>
      <rc t="1" v="0"/>
    </bk>
  </valueMetadata>
</metadata>
</file>

<file path=xl/sharedStrings.xml><?xml version="1.0" encoding="utf-8"?>
<sst xmlns="http://schemas.openxmlformats.org/spreadsheetml/2006/main" count="903" uniqueCount="169">
  <si>
    <t>Ítem</t>
  </si>
  <si>
    <t>Unidad de medida</t>
  </si>
  <si>
    <t>Cantidad</t>
  </si>
  <si>
    <t>Objeto</t>
  </si>
  <si>
    <t>Especificaciones</t>
  </si>
  <si>
    <t>Especificación Técnica</t>
  </si>
  <si>
    <t>Unidad</t>
  </si>
  <si>
    <t>Mes</t>
  </si>
  <si>
    <t xml:space="preserve">Ver el Anexo 2 - Condiciones Técnicas Mínimas Requeridas </t>
  </si>
  <si>
    <t>FORMATO DE OFERTA ECONÓMICA COMPLEMENTARIA</t>
  </si>
  <si>
    <t>NOTAS</t>
  </si>
  <si>
    <t>Valor unitario ofertado antes de IVA</t>
  </si>
  <si>
    <t xml:space="preserve">Tarifa IVA % </t>
  </si>
  <si>
    <t>Valor unitario ofertado IVA incluido</t>
  </si>
  <si>
    <t>Valor Total Ofertado IVA Incluido</t>
  </si>
  <si>
    <t>1. SERVICIOS EN CIBERSEGURIDAD</t>
  </si>
  <si>
    <t>SERVICIOS EN CIBERSEGURIDAD</t>
  </si>
  <si>
    <t>No</t>
  </si>
  <si>
    <t>Producto / Servicio</t>
  </si>
  <si>
    <t>Descripción</t>
  </si>
  <si>
    <t>Descripción Tecnica</t>
  </si>
  <si>
    <t>Detalle</t>
  </si>
  <si>
    <t>Producto/ Servicios</t>
  </si>
  <si>
    <t>VALOR INDIVIDUAL</t>
  </si>
  <si>
    <t>VALOR MENSUAL</t>
  </si>
  <si>
    <t>PLAZO(MES)</t>
  </si>
  <si>
    <t>NUEVO VALOR TOTAL  ( SIN IVA)</t>
  </si>
  <si>
    <t>Centro de Operaciones de Seguridad (SOC). Con Configuración del correlacionador de eventos SIEM </t>
  </si>
  <si>
    <t xml:space="preserve">Corresponde al servicio de Monitoreo constante que tenemos 7X24 de los eventos de seguridad sobre nuestros sistemas, el apoyo en la gestión de Incidentes y la co administración de los dispositivos de seguridad . </t>
  </si>
  <si>
    <t xml:space="preserve">Monitoreo Ciberseguridad  y gestión de administración de  Plataformas Fortinet , SIEM, WAF , FORTIANALIZER , EMS ZTNA  LITERAL 7.1 </t>
  </si>
  <si>
    <t>Centro de Operaciones de Seguridad (SOC)</t>
  </si>
  <si>
    <t>Servicio</t>
  </si>
  <si>
    <t>No aplica valor individual</t>
  </si>
  <si>
    <t>Monitoreo de eventos en plataforma defender for office 365 y defender for end point.</t>
  </si>
  <si>
    <t>Centro de monitoreo para la plataforma de MS 365 que incluye , correo electrónico, sharepoint , teams , Intune , ETC , Defebder for office y Defebder para estaciones</t>
  </si>
  <si>
    <t>Eventos para 1750 Buzones -  922 Equipos de Cómputo Ver detalle  7.1 - Literal B</t>
  </si>
  <si>
    <t>Centro de Operaciones de Seguridad (SOC) para MS 365</t>
  </si>
  <si>
    <t xml:space="preserve">Administración Para la plataforma CIBERARK (Gestión de Usuarios Privilegiados) </t>
  </si>
  <si>
    <t>Servios de administración de la plataforma para accesos privilegiados, que se utiliza para que proveedores puedan acceder de manera controlada a nuestros sistemas</t>
  </si>
  <si>
    <t xml:space="preserve">Administración de la plataforma Ver detalle de aplicación 7.4 </t>
  </si>
  <si>
    <t>Pruebas de seguridad:</t>
  </si>
  <si>
    <t>Prueba especifica de vulnerabilidades a equipos que no se les puede instalar Vicarius</t>
  </si>
  <si>
    <t>1 PruebaVunerabilidades 100 IP</t>
  </si>
  <si>
    <t>No aplica valor mensual</t>
  </si>
  <si>
    <t>Prueba de engaño a los colaboradores para validar su nivel de entrenamiento</t>
  </si>
  <si>
    <t>1 Prueba ingeniería social – Ver detalle 7.5</t>
  </si>
  <si>
    <t>Pruebas para validar estado externo de los portales</t>
  </si>
  <si>
    <t>10 Pruebas de Pentest - EH para portales</t>
  </si>
  <si>
    <t>RENOVACION PRODUCTOS EN CIBERSEGURIDAD</t>
  </si>
  <si>
    <t>VALOR Mensual</t>
  </si>
  <si>
    <t>SOFTWARE COMO SERVICIO: correlacionador de eventos SIEM</t>
  </si>
  <si>
    <t>Correlacionador de eventos según especificaciones literal 7.2 del del ANEXO TECNICO</t>
  </si>
  <si>
    <t>Correlacionador de 10 fuentes según literal 7.2.8 del presente documento</t>
  </si>
  <si>
    <t>Producto ( SAS )</t>
  </si>
  <si>
    <t>Renovación licenciamientos 5 equipos Fortinet : Ver literal 7.7</t>
  </si>
  <si>
    <t>- 2 NGFW Fortinet 1100E</t>
  </si>
  <si>
    <t>2 Equipos firewall de seguridad perimetral que estan en alta disponibilidad y ubcados en cll 26 , de propiedad de la ANM</t>
  </si>
  <si>
    <t>Producto</t>
  </si>
  <si>
    <t>- 2 FortiWeb 1000E</t>
  </si>
  <si>
    <t>2 Equipos webfirewall ( WAF ) de seguridad perimetral que estan en alta disponibilidad y ubcados en cll 26 , de propiedad de la ANM</t>
  </si>
  <si>
    <t>-       1 FortiAnalyzer 300G</t>
  </si>
  <si>
    <t>1 Equipo anallizador de trafico de red y eventos ubicado en cll 26 y de propiedad de la ANM</t>
  </si>
  <si>
    <t>VPN/ZTNA 1700 End Points</t>
  </si>
  <si>
    <t>Licencias de VPN ZT de conexión remota</t>
  </si>
  <si>
    <t>Renovación Soporte de Fabrica CYBERARK</t>
  </si>
  <si>
    <t>+ Renovación Soporte fabrica para 10 licencias de usuarios. Ver detalle de aplicación 7.4</t>
  </si>
  <si>
    <t>Licenciamiento de la plataforma Ciberark ( Renovacion soporte de fabricante )</t>
  </si>
  <si>
    <t>Gestion y remediación de vulnerabilidades.</t>
  </si>
  <si>
    <r>
      <rPr>
        <b/>
        <sz val="11"/>
        <color rgb="FF000000"/>
        <rFont val="Arial Narrow"/>
        <family val="2"/>
      </rPr>
      <t xml:space="preserve">150 </t>
    </r>
    <r>
      <rPr>
        <sz val="9"/>
        <color rgb="FF000000"/>
        <rFont val="Arial Narrow"/>
        <family val="2"/>
      </rPr>
      <t xml:space="preserve">LICENCIAS Solución integral VICARIUS </t>
    </r>
  </si>
  <si>
    <t>Licencia de producto instalado en los Servidores de la ANM para administración y gestión de vulnerabilidades</t>
  </si>
  <si>
    <t>ADQUISICIÓN PRODUCTOS EN CIBERSEGURIDAD</t>
  </si>
  <si>
    <t>VALOR UNICO</t>
  </si>
  <si>
    <t>1 x FortiSIEM en VM para 50 dispositivos y 1000 EPS con soporte a 12 meses</t>
  </si>
  <si>
    <t xml:space="preserve">Correlacionador de eventos según especificaciones literal 7.8 </t>
  </si>
  <si>
    <t>Correlacionador de 10 fuentes según literal 7.8 del ANEXO TECNICO</t>
  </si>
  <si>
    <t>Producto Nuevo</t>
  </si>
  <si>
    <t>RENOVACION PRODUCTOS EN CIBERSEGURIDAD ( OPCIONALES )</t>
  </si>
  <si>
    <t>N/A</t>
  </si>
  <si>
    <t>2. RENOVACION PRODUCTOS EN CIBERSEGURIDAD</t>
  </si>
  <si>
    <t>- 1 FortiAnalyzer 300G</t>
  </si>
  <si>
    <t xml:space="preserve">150 LICENCIAS Solución integral VICARIUS </t>
  </si>
  <si>
    <t>3. ADQUISICIÓN PRODUCTOS EN CIBERSEGURIDAD</t>
  </si>
  <si>
    <t>1. El proponente deberá diligenciar en su totalidad el Anexo oferta económica complementaria
2. Diligenciar la oferta económica en las celdas resaltadas en color azul en la columna "Valor unitario ofertado antes de IVA". Para proyectar su oferta, revisar las especificaciones técnicas definidas en el anexo No. XX y demás condiciones establecidas en los documentos del proceso
3. Diligenciar el porcentaje que corresponde a la Tarifa IVA (%) que aplique a cada ITEM, en las celdas resaltadas en color azul en la columna "Tarifa IVA %"
4. El formato debe ser firmado por el representante legal.
5. Para la estructuración y diligenciamiento de la oferta económica, se deberá revisar la hoja denominada "Aspectos a tener en cuenta"
6. Las cantidades y meses definitivos de los bienes y servicios objeto de la presente contratación serán dispuestos por la Entidad acorde con sus necesidades</t>
  </si>
  <si>
    <t>Contratar los servicios de centro de operaciones de seguridad, administración, protección, pruebas y gestión de incidentes de seguridad relacionadas con la plataforma tecnológica que soportan las actividades misionales y de fiscalización de la Agencia Nacional de Minería (Línea PAA 130005426_613000126)</t>
  </si>
  <si>
    <t>SubTotal IVA Incluido GAMMA INGENIEROS</t>
  </si>
  <si>
    <t>SubTotal IVA Incluido 
DATASEC</t>
  </si>
  <si>
    <t>SubTotal IVA Incluido 
E&amp;C INGENIEROS</t>
  </si>
  <si>
    <t>SubTotal IVA Incluido 
WEXLER</t>
  </si>
  <si>
    <t>SubTotal IVA Incluido 
INTERNEXA</t>
  </si>
  <si>
    <t>SubTotal IVA Incluido 
REAL TIME</t>
  </si>
  <si>
    <t xml:space="preserve">FortiPAM para 20 Usuarios administradores, SW inlcuye Advance Malware Protection, agente , implementación y puesta en Marcha y soporte por 12 meses </t>
  </si>
  <si>
    <t xml:space="preserve"> FortiSIEM en VM para 50 dispositivos y 1000 EPS implementación y puesta en Marcha con soporte a 12 meses</t>
  </si>
  <si>
    <t xml:space="preserve">Administración Para la plataforma PAM - (Gestión de Usuarios Privilegiados) </t>
  </si>
  <si>
    <t xml:space="preserve">OBSERVACIONES: </t>
  </si>
  <si>
    <t>El ítem 3 no es el mismo que aparece en las cotizaciones solicitadas. Se llamaba "Administración Para la plataforma CIBERARK (Gestión de Usuarios Privilegiados) ". Este cambio debe quedar claro en los documentos y se debe indicar porque se toman los precios cotizados para el otro ítem en este nuevo elemento</t>
  </si>
  <si>
    <t>Por favor aclarar la casilla en rojo. No es claro el comentario. Esta cantidad es la definitiva?</t>
  </si>
  <si>
    <t>El cuadro de cantidades e ítems acá relacionado no coincide con la necesidad técnica descrita en otros documentos. Acá hay 10 ítems relacionados (aunque se evidencia que hay uno que no tiene precio final, por lo que se entiende que no hace parte de la necesidad final) y en los documentos solo aparecen 8. Deben ser las mismas descripciones, cantidades, unidades de medida en todos los documentos</t>
  </si>
  <si>
    <t xml:space="preserve">El cálculo de las Medidas de Tendencia central no debe hacerse sobre los subtotales. Por favor realizarlo sobre precios unitarios y en una columna dejar relacionado el IVA aplicable a cada ítem </t>
  </si>
  <si>
    <t>La mediana no es una medida adecuada para establecer el presupuesto. La Guía de Colombia Compra Eficiente indica que esta medida es más de posición y asimismo sugiere sea utilizada más para análisis complementarios frente al promedio o media geométrica. La Guía es clara en indicar que la media geométrica reduce el impacto de los valores atípicos; en ese sentido, por favor calcular esta medida también y revisemos qué es lo más adecuado, analizando adicionalmente las dispersiones existentes. Si se requiere calcular otras medidas como promedio de las 3 o 4 cotizaciones más bajas por ítem, igualmente, revisar si de deben excluir precios al identificar que son excesivamente altos o bajos con respecto a los demás valores</t>
  </si>
  <si>
    <t xml:space="preserve">Por favor redondear los cálculos de las Medidas de Tendencia Central. Los precios unitarios ni el presupuesto total deben tener decimales </t>
  </si>
  <si>
    <t xml:space="preserve">Por favor incluir notas aclaratorias en caso de requerirse. </t>
  </si>
  <si>
    <t>MEDIA GEOMETRICA</t>
  </si>
  <si>
    <t>Renovación Soporte de Fabrica CYBERARK ( Item Reemplazado  ITEM 9 )</t>
  </si>
  <si>
    <t>NO COTIZA</t>
  </si>
  <si>
    <t>SubTotal IVA Incluido 
FORTINET</t>
  </si>
  <si>
    <t>SubTotal IVA Incluido</t>
  </si>
  <si>
    <t xml:space="preserve"> FortiSIEM en VM para 50 dispositivos y 1000 EPS con soporte a 12 meses</t>
  </si>
  <si>
    <t>4. RENOVACION PRODUCTOS EN CIBERSEGURIDAD ( OPCIONALES )</t>
  </si>
  <si>
    <t>En constancia, firma:</t>
  </si>
  <si>
    <t xml:space="preserve">FIRMA DEL REPRESENTANTE LEGAL </t>
  </si>
  <si>
    <t>Nombre del representante legal</t>
  </si>
  <si>
    <t>Gabriel de Jesus Mazo</t>
  </si>
  <si>
    <t xml:space="preserve">No. de identificación </t>
  </si>
  <si>
    <t>cc. 10.528.956</t>
  </si>
  <si>
    <t>Nombre del proponente</t>
  </si>
  <si>
    <t>Oferta Gamma Ingenieros</t>
  </si>
  <si>
    <t>Fecha de diligenciamiento de la oferta</t>
  </si>
  <si>
    <t>15 de Mayo 2026</t>
  </si>
  <si>
    <t>DE CLIC - ES UN PDF INCRUSTADO</t>
  </si>
  <si>
    <t>ANA MILENA MORALES LOPEZ</t>
  </si>
  <si>
    <t>C.C. 52.705.962</t>
  </si>
  <si>
    <t>REALTIME CONSULTING &amp; SERVICES S.A.S.</t>
  </si>
  <si>
    <t>MAYO 28 DE 2026</t>
  </si>
  <si>
    <t>DAR CLIC , CORRESPONDE A UN PDF</t>
  </si>
  <si>
    <t>GAMMA INGENIEROS</t>
  </si>
  <si>
    <t>DATASEC</t>
  </si>
  <si>
    <t>E&amp;C INGENIEROS</t>
  </si>
  <si>
    <t>WEXLER</t>
  </si>
  <si>
    <t>REAL TIME</t>
  </si>
  <si>
    <t>INTERNEXA</t>
  </si>
  <si>
    <t xml:space="preserve">ANALISIS DE PRECIOS </t>
  </si>
  <si>
    <t>FORTINET</t>
  </si>
  <si>
    <t>PROMEDIO SIMPLE</t>
  </si>
  <si>
    <t>IVA</t>
  </si>
  <si>
    <t>VALOR UNITARIO ANTES DE IVA</t>
  </si>
  <si>
    <t>VALOR IVA</t>
  </si>
  <si>
    <t>VALOR UNITARIO IVA INCLUIDO</t>
  </si>
  <si>
    <t>VALOR TOTAL IVA INCLUIDO</t>
  </si>
  <si>
    <t>PROMEDIO 3 MÁS BAJAS</t>
  </si>
  <si>
    <t>MEDIDA DE TENDENCIA ELEGIDA</t>
  </si>
  <si>
    <t>Forma de pago</t>
  </si>
  <si>
    <t>Mensual</t>
  </si>
  <si>
    <t>Unico Pago</t>
  </si>
  <si>
    <t>Origen del Presupuesto</t>
  </si>
  <si>
    <t>SGR/ PGN</t>
  </si>
  <si>
    <t>PGN</t>
  </si>
  <si>
    <t>Rubro presupuestal</t>
  </si>
  <si>
    <t>C-2199-1900-7-53105B-2199065-02 ADQUIS. DE BYS - SERVICIOS DE INFORMACIÓN IMPLEMENTADOS - FORTALECIMIENTO DE LAS CAPACIDADES</t>
  </si>
  <si>
    <t>SGR: A-02-02-02-008-003-01-3 SERVICIOS DE TECNOLOGÍA - $91.015.320
PGN: C-2199-1900-7-53105B-2199067-02 ADQUIS. DE BYS - SERVICIOS TECNOLÓGICOS - FORTALECIMIENTO DE LAS CAPACIDADES TECNOLÓGICAS - $273.0045.960</t>
  </si>
  <si>
    <t>SGR: A-02-02-02-008-003-01-3 SERVICIOS DE TECNOLOGÍA - $14.517.723
PGN: C-2199-1900-7-53105B-2199067-02 ADQUIS. DE BYS - SERVICIOS TECNOLÓGICOS - FORTALECIMIENTO DE LAS CAPACIDADES TECNOLÓGICAS - $43.553.169</t>
  </si>
  <si>
    <t>SGR: A-02-02-02-008-003-01-3 SERVICIOS DE TECNOLOGÍA - $18.760.833
PGN: C-2199-1900-7-53105B-2199067-02 ADQUIS. DE BYS - SERVICIOS TECNOLÓGICOS - FORTALECIMIENTO DE LAS CAPACIDADES TECNOLÓGICAS - $56.282.499</t>
  </si>
  <si>
    <t>SGR: A-02-02-02-008-003-01-3 SERVICIOS DE TECNOLOGÍA - $13.370.569
PGN: C-2199-1900-7-53105B-2199067-02 ADQUIS. DE BYS - SERVICIOS TECNOLÓGICOS - FORTALECIMIENTO DE LAS CAPACIDADES TECNOLÓGICAS - $40.11.709</t>
  </si>
  <si>
    <t>C-2199-1900-7-53105B-2199067-02 ADQUIS. DE BYS - SERVICIOS TECNOLÓGICOS - FORTALECIMIENTO DE LAS CAPACIDADES TECNOLÓGICAS</t>
  </si>
  <si>
    <t>VALOR PRESUPUESTO OFICIAL ESTIMADO</t>
  </si>
  <si>
    <t>&lt;</t>
  </si>
  <si>
    <t>Coeficiente de variación</t>
  </si>
  <si>
    <t>Desviación estándar</t>
  </si>
  <si>
    <t>PROMEDIO DE LAS CUATRO MÁS BAJAS</t>
  </si>
  <si>
    <t>Número de Cotizaciones</t>
  </si>
  <si>
    <t>Precios resaltados en naranja</t>
  </si>
  <si>
    <t>Precios resaltados en azul</t>
  </si>
  <si>
    <t xml:space="preserve">Se sugiere eliminar ya que es un precio extremo superior que distorsiona el resultado. </t>
  </si>
  <si>
    <t xml:space="preserve">Se sugiere eliminar ya que es un precio extremo inferior que distorsiona el resultado. </t>
  </si>
  <si>
    <t>SGR: A-02-02-02-008-003-01-3 SERVICIOS DE TECNOLOGÍA - $103.314.165
PGN: C-2199-1900-7-53105B-2199067-02 ADQUIS. DE BYS - SERVICIOS TECNOLÓGICOS - FORTALECIMIENTO DE LAS CAPACIDADES TECNOLÓGICAS - $309.942.495</t>
  </si>
  <si>
    <t>SGR: A-02-02-02-008-003-01-3 SERVICIOS DE TECNOLOGÍA - $15.798.532
PGN: C-2199-1900-7-53105B-2199067-02 ADQUIS. DE BYS - SERVICIOS TECNOLÓGICOS - FORTALECIMIENTO DE LAS CAPACIDADES TECNOLÓGICAS - $47.395.593</t>
  </si>
  <si>
    <t>SGR: A-02-02-02-008-003-01-3 SERVICIOS DE TECNOLOGÍA - $12.961.257
PGN: C-2199-1900-7-53105B-2199067-02 ADQUIS. DE BYS - SERVICIOS TECNOLÓGICOS - FORTALECIMIENTO DE LAS CAPACIDADES TECNOLÓGICAS - $38.883.771</t>
  </si>
  <si>
    <t>ANÁLISIS DE DISPERSION</t>
  </si>
  <si>
    <t xml:space="preserve">Se elimina del análisis ya que es un precio extremo superior que distorsiona el resultado. </t>
  </si>
  <si>
    <t xml:space="preserve">Se elimina del análisis ya que es un precio extremo inferior que distorsiona el resultado.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</si>
</sst>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quot;$&quot;* #,##0.00_);_(&quot;$&quot;* \(#,##0.00\);_(&quot;$&quot;* &quot;-&quot;??_);_(@_)"/>
    <numFmt numFmtId="166" formatCode="_-* #,##0.00\ &quot;Pts&quot;_-;\-* #,##0.00\ &quot;Pts&quot;_-;_-* &quot;-&quot;??\ &quot;Pts&quot;_-;_-@_-"/>
    <numFmt numFmtId="167" formatCode="_(&quot;$&quot;\ * #,##0.00_);_(&quot;$&quot;\ * \(#,##0.00\);_(&quot;$&quot;\ * &quot;-&quot;??_);_(@_)"/>
    <numFmt numFmtId="168" formatCode="&quot;$&quot;\ #,##0"/>
    <numFmt numFmtId="169" formatCode="_-&quot;$&quot;\ * #,##0_-;\-&quot;$&quot;\ * #,##0_-;_-&quot;$&quot;\ * &quot;-&quot;??_-;_-@_-"/>
    <numFmt numFmtId="170" formatCode="&quot;$&quot;\ #,##0.00"/>
  </numFmts>
  <fonts count="33" x14ac:knownFonts="1">
    <font>
      <sz val="11"/>
      <color theme="1"/>
      <name val="Calibri"/>
      <family val="2"/>
      <scheme val="minor"/>
    </font>
    <font>
      <sz val="11"/>
      <color theme="1"/>
      <name val="Calibri"/>
      <family val="2"/>
      <scheme val="minor"/>
    </font>
    <font>
      <b/>
      <sz val="11"/>
      <color rgb="FF000000"/>
      <name val="Arial Narrow"/>
      <family val="2"/>
    </font>
    <font>
      <sz val="11"/>
      <color rgb="FF000000"/>
      <name val="Arial Narrow"/>
      <family val="2"/>
    </font>
    <font>
      <sz val="10"/>
      <name val="Arial"/>
      <family val="2"/>
    </font>
    <font>
      <sz val="12"/>
      <color theme="1"/>
      <name val="Calibri"/>
      <family val="2"/>
      <scheme val="minor"/>
    </font>
    <font>
      <sz val="11"/>
      <color indexed="8"/>
      <name val="Calibri"/>
      <family val="2"/>
    </font>
    <font>
      <sz val="10"/>
      <color indexed="8"/>
      <name val="Arial"/>
      <family val="2"/>
    </font>
    <font>
      <b/>
      <sz val="11"/>
      <color theme="1"/>
      <name val="Calibri"/>
      <family val="2"/>
      <scheme val="minor"/>
    </font>
    <font>
      <b/>
      <sz val="11"/>
      <name val="Arial Narrow"/>
      <family val="2"/>
    </font>
    <font>
      <sz val="11"/>
      <name val="Arial Narrow"/>
      <family val="2"/>
    </font>
    <font>
      <b/>
      <sz val="16"/>
      <color theme="1"/>
      <name val="Calibri"/>
      <family val="2"/>
      <scheme val="minor"/>
    </font>
    <font>
      <b/>
      <sz val="9"/>
      <color rgb="FF000000"/>
      <name val="Arial Narrow"/>
      <family val="2"/>
    </font>
    <font>
      <sz val="9"/>
      <color rgb="FF000000"/>
      <name val="Arial Narrow"/>
      <family val="2"/>
    </font>
    <font>
      <b/>
      <sz val="9"/>
      <color rgb="FF0070C0"/>
      <name val="Arial Narrow"/>
      <family val="2"/>
    </font>
    <font>
      <sz val="9"/>
      <color theme="0"/>
      <name val="Arial Narrow"/>
      <family val="2"/>
    </font>
    <font>
      <b/>
      <sz val="9"/>
      <color rgb="FFFF0000"/>
      <name val="Arial Narrow"/>
      <family val="2"/>
    </font>
    <font>
      <b/>
      <sz val="11"/>
      <color theme="0"/>
      <name val="Arial Narrow"/>
      <family val="2"/>
    </font>
    <font>
      <sz val="8"/>
      <color rgb="FFFF0000"/>
      <name val="Calibri"/>
      <family val="2"/>
      <scheme val="minor"/>
    </font>
    <font>
      <sz val="11"/>
      <color theme="0"/>
      <name val="Arial Narrow"/>
      <family val="2"/>
    </font>
    <font>
      <u/>
      <sz val="11"/>
      <color theme="0"/>
      <name val="Arial Narrow"/>
      <family val="2"/>
    </font>
    <font>
      <sz val="11"/>
      <name val="Arial"/>
      <family val="2"/>
    </font>
    <font>
      <b/>
      <sz val="9"/>
      <name val="Arial"/>
      <family val="2"/>
    </font>
    <font>
      <sz val="9"/>
      <name val="Arial"/>
      <family val="2"/>
    </font>
    <font>
      <sz val="8"/>
      <color theme="1"/>
      <name val="Calibri"/>
      <family val="2"/>
      <scheme val="minor"/>
    </font>
    <font>
      <sz val="8"/>
      <color theme="1"/>
      <name val="Arial Narrow"/>
      <family val="2"/>
    </font>
    <font>
      <b/>
      <sz val="11"/>
      <color rgb="FFFF0000"/>
      <name val="Calibri"/>
      <family val="2"/>
      <scheme val="minor"/>
    </font>
    <font>
      <b/>
      <sz val="8"/>
      <color theme="1"/>
      <name val="Arial Narrow"/>
      <family val="2"/>
    </font>
    <font>
      <b/>
      <sz val="8"/>
      <color rgb="FF000000"/>
      <name val="Arial Narrow"/>
      <family val="2"/>
    </font>
    <font>
      <sz val="8"/>
      <color rgb="FF000000"/>
      <name val="Arial Narrow"/>
      <family val="2"/>
    </font>
    <font>
      <sz val="8"/>
      <name val="Arial Narrow"/>
      <family val="2"/>
    </font>
    <font>
      <b/>
      <sz val="8"/>
      <name val="Arial Narrow"/>
      <family val="2"/>
    </font>
    <font>
      <sz val="8"/>
      <color theme="0"/>
      <name val="Arial Narrow"/>
      <family val="2"/>
    </font>
  </fonts>
  <fills count="26">
    <fill>
      <patternFill patternType="none"/>
    </fill>
    <fill>
      <patternFill patternType="gray125"/>
    </fill>
    <fill>
      <patternFill patternType="solid">
        <fgColor rgb="FFFFFFFF"/>
        <bgColor indexed="64"/>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2"/>
        <bgColor indexed="64"/>
      </patternFill>
    </fill>
    <fill>
      <patternFill patternType="solid">
        <fgColor theme="2" tint="-0.749992370372631"/>
        <bgColor indexed="64"/>
      </patternFill>
    </fill>
    <fill>
      <patternFill patternType="solid">
        <fgColor theme="4"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F9D3F3"/>
        <bgColor indexed="64"/>
      </patternFill>
    </fill>
    <fill>
      <patternFill patternType="solid">
        <fgColor theme="8" tint="-0.249977111117893"/>
        <bgColor indexed="64"/>
      </patternFill>
    </fill>
    <fill>
      <patternFill patternType="solid">
        <fgColor rgb="FFFFFFCC"/>
        <bgColor indexed="64"/>
      </patternFill>
    </fill>
    <fill>
      <patternFill patternType="solid">
        <fgColor theme="1" tint="0.249977111117893"/>
        <bgColor indexed="64"/>
      </patternFill>
    </fill>
    <fill>
      <patternFill patternType="solid">
        <fgColor theme="5" tint="0.79998168889431442"/>
        <bgColor indexed="64"/>
      </patternFill>
    </fill>
    <fill>
      <patternFill patternType="solid">
        <fgColor theme="9"/>
        <bgColor indexed="64"/>
      </patternFill>
    </fill>
    <fill>
      <patternFill patternType="solid">
        <fgColor theme="7" tint="0.79998168889431442"/>
        <bgColor indexed="64"/>
      </patternFill>
    </fill>
    <fill>
      <patternFill patternType="solid">
        <fgColor theme="1" tint="0.499984740745262"/>
        <bgColor indexed="64"/>
      </patternFill>
    </fill>
    <fill>
      <patternFill patternType="solid">
        <fgColor theme="4" tint="0.59999389629810485"/>
        <bgColor indexed="64"/>
      </patternFill>
    </fill>
    <fill>
      <patternFill patternType="solid">
        <fgColor theme="5"/>
        <bgColor indexed="64"/>
      </patternFill>
    </fill>
    <fill>
      <patternFill patternType="solid">
        <fgColor theme="8"/>
        <bgColor indexed="64"/>
      </patternFill>
    </fill>
    <fill>
      <patternFill patternType="solid">
        <fgColor theme="2" tint="-9.9978637043366805E-2"/>
        <bgColor indexed="64"/>
      </patternFill>
    </fill>
    <fill>
      <patternFill patternType="solid">
        <fgColor theme="0" tint="-0.14999847407452621"/>
        <bgColor indexed="64"/>
      </patternFill>
    </fill>
  </fills>
  <borders count="61">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thin">
        <color theme="0"/>
      </right>
      <top/>
      <bottom style="thin">
        <color theme="0"/>
      </bottom>
      <diagonal/>
    </border>
    <border>
      <left style="thin">
        <color theme="0"/>
      </left>
      <right/>
      <top style="thin">
        <color theme="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theme="0"/>
      </right>
      <top style="thin">
        <color theme="0"/>
      </top>
      <bottom/>
      <diagonal/>
    </border>
    <border>
      <left style="medium">
        <color indexed="64"/>
      </left>
      <right style="thin">
        <color indexed="64"/>
      </right>
      <top/>
      <bottom/>
      <diagonal/>
    </border>
    <border>
      <left/>
      <right style="thin">
        <color theme="0"/>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left>
      <right/>
      <top/>
      <bottom/>
      <diagonal/>
    </border>
    <border>
      <left style="thin">
        <color theme="0"/>
      </left>
      <right/>
      <top/>
      <bottom style="thin">
        <color theme="0"/>
      </bottom>
      <diagonal/>
    </border>
    <border>
      <left/>
      <right/>
      <top style="thin">
        <color indexed="64"/>
      </top>
      <bottom style="thin">
        <color indexed="64"/>
      </bottom>
      <diagonal/>
    </border>
    <border>
      <left style="thin">
        <color indexed="64"/>
      </left>
      <right/>
      <top/>
      <bottom/>
      <diagonal/>
    </border>
    <border>
      <left style="thin">
        <color theme="0"/>
      </left>
      <right/>
      <top/>
      <bottom style="thin">
        <color indexed="64"/>
      </bottom>
      <diagonal/>
    </border>
    <border>
      <left/>
      <right style="thin">
        <color theme="0"/>
      </right>
      <top/>
      <bottom style="thin">
        <color indexed="64"/>
      </bottom>
      <diagonal/>
    </border>
  </borders>
  <cellStyleXfs count="24">
    <xf numFmtId="0" fontId="0" fillId="0" borderId="0"/>
    <xf numFmtId="166" fontId="4" fillId="0" borderId="0" applyFont="0" applyFill="0" applyBorder="0" applyAlignment="0" applyProtection="0"/>
    <xf numFmtId="0" fontId="5" fillId="0" borderId="0"/>
    <xf numFmtId="165" fontId="5" fillId="0" borderId="0" applyFont="0" applyFill="0" applyBorder="0" applyAlignment="0" applyProtection="0"/>
    <xf numFmtId="9" fontId="5"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4" fillId="0" borderId="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7" fillId="2" borderId="1" applyNumberFormat="0" applyProtection="0">
      <alignment horizontal="left"/>
    </xf>
    <xf numFmtId="0" fontId="7" fillId="3" borderId="1" applyNumberFormat="0" applyProtection="0">
      <alignment horizontal="left"/>
    </xf>
    <xf numFmtId="165" fontId="1" fillId="0" borderId="0" applyFont="0" applyFill="0" applyBorder="0" applyAlignment="0" applyProtection="0"/>
    <xf numFmtId="164"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288">
    <xf numFmtId="0" fontId="0" fillId="0" borderId="0" xfId="0"/>
    <xf numFmtId="0" fontId="9"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3" xfId="0" applyBorder="1"/>
    <xf numFmtId="0" fontId="0" fillId="0" borderId="3" xfId="0" applyBorder="1" applyAlignment="1">
      <alignment horizontal="center" vertical="center"/>
    </xf>
    <xf numFmtId="0" fontId="0" fillId="0" borderId="4" xfId="0" applyBorder="1"/>
    <xf numFmtId="0" fontId="0" fillId="0" borderId="5" xfId="0" applyBorder="1"/>
    <xf numFmtId="0" fontId="0" fillId="0" borderId="6" xfId="0" applyBorder="1"/>
    <xf numFmtId="0" fontId="0" fillId="0" borderId="7" xfId="0" applyBorder="1"/>
    <xf numFmtId="0" fontId="0" fillId="0" borderId="4" xfId="0" applyBorder="1" applyAlignment="1">
      <alignment horizontal="center" vertical="center"/>
    </xf>
    <xf numFmtId="0" fontId="0" fillId="0" borderId="5" xfId="0" applyBorder="1" applyAlignment="1">
      <alignment horizontal="center" vertical="center"/>
    </xf>
    <xf numFmtId="0" fontId="2" fillId="0" borderId="7" xfId="0" applyFont="1" applyBorder="1" applyAlignment="1">
      <alignment horizontal="center" vertical="center" wrapText="1"/>
    </xf>
    <xf numFmtId="0" fontId="3" fillId="0" borderId="7" xfId="0" applyFont="1" applyBorder="1" applyAlignment="1">
      <alignment horizontal="center" vertical="center" wrapText="1"/>
    </xf>
    <xf numFmtId="0" fontId="0" fillId="0" borderId="8" xfId="0" applyBorder="1"/>
    <xf numFmtId="168" fontId="3" fillId="5" borderId="2" xfId="0" applyNumberFormat="1" applyFont="1" applyFill="1" applyBorder="1" applyAlignment="1">
      <alignment horizontal="center" vertical="center" wrapText="1"/>
    </xf>
    <xf numFmtId="168" fontId="3" fillId="0" borderId="2" xfId="0" applyNumberFormat="1" applyFont="1" applyBorder="1" applyAlignment="1">
      <alignment horizontal="center" vertical="center" wrapText="1"/>
    </xf>
    <xf numFmtId="168" fontId="2" fillId="0" borderId="2" xfId="0" applyNumberFormat="1" applyFont="1" applyBorder="1" applyAlignment="1">
      <alignment horizontal="center" vertical="center" wrapText="1"/>
    </xf>
    <xf numFmtId="0" fontId="12" fillId="0" borderId="15" xfId="0" applyFont="1" applyBorder="1" applyAlignment="1">
      <alignment horizontal="center" vertical="center"/>
    </xf>
    <xf numFmtId="0" fontId="12"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13" fillId="9" borderId="25" xfId="0" applyFont="1" applyFill="1" applyBorder="1" applyAlignment="1">
      <alignment horizontal="center" vertical="center"/>
    </xf>
    <xf numFmtId="0" fontId="13" fillId="9" borderId="26" xfId="0" applyFont="1" applyFill="1" applyBorder="1" applyAlignment="1">
      <alignment horizontal="center" vertical="center" wrapText="1"/>
    </xf>
    <xf numFmtId="0" fontId="14" fillId="9" borderId="26" xfId="0" applyFont="1" applyFill="1" applyBorder="1" applyAlignment="1">
      <alignment horizontal="center" vertical="center" wrapText="1"/>
    </xf>
    <xf numFmtId="169" fontId="13" fillId="9" borderId="26" xfId="21" applyNumberFormat="1" applyFont="1" applyFill="1" applyBorder="1" applyAlignment="1" applyProtection="1">
      <alignment horizontal="center" vertical="center" wrapText="1"/>
      <protection locked="0"/>
    </xf>
    <xf numFmtId="0" fontId="13" fillId="9" borderId="18" xfId="0" applyFont="1" applyFill="1" applyBorder="1" applyAlignment="1" applyProtection="1">
      <alignment horizontal="center" vertical="center"/>
      <protection locked="0"/>
    </xf>
    <xf numFmtId="0" fontId="13" fillId="0" borderId="16" xfId="0" applyFont="1" applyBorder="1" applyAlignment="1">
      <alignment horizontal="center" vertical="center" wrapText="1"/>
    </xf>
    <xf numFmtId="0" fontId="16" fillId="0" borderId="18" xfId="0" applyFont="1" applyBorder="1" applyAlignment="1">
      <alignment horizontal="center" vertical="center" wrapText="1"/>
    </xf>
    <xf numFmtId="44" fontId="13" fillId="0" borderId="15" xfId="21" applyFont="1" applyFill="1" applyBorder="1" applyAlignment="1" applyProtection="1">
      <alignment horizontal="center" vertical="center"/>
      <protection locked="0"/>
    </xf>
    <xf numFmtId="44" fontId="13" fillId="0" borderId="15" xfId="21" applyFont="1" applyFill="1" applyBorder="1" applyAlignment="1" applyProtection="1">
      <alignment horizontal="center" vertical="center" wrapText="1"/>
      <protection locked="0"/>
    </xf>
    <xf numFmtId="0" fontId="0" fillId="0" borderId="0" xfId="0" applyAlignment="1">
      <alignment wrapText="1"/>
    </xf>
    <xf numFmtId="0" fontId="13" fillId="9" borderId="28" xfId="0" applyFont="1" applyFill="1" applyBorder="1" applyAlignment="1">
      <alignment horizontal="center" vertical="center"/>
    </xf>
    <xf numFmtId="0" fontId="13" fillId="9" borderId="0" xfId="0" applyFont="1" applyFill="1" applyAlignment="1">
      <alignment horizontal="center" vertical="center" wrapText="1"/>
    </xf>
    <xf numFmtId="0" fontId="14" fillId="9" borderId="0" xfId="0" applyFont="1" applyFill="1" applyAlignment="1">
      <alignment horizontal="center" vertical="center" wrapText="1"/>
    </xf>
    <xf numFmtId="169" fontId="13" fillId="9" borderId="0" xfId="21" applyNumberFormat="1" applyFont="1" applyFill="1" applyBorder="1" applyAlignment="1" applyProtection="1">
      <alignment horizontal="center" vertical="center" wrapText="1"/>
      <protection locked="0"/>
    </xf>
    <xf numFmtId="44" fontId="15" fillId="9" borderId="0" xfId="0" applyNumberFormat="1" applyFont="1" applyFill="1" applyAlignment="1">
      <alignment horizontal="center" vertical="center"/>
    </xf>
    <xf numFmtId="0" fontId="13" fillId="9" borderId="21" xfId="0" applyFont="1" applyFill="1" applyBorder="1" applyAlignment="1" applyProtection="1">
      <alignment horizontal="center" vertical="center"/>
      <protection locked="0"/>
    </xf>
    <xf numFmtId="0" fontId="12" fillId="0" borderId="2" xfId="0"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5" fillId="7" borderId="2" xfId="0" applyFont="1" applyFill="1" applyBorder="1" applyAlignment="1">
      <alignment horizontal="center" vertical="center" wrapText="1"/>
    </xf>
    <xf numFmtId="44" fontId="13" fillId="8" borderId="2" xfId="21" applyFont="1" applyFill="1" applyBorder="1" applyAlignment="1">
      <alignment horizontal="center" vertical="center" wrapText="1"/>
    </xf>
    <xf numFmtId="0" fontId="13" fillId="0" borderId="2" xfId="0" applyFont="1" applyBorder="1" applyAlignment="1">
      <alignment vertical="center" wrapText="1"/>
    </xf>
    <xf numFmtId="44" fontId="13" fillId="8" borderId="2" xfId="21" applyFont="1" applyFill="1" applyBorder="1" applyAlignment="1" applyProtection="1">
      <alignment horizontal="center" vertical="center"/>
      <protection locked="0"/>
    </xf>
    <xf numFmtId="0" fontId="12" fillId="0" borderId="29" xfId="0" applyFont="1" applyBorder="1" applyAlignment="1">
      <alignment horizontal="center" vertical="center"/>
    </xf>
    <xf numFmtId="0" fontId="12" fillId="0" borderId="30" xfId="0" applyFont="1" applyBorder="1" applyAlignment="1">
      <alignment horizontal="center" vertical="center" wrapText="1"/>
    </xf>
    <xf numFmtId="0" fontId="13" fillId="0" borderId="29" xfId="0" applyFont="1" applyBorder="1" applyAlignment="1">
      <alignment horizontal="center" vertical="center"/>
    </xf>
    <xf numFmtId="0" fontId="13" fillId="0" borderId="30" xfId="0" applyFont="1" applyBorder="1" applyAlignment="1" applyProtection="1">
      <alignment horizontal="center" vertical="center"/>
      <protection locked="0"/>
    </xf>
    <xf numFmtId="0" fontId="16" fillId="0" borderId="2" xfId="0" applyFont="1" applyBorder="1" applyAlignment="1">
      <alignment horizontal="center" vertical="center" wrapText="1"/>
    </xf>
    <xf numFmtId="44" fontId="13" fillId="0" borderId="2" xfId="21" applyFont="1" applyFill="1" applyBorder="1" applyAlignment="1" applyProtection="1">
      <alignment horizontal="center" vertical="center"/>
      <protection locked="0"/>
    </xf>
    <xf numFmtId="44" fontId="13" fillId="0" borderId="2" xfId="21" applyFont="1" applyFill="1" applyBorder="1" applyAlignment="1" applyProtection="1">
      <alignment horizontal="center" vertical="center" wrapText="1"/>
      <protection locked="0"/>
    </xf>
    <xf numFmtId="0" fontId="8" fillId="0" borderId="18" xfId="0" applyFont="1" applyBorder="1" applyAlignment="1">
      <alignment horizontal="center"/>
    </xf>
    <xf numFmtId="44" fontId="13" fillId="5" borderId="15" xfId="21" applyFont="1" applyFill="1" applyBorder="1" applyAlignment="1" applyProtection="1">
      <alignment horizontal="center" vertical="center"/>
      <protection locked="0"/>
    </xf>
    <xf numFmtId="0" fontId="3" fillId="0" borderId="2" xfId="0" applyFont="1" applyBorder="1" applyAlignment="1">
      <alignment vertical="center" wrapText="1"/>
    </xf>
    <xf numFmtId="49" fontId="3" fillId="0" borderId="2" xfId="0" applyNumberFormat="1" applyFont="1" applyBorder="1" applyAlignment="1">
      <alignment horizontal="center" vertical="center" wrapText="1"/>
    </xf>
    <xf numFmtId="0" fontId="12" fillId="0" borderId="19" xfId="0" applyFont="1" applyBorder="1" applyAlignment="1">
      <alignment horizontal="center" vertical="center"/>
    </xf>
    <xf numFmtId="0" fontId="12" fillId="0" borderId="18" xfId="0" applyFont="1" applyBorder="1" applyAlignment="1">
      <alignment horizontal="center" vertical="center" wrapText="1"/>
    </xf>
    <xf numFmtId="0" fontId="3" fillId="10" borderId="2" xfId="0" applyFont="1" applyFill="1" applyBorder="1" applyAlignment="1">
      <alignment horizontal="center" vertical="center" wrapText="1"/>
    </xf>
    <xf numFmtId="44" fontId="3" fillId="5" borderId="2" xfId="21" applyFont="1" applyFill="1" applyBorder="1" applyAlignment="1">
      <alignment horizontal="center" vertical="center" wrapText="1"/>
    </xf>
    <xf numFmtId="0" fontId="9" fillId="11" borderId="2" xfId="0" applyFont="1" applyFill="1" applyBorder="1" applyAlignment="1">
      <alignment horizontal="center" vertical="center" wrapText="1"/>
    </xf>
    <xf numFmtId="0" fontId="9" fillId="12" borderId="2" xfId="0" applyFont="1" applyFill="1" applyBorder="1" applyAlignment="1">
      <alignment horizontal="center" vertical="center" wrapText="1"/>
    </xf>
    <xf numFmtId="0" fontId="9" fillId="10" borderId="2"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17" fillId="14" borderId="2" xfId="0" applyFont="1" applyFill="1" applyBorder="1" applyAlignment="1">
      <alignment horizontal="center" vertical="center" wrapText="1"/>
    </xf>
    <xf numFmtId="0" fontId="9" fillId="0" borderId="2" xfId="0" applyFont="1" applyBorder="1" applyAlignment="1">
      <alignment horizontal="center" vertical="center" wrapText="1"/>
    </xf>
    <xf numFmtId="3" fontId="0" fillId="0" borderId="3" xfId="0" applyNumberFormat="1" applyBorder="1"/>
    <xf numFmtId="3" fontId="0" fillId="0" borderId="5" xfId="0" applyNumberFormat="1" applyBorder="1"/>
    <xf numFmtId="3" fontId="0" fillId="0" borderId="4" xfId="0" applyNumberFormat="1" applyBorder="1"/>
    <xf numFmtId="3" fontId="3" fillId="0" borderId="2" xfId="0" applyNumberFormat="1" applyFont="1" applyBorder="1" applyAlignment="1">
      <alignment horizontal="center" vertical="center" wrapText="1"/>
    </xf>
    <xf numFmtId="3" fontId="3" fillId="0" borderId="2" xfId="21" applyNumberFormat="1" applyFont="1" applyFill="1" applyBorder="1" applyAlignment="1">
      <alignment horizontal="center" vertical="center" wrapText="1"/>
    </xf>
    <xf numFmtId="3" fontId="2" fillId="0" borderId="2" xfId="0" applyNumberFormat="1" applyFont="1" applyBorder="1" applyAlignment="1">
      <alignment horizontal="center" vertical="center" wrapText="1"/>
    </xf>
    <xf numFmtId="0" fontId="3" fillId="0" borderId="38" xfId="0" applyFont="1" applyBorder="1" applyAlignment="1">
      <alignment horizontal="center" vertical="center" wrapText="1"/>
    </xf>
    <xf numFmtId="3" fontId="19" fillId="16" borderId="2" xfId="0" applyNumberFormat="1" applyFont="1" applyFill="1" applyBorder="1" applyAlignment="1">
      <alignment horizontal="center" vertical="center" wrapText="1"/>
    </xf>
    <xf numFmtId="3" fontId="19" fillId="16" borderId="2" xfId="21" applyNumberFormat="1" applyFont="1" applyFill="1" applyBorder="1" applyAlignment="1">
      <alignment horizontal="center" vertical="center" wrapText="1"/>
    </xf>
    <xf numFmtId="49" fontId="3" fillId="0" borderId="46" xfId="0" applyNumberFormat="1" applyFont="1" applyBorder="1" applyAlignment="1">
      <alignment horizontal="center" vertical="center" wrapText="1"/>
    </xf>
    <xf numFmtId="0" fontId="3" fillId="0" borderId="46" xfId="0" applyFont="1" applyBorder="1" applyAlignment="1">
      <alignment horizontal="center" vertical="center" wrapText="1"/>
    </xf>
    <xf numFmtId="0" fontId="3" fillId="17" borderId="46" xfId="0" applyFont="1" applyFill="1" applyBorder="1" applyAlignment="1">
      <alignment horizontal="center" vertical="center" wrapText="1"/>
    </xf>
    <xf numFmtId="168" fontId="3" fillId="0" borderId="46" xfId="0" applyNumberFormat="1" applyFont="1" applyBorder="1" applyAlignment="1">
      <alignment horizontal="center" vertical="center" wrapText="1"/>
    </xf>
    <xf numFmtId="168" fontId="3" fillId="0" borderId="47" xfId="0" applyNumberFormat="1" applyFont="1" applyBorder="1" applyAlignment="1">
      <alignment horizontal="center" vertical="center" wrapText="1"/>
    </xf>
    <xf numFmtId="0" fontId="3" fillId="17" borderId="2" xfId="0" applyFont="1" applyFill="1" applyBorder="1" applyAlignment="1">
      <alignment horizontal="center" vertical="center" wrapText="1"/>
    </xf>
    <xf numFmtId="168" fontId="3" fillId="0" borderId="30" xfId="0" applyNumberFormat="1" applyFont="1" applyBorder="1" applyAlignment="1">
      <alignment horizontal="center" vertical="center" wrapText="1"/>
    </xf>
    <xf numFmtId="49" fontId="3" fillId="0" borderId="53" xfId="0" applyNumberFormat="1" applyFont="1" applyBorder="1" applyAlignment="1">
      <alignment horizontal="center" vertical="center" wrapText="1"/>
    </xf>
    <xf numFmtId="0" fontId="3" fillId="0" borderId="53" xfId="0" applyFont="1" applyBorder="1" applyAlignment="1">
      <alignment horizontal="center" vertical="center" wrapText="1"/>
    </xf>
    <xf numFmtId="0" fontId="3" fillId="17" borderId="53" xfId="0" applyFont="1" applyFill="1" applyBorder="1" applyAlignment="1">
      <alignment horizontal="center" vertical="center" wrapText="1"/>
    </xf>
    <xf numFmtId="168" fontId="3" fillId="0" borderId="53" xfId="0" applyNumberFormat="1" applyFont="1" applyBorder="1" applyAlignment="1">
      <alignment horizontal="center" vertical="center" wrapText="1"/>
    </xf>
    <xf numFmtId="168" fontId="3" fillId="0" borderId="54" xfId="0" applyNumberFormat="1" applyFont="1" applyBorder="1" applyAlignment="1">
      <alignment horizontal="center" vertical="center" wrapText="1"/>
    </xf>
    <xf numFmtId="49" fontId="3" fillId="0" borderId="38" xfId="0" applyNumberFormat="1" applyFont="1" applyBorder="1" applyAlignment="1">
      <alignment horizontal="center" vertical="center" wrapText="1"/>
    </xf>
    <xf numFmtId="0" fontId="3" fillId="10" borderId="38" xfId="0" applyFont="1" applyFill="1" applyBorder="1" applyAlignment="1">
      <alignment horizontal="center" vertical="center" wrapText="1"/>
    </xf>
    <xf numFmtId="168" fontId="3" fillId="0" borderId="38" xfId="0" applyNumberFormat="1" applyFont="1" applyBorder="1" applyAlignment="1">
      <alignment horizontal="center" vertical="center" wrapText="1"/>
    </xf>
    <xf numFmtId="0" fontId="10" fillId="0" borderId="3" xfId="0" applyFont="1" applyBorder="1" applyAlignment="1" applyProtection="1">
      <alignment vertical="center"/>
      <protection locked="0"/>
    </xf>
    <xf numFmtId="0" fontId="21" fillId="2" borderId="3" xfId="0" applyFont="1" applyFill="1" applyBorder="1" applyAlignment="1" applyProtection="1">
      <alignment vertical="center"/>
      <protection locked="0"/>
    </xf>
    <xf numFmtId="0" fontId="22" fillId="2" borderId="3" xfId="0" applyFont="1" applyFill="1" applyBorder="1" applyAlignment="1" applyProtection="1">
      <alignment vertical="center"/>
      <protection locked="0"/>
    </xf>
    <xf numFmtId="0" fontId="23" fillId="2" borderId="3" xfId="0" applyFont="1" applyFill="1" applyBorder="1" applyAlignment="1" applyProtection="1">
      <alignment vertical="center"/>
      <protection locked="0"/>
    </xf>
    <xf numFmtId="0" fontId="23" fillId="0" borderId="3" xfId="0" applyFont="1" applyBorder="1" applyProtection="1">
      <protection locked="0"/>
    </xf>
    <xf numFmtId="0" fontId="25" fillId="0" borderId="3" xfId="0" applyFont="1" applyBorder="1" applyAlignment="1">
      <alignment horizontal="center" vertical="center" wrapText="1"/>
    </xf>
    <xf numFmtId="0" fontId="2" fillId="4" borderId="0" xfId="0" applyFont="1" applyFill="1" applyAlignment="1">
      <alignment horizontal="center" vertical="center" wrapText="1"/>
    </xf>
    <xf numFmtId="0" fontId="10" fillId="0" borderId="0" xfId="0" applyFont="1" applyAlignment="1">
      <alignment horizontal="left" vertical="center" wrapText="1"/>
    </xf>
    <xf numFmtId="0" fontId="0" fillId="0" borderId="43" xfId="0" applyBorder="1"/>
    <xf numFmtId="0" fontId="0" fillId="9" borderId="3" xfId="0" applyFill="1" applyBorder="1"/>
    <xf numFmtId="0" fontId="9" fillId="9" borderId="0" xfId="0" applyFont="1" applyFill="1" applyAlignment="1">
      <alignment horizontal="center" vertical="center" wrapText="1"/>
    </xf>
    <xf numFmtId="0" fontId="9" fillId="9" borderId="39" xfId="0" applyFont="1" applyFill="1" applyBorder="1" applyAlignment="1">
      <alignment horizontal="center" vertical="center" wrapText="1"/>
    </xf>
    <xf numFmtId="3" fontId="3" fillId="9" borderId="2" xfId="0" applyNumberFormat="1" applyFont="1" applyFill="1" applyBorder="1" applyAlignment="1">
      <alignment horizontal="center" vertical="center" wrapText="1"/>
    </xf>
    <xf numFmtId="3" fontId="20" fillId="9" borderId="2" xfId="0" applyNumberFormat="1" applyFont="1" applyFill="1" applyBorder="1" applyAlignment="1">
      <alignment horizontal="center" vertical="center" wrapText="1"/>
    </xf>
    <xf numFmtId="0" fontId="8" fillId="9" borderId="0" xfId="0" applyFont="1" applyFill="1" applyAlignment="1">
      <alignment horizontal="center"/>
    </xf>
    <xf numFmtId="3" fontId="3" fillId="9" borderId="0" xfId="0" applyNumberFormat="1" applyFont="1" applyFill="1" applyAlignment="1">
      <alignment horizontal="center" vertical="center" wrapText="1"/>
    </xf>
    <xf numFmtId="0" fontId="0" fillId="0" borderId="56" xfId="0" applyBorder="1"/>
    <xf numFmtId="3" fontId="3" fillId="0" borderId="34" xfId="0" applyNumberFormat="1" applyFont="1" applyBorder="1" applyAlignment="1">
      <alignment horizontal="center" vertical="center" wrapText="1"/>
    </xf>
    <xf numFmtId="168" fontId="2" fillId="0" borderId="34" xfId="0" applyNumberFormat="1" applyFont="1" applyBorder="1" applyAlignment="1">
      <alignment horizontal="center" vertical="center" wrapText="1"/>
    </xf>
    <xf numFmtId="0" fontId="0" fillId="0" borderId="48" xfId="0" applyBorder="1"/>
    <xf numFmtId="3" fontId="3" fillId="0" borderId="39" xfId="0" applyNumberFormat="1" applyFont="1" applyBorder="1" applyAlignment="1">
      <alignment horizontal="center" vertical="center" wrapText="1"/>
    </xf>
    <xf numFmtId="168" fontId="2" fillId="0" borderId="39" xfId="0" applyNumberFormat="1" applyFont="1" applyBorder="1" applyAlignment="1">
      <alignment horizontal="center" vertical="center" wrapText="1"/>
    </xf>
    <xf numFmtId="168" fontId="0" fillId="0" borderId="5" xfId="0" applyNumberFormat="1" applyBorder="1"/>
    <xf numFmtId="0" fontId="0" fillId="9" borderId="0" xfId="0" applyFill="1"/>
    <xf numFmtId="3" fontId="0" fillId="9" borderId="0" xfId="0" applyNumberFormat="1" applyFill="1"/>
    <xf numFmtId="168" fontId="2" fillId="9" borderId="0" xfId="0" applyNumberFormat="1" applyFont="1" applyFill="1" applyAlignment="1">
      <alignment horizontal="center" vertical="center" wrapText="1"/>
    </xf>
    <xf numFmtId="0" fontId="0" fillId="9" borderId="5" xfId="0" applyFill="1" applyBorder="1"/>
    <xf numFmtId="0" fontId="9" fillId="18" borderId="2" xfId="0" applyFont="1" applyFill="1" applyBorder="1" applyAlignment="1">
      <alignment horizontal="center" vertical="center" wrapText="1"/>
    </xf>
    <xf numFmtId="0" fontId="0" fillId="9" borderId="48" xfId="0" applyFill="1" applyBorder="1"/>
    <xf numFmtId="3" fontId="3" fillId="9" borderId="39" xfId="0" applyNumberFormat="1" applyFont="1" applyFill="1" applyBorder="1" applyAlignment="1">
      <alignment horizontal="center" vertical="center" wrapText="1"/>
    </xf>
    <xf numFmtId="3" fontId="0" fillId="9" borderId="5" xfId="0" applyNumberFormat="1" applyFill="1" applyBorder="1"/>
    <xf numFmtId="168" fontId="2" fillId="9" borderId="39" xfId="0" applyNumberFormat="1" applyFont="1" applyFill="1" applyBorder="1" applyAlignment="1">
      <alignment horizontal="center" vertical="center" wrapText="1"/>
    </xf>
    <xf numFmtId="168" fontId="0" fillId="9" borderId="5" xfId="0" applyNumberFormat="1" applyFill="1" applyBorder="1"/>
    <xf numFmtId="3" fontId="0" fillId="20" borderId="4" xfId="0" applyNumberFormat="1" applyFill="1" applyBorder="1"/>
    <xf numFmtId="3" fontId="20" fillId="20" borderId="0" xfId="0" applyNumberFormat="1" applyFont="1" applyFill="1" applyAlignment="1">
      <alignment horizontal="center" vertical="center" wrapText="1"/>
    </xf>
    <xf numFmtId="3" fontId="3" fillId="20" borderId="39" xfId="0" applyNumberFormat="1" applyFont="1" applyFill="1" applyBorder="1" applyAlignment="1">
      <alignment horizontal="center" vertical="center" wrapText="1"/>
    </xf>
    <xf numFmtId="3" fontId="0" fillId="20" borderId="3" xfId="0" applyNumberFormat="1" applyFill="1" applyBorder="1"/>
    <xf numFmtId="0" fontId="18" fillId="15" borderId="0" xfId="0" applyFont="1" applyFill="1" applyAlignment="1">
      <alignment horizontal="center" vertical="center" wrapText="1"/>
    </xf>
    <xf numFmtId="3" fontId="29" fillId="0" borderId="2" xfId="0" applyNumberFormat="1" applyFont="1" applyBorder="1" applyAlignment="1">
      <alignment horizontal="center" vertical="center" wrapText="1"/>
    </xf>
    <xf numFmtId="0" fontId="24" fillId="0" borderId="6" xfId="0" applyFont="1" applyBorder="1"/>
    <xf numFmtId="0" fontId="24" fillId="0" borderId="7" xfId="0" applyFont="1" applyBorder="1"/>
    <xf numFmtId="0" fontId="24" fillId="0" borderId="0" xfId="0" applyFont="1"/>
    <xf numFmtId="0" fontId="31" fillId="4" borderId="2" xfId="0" applyFont="1" applyFill="1" applyBorder="1" applyAlignment="1">
      <alignment horizontal="center" vertical="center" wrapText="1"/>
    </xf>
    <xf numFmtId="0" fontId="24" fillId="0" borderId="3" xfId="0" applyFont="1" applyBorder="1"/>
    <xf numFmtId="43" fontId="0" fillId="9" borderId="5" xfId="22" applyFont="1" applyFill="1" applyBorder="1"/>
    <xf numFmtId="43" fontId="0" fillId="9" borderId="5" xfId="0" applyNumberFormat="1" applyFill="1" applyBorder="1"/>
    <xf numFmtId="43" fontId="30" fillId="0" borderId="0" xfId="0" applyNumberFormat="1" applyFont="1" applyAlignment="1">
      <alignment horizontal="left" vertical="center" wrapText="1"/>
    </xf>
    <xf numFmtId="0" fontId="3" fillId="0" borderId="56" xfId="0" applyFont="1" applyBorder="1" applyAlignment="1">
      <alignment horizontal="center" vertical="center" wrapText="1"/>
    </xf>
    <xf numFmtId="0" fontId="3" fillId="0" borderId="42" xfId="0" applyFont="1" applyBorder="1" applyAlignment="1">
      <alignment horizontal="center" vertical="center" wrapText="1"/>
    </xf>
    <xf numFmtId="0" fontId="28" fillId="0" borderId="2" xfId="0" applyFont="1" applyBorder="1" applyAlignment="1">
      <alignment horizontal="center" vertical="center" wrapText="1"/>
    </xf>
    <xf numFmtId="3" fontId="2" fillId="9" borderId="2" xfId="0" applyNumberFormat="1" applyFont="1" applyFill="1" applyBorder="1" applyAlignment="1">
      <alignment horizontal="center" vertical="center" wrapText="1"/>
    </xf>
    <xf numFmtId="3" fontId="29" fillId="9" borderId="2" xfId="0" applyNumberFormat="1" applyFont="1" applyFill="1" applyBorder="1" applyAlignment="1">
      <alignment horizontal="center" vertical="center" wrapText="1"/>
    </xf>
    <xf numFmtId="3" fontId="3" fillId="9" borderId="2" xfId="21" applyNumberFormat="1" applyFont="1" applyFill="1" applyBorder="1" applyAlignment="1">
      <alignment horizontal="center" vertical="center" wrapText="1"/>
    </xf>
    <xf numFmtId="3" fontId="3" fillId="9" borderId="2" xfId="0" applyNumberFormat="1" applyFont="1" applyFill="1" applyBorder="1" applyAlignment="1">
      <alignment vertical="center" wrapText="1"/>
    </xf>
    <xf numFmtId="3" fontId="17" fillId="9" borderId="2" xfId="0" applyNumberFormat="1" applyFont="1" applyFill="1" applyBorder="1" applyAlignment="1">
      <alignment horizontal="center" vertical="center" wrapText="1"/>
    </xf>
    <xf numFmtId="3" fontId="19" fillId="9" borderId="2" xfId="0" applyNumberFormat="1" applyFont="1" applyFill="1" applyBorder="1" applyAlignment="1">
      <alignment horizontal="center" vertical="center" wrapText="1"/>
    </xf>
    <xf numFmtId="3" fontId="32" fillId="9" borderId="2" xfId="0" applyNumberFormat="1" applyFont="1" applyFill="1" applyBorder="1" applyAlignment="1">
      <alignment horizontal="center" vertical="center" wrapText="1"/>
    </xf>
    <xf numFmtId="3" fontId="19" fillId="9" borderId="2" xfId="21" applyNumberFormat="1" applyFont="1" applyFill="1" applyBorder="1" applyAlignment="1">
      <alignment horizontal="center" vertical="center" wrapText="1"/>
    </xf>
    <xf numFmtId="3" fontId="20" fillId="9" borderId="2" xfId="21" applyNumberFormat="1" applyFont="1" applyFill="1" applyBorder="1" applyAlignment="1">
      <alignment horizontal="center" vertical="center" wrapText="1"/>
    </xf>
    <xf numFmtId="3" fontId="3" fillId="21" borderId="2" xfId="0" applyNumberFormat="1" applyFont="1" applyFill="1" applyBorder="1" applyAlignment="1">
      <alignment horizontal="center" vertical="center" wrapText="1"/>
    </xf>
    <xf numFmtId="3" fontId="0" fillId="0" borderId="7" xfId="0" applyNumberFormat="1" applyBorder="1"/>
    <xf numFmtId="3" fontId="9" fillId="9" borderId="57" xfId="0" applyNumberFormat="1" applyFont="1" applyFill="1" applyBorder="1" applyAlignment="1">
      <alignment vertical="center" wrapText="1"/>
    </xf>
    <xf numFmtId="3" fontId="9" fillId="9" borderId="39" xfId="0" applyNumberFormat="1" applyFont="1" applyFill="1" applyBorder="1" applyAlignment="1">
      <alignment vertical="center" wrapText="1"/>
    </xf>
    <xf numFmtId="3" fontId="9" fillId="9" borderId="2" xfId="0" applyNumberFormat="1" applyFont="1" applyFill="1" applyBorder="1" applyAlignment="1">
      <alignment vertical="center" wrapText="1"/>
    </xf>
    <xf numFmtId="0" fontId="9" fillId="4" borderId="2" xfId="0" applyFont="1" applyFill="1" applyBorder="1" applyAlignment="1">
      <alignment vertical="center" wrapText="1"/>
    </xf>
    <xf numFmtId="3" fontId="3" fillId="19" borderId="2" xfId="0" applyNumberFormat="1" applyFont="1" applyFill="1" applyBorder="1" applyAlignment="1">
      <alignment horizontal="center" vertical="center" wrapText="1"/>
    </xf>
    <xf numFmtId="3" fontId="3" fillId="0" borderId="0" xfId="0" applyNumberFormat="1" applyFont="1" applyAlignment="1">
      <alignment horizontal="center" vertical="center" wrapText="1"/>
    </xf>
    <xf numFmtId="0" fontId="8" fillId="17" borderId="0" xfId="0" applyFont="1" applyFill="1" applyAlignment="1">
      <alignment horizontal="center" wrapText="1"/>
    </xf>
    <xf numFmtId="0" fontId="9" fillId="5" borderId="39" xfId="0" applyFont="1" applyFill="1" applyBorder="1" applyAlignment="1">
      <alignment horizontal="center" vertical="center" wrapText="1"/>
    </xf>
    <xf numFmtId="9" fontId="3" fillId="9" borderId="2" xfId="23" applyFont="1" applyFill="1" applyBorder="1" applyAlignment="1">
      <alignment horizontal="center" vertical="center" wrapText="1"/>
    </xf>
    <xf numFmtId="3" fontId="3" fillId="22" borderId="2" xfId="0" applyNumberFormat="1" applyFont="1" applyFill="1" applyBorder="1" applyAlignment="1">
      <alignment horizontal="center" vertical="center" wrapText="1"/>
    </xf>
    <xf numFmtId="0" fontId="9" fillId="4" borderId="34" xfId="0" applyFont="1" applyFill="1" applyBorder="1" applyAlignment="1">
      <alignment horizontal="center" vertical="center" wrapText="1"/>
    </xf>
    <xf numFmtId="9" fontId="3" fillId="9" borderId="34" xfId="23" applyFont="1" applyFill="1" applyBorder="1" applyAlignment="1">
      <alignment horizontal="center" vertical="center" wrapText="1"/>
    </xf>
    <xf numFmtId="3" fontId="3" fillId="23" borderId="2" xfId="0" applyNumberFormat="1" applyFont="1" applyFill="1" applyBorder="1" applyAlignment="1">
      <alignment horizontal="center" vertical="center" wrapText="1"/>
    </xf>
    <xf numFmtId="170" fontId="3" fillId="9" borderId="2" xfId="23" applyNumberFormat="1" applyFont="1" applyFill="1" applyBorder="1" applyAlignment="1">
      <alignment horizontal="center" vertical="center" wrapText="1"/>
    </xf>
    <xf numFmtId="168" fontId="0" fillId="0" borderId="3" xfId="0" applyNumberFormat="1" applyBorder="1"/>
    <xf numFmtId="0" fontId="24" fillId="0" borderId="3" xfId="0" applyFont="1" applyBorder="1" applyAlignment="1">
      <alignment vertical="center" wrapText="1"/>
    </xf>
    <xf numFmtId="0" fontId="9" fillId="24" borderId="2" xfId="0" applyFont="1" applyFill="1" applyBorder="1" applyAlignment="1">
      <alignment horizontal="center" vertical="center" wrapText="1"/>
    </xf>
    <xf numFmtId="0" fontId="24" fillId="0" borderId="0" xfId="0" applyFont="1" applyAlignment="1">
      <alignment vertical="center" wrapText="1"/>
    </xf>
    <xf numFmtId="0" fontId="24" fillId="0" borderId="48" xfId="0" applyFont="1" applyBorder="1" applyAlignment="1">
      <alignment vertical="center" wrapText="1"/>
    </xf>
    <xf numFmtId="0" fontId="24" fillId="0" borderId="5" xfId="0" applyFont="1" applyBorder="1" applyAlignment="1">
      <alignment vertical="center" wrapText="1"/>
    </xf>
    <xf numFmtId="0" fontId="9" fillId="25" borderId="2" xfId="0" applyFont="1" applyFill="1" applyBorder="1" applyAlignment="1">
      <alignment horizontal="center" vertical="center" wrapText="1"/>
    </xf>
    <xf numFmtId="0" fontId="9" fillId="5" borderId="2" xfId="0" applyFont="1" applyFill="1" applyBorder="1" applyAlignment="1">
      <alignment vertical="center" wrapText="1"/>
    </xf>
    <xf numFmtId="0" fontId="13" fillId="0" borderId="34" xfId="0" applyFont="1" applyBorder="1" applyAlignment="1">
      <alignment horizontal="center" vertical="center" wrapText="1"/>
    </xf>
    <xf numFmtId="0" fontId="13" fillId="0" borderId="35" xfId="0" applyFont="1" applyBorder="1" applyAlignment="1">
      <alignment horizontal="center" vertical="center" wrapText="1"/>
    </xf>
    <xf numFmtId="0" fontId="11" fillId="6" borderId="23" xfId="0" applyFont="1" applyFill="1" applyBorder="1" applyAlignment="1">
      <alignment horizontal="center" vertical="center"/>
    </xf>
    <xf numFmtId="0" fontId="11" fillId="6" borderId="24" xfId="0" applyFont="1" applyFill="1" applyBorder="1" applyAlignment="1">
      <alignment horizontal="center" vertical="center"/>
    </xf>
    <xf numFmtId="0" fontId="11" fillId="6" borderId="22" xfId="0" applyFont="1" applyFill="1" applyBorder="1" applyAlignment="1">
      <alignment horizontal="center" vertical="center"/>
    </xf>
    <xf numFmtId="0" fontId="11" fillId="6" borderId="41" xfId="0" applyFont="1" applyFill="1" applyBorder="1" applyAlignment="1">
      <alignment horizontal="center" vertical="center"/>
    </xf>
    <xf numFmtId="0" fontId="11" fillId="6" borderId="27" xfId="0" applyFont="1" applyFill="1" applyBorder="1" applyAlignment="1">
      <alignment horizontal="center" vertical="center"/>
    </xf>
    <xf numFmtId="0" fontId="11" fillId="6" borderId="16" xfId="0" applyFont="1" applyFill="1" applyBorder="1" applyAlignment="1">
      <alignment horizontal="center" vertical="center"/>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40" xfId="0" applyFont="1" applyBorder="1" applyAlignment="1">
      <alignment horizontal="center" vertical="center" wrapText="1"/>
    </xf>
    <xf numFmtId="0" fontId="13" fillId="0" borderId="17" xfId="0" applyFont="1" applyBorder="1" applyAlignment="1">
      <alignment horizontal="center" vertical="center"/>
    </xf>
    <xf numFmtId="0" fontId="13" fillId="0" borderId="20"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9" xfId="0" applyFont="1" applyBorder="1" applyAlignment="1">
      <alignment horizontal="center" vertical="center" wrapText="1"/>
    </xf>
    <xf numFmtId="0" fontId="11" fillId="6" borderId="31" xfId="0" applyFont="1" applyFill="1" applyBorder="1" applyAlignment="1">
      <alignment horizontal="center" vertical="center"/>
    </xf>
    <xf numFmtId="0" fontId="11" fillId="6" borderId="32" xfId="0" applyFont="1" applyFill="1" applyBorder="1" applyAlignment="1">
      <alignment horizontal="center" vertical="center"/>
    </xf>
    <xf numFmtId="0" fontId="11" fillId="6" borderId="33" xfId="0" applyFont="1" applyFill="1" applyBorder="1" applyAlignment="1">
      <alignment horizontal="center" vertical="center"/>
    </xf>
    <xf numFmtId="0" fontId="13" fillId="0" borderId="29" xfId="0" applyFont="1" applyBorder="1" applyAlignment="1">
      <alignment horizontal="center" vertical="center"/>
    </xf>
    <xf numFmtId="0" fontId="13" fillId="0" borderId="2" xfId="0" applyFont="1" applyBorder="1" applyAlignment="1">
      <alignment horizontal="center" vertical="center" wrapText="1"/>
    </xf>
    <xf numFmtId="44" fontId="15" fillId="7" borderId="2" xfId="0" applyNumberFormat="1" applyFont="1" applyFill="1" applyBorder="1" applyAlignment="1">
      <alignment horizontal="center" vertical="center"/>
    </xf>
    <xf numFmtId="0" fontId="9" fillId="5" borderId="2" xfId="0" applyFont="1" applyFill="1" applyBorder="1" applyAlignment="1">
      <alignment horizontal="center" vertical="center" wrapText="1"/>
    </xf>
    <xf numFmtId="0" fontId="9" fillId="24" borderId="34" xfId="0" applyFont="1" applyFill="1" applyBorder="1" applyAlignment="1">
      <alignment horizontal="center" vertical="center" wrapText="1"/>
    </xf>
    <xf numFmtId="0" fontId="9" fillId="24" borderId="57" xfId="0" applyFont="1" applyFill="1" applyBorder="1" applyAlignment="1">
      <alignment horizontal="center" vertical="center" wrapText="1"/>
    </xf>
    <xf numFmtId="0" fontId="9" fillId="24" borderId="39" xfId="0" applyFont="1" applyFill="1" applyBorder="1" applyAlignment="1">
      <alignment horizontal="center" vertical="center" wrapText="1"/>
    </xf>
    <xf numFmtId="0" fontId="26" fillId="0" borderId="2" xfId="0" applyFont="1" applyBorder="1" applyAlignment="1">
      <alignment horizontal="center" vertical="center"/>
    </xf>
    <xf numFmtId="0" fontId="27" fillId="8" borderId="34" xfId="0" applyFont="1" applyFill="1" applyBorder="1" applyAlignment="1">
      <alignment horizontal="left"/>
    </xf>
    <xf numFmtId="0" fontId="27" fillId="8" borderId="39" xfId="0" applyFont="1" applyFill="1" applyBorder="1" applyAlignment="1">
      <alignment horizontal="left"/>
    </xf>
    <xf numFmtId="9" fontId="27" fillId="8" borderId="58" xfId="0" applyNumberFormat="1" applyFont="1" applyFill="1" applyBorder="1" applyAlignment="1">
      <alignment horizontal="center"/>
    </xf>
    <xf numFmtId="9" fontId="27" fillId="8" borderId="0" xfId="0" applyNumberFormat="1" applyFont="1" applyFill="1" applyAlignment="1">
      <alignment horizontal="center"/>
    </xf>
    <xf numFmtId="0" fontId="2" fillId="4" borderId="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9" xfId="0" applyFont="1" applyBorder="1" applyAlignment="1">
      <alignment horizontal="left" vertical="center" wrapText="1"/>
    </xf>
    <xf numFmtId="0" fontId="10" fillId="0" borderId="14" xfId="0" applyFont="1" applyBorder="1" applyAlignment="1">
      <alignment horizontal="left" vertical="center" wrapText="1"/>
    </xf>
    <xf numFmtId="0" fontId="10" fillId="0" borderId="10" xfId="0" applyFont="1" applyBorder="1" applyAlignment="1">
      <alignment horizontal="left" vertical="center" wrapText="1"/>
    </xf>
    <xf numFmtId="0" fontId="8" fillId="5" borderId="2" xfId="0" applyFont="1" applyFill="1" applyBorder="1" applyAlignment="1">
      <alignment horizontal="center" wrapText="1"/>
    </xf>
    <xf numFmtId="0" fontId="9" fillId="4" borderId="2"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4" borderId="57" xfId="0" applyFont="1" applyFill="1" applyBorder="1" applyAlignment="1">
      <alignment horizontal="center" vertical="center" wrapText="1"/>
    </xf>
    <xf numFmtId="0" fontId="9" fillId="4" borderId="39" xfId="0" applyFont="1" applyFill="1" applyBorder="1" applyAlignment="1">
      <alignment horizontal="center" vertical="center" wrapText="1"/>
    </xf>
    <xf numFmtId="0" fontId="8" fillId="9" borderId="59" xfId="0" applyFont="1" applyFill="1" applyBorder="1" applyAlignment="1">
      <alignment horizontal="center"/>
    </xf>
    <xf numFmtId="0" fontId="8" fillId="9" borderId="14" xfId="0" applyFont="1" applyFill="1" applyBorder="1" applyAlignment="1">
      <alignment horizontal="center"/>
    </xf>
    <xf numFmtId="3" fontId="9" fillId="9" borderId="34" xfId="0" applyNumberFormat="1" applyFont="1" applyFill="1" applyBorder="1" applyAlignment="1">
      <alignment horizontal="center" vertical="center" wrapText="1"/>
    </xf>
    <xf numFmtId="3" fontId="9" fillId="9" borderId="57" xfId="0" applyNumberFormat="1" applyFont="1" applyFill="1" applyBorder="1" applyAlignment="1">
      <alignment horizontal="center" vertical="center" wrapText="1"/>
    </xf>
    <xf numFmtId="3" fontId="2" fillId="4" borderId="2" xfId="0" applyNumberFormat="1" applyFont="1" applyFill="1" applyBorder="1" applyAlignment="1">
      <alignment horizontal="center" vertical="center" wrapText="1"/>
    </xf>
    <xf numFmtId="3" fontId="3" fillId="9" borderId="2" xfId="0" applyNumberFormat="1" applyFont="1" applyFill="1" applyBorder="1" applyAlignment="1">
      <alignment horizontal="center" vertical="center" wrapText="1"/>
    </xf>
    <xf numFmtId="3" fontId="3" fillId="0" borderId="2" xfId="0" applyNumberFormat="1" applyFont="1" applyBorder="1" applyAlignment="1">
      <alignment horizontal="center" vertical="center" wrapText="1"/>
    </xf>
    <xf numFmtId="3" fontId="2" fillId="9" borderId="2" xfId="0" applyNumberFormat="1" applyFont="1" applyFill="1" applyBorder="1" applyAlignment="1">
      <alignment horizontal="center" vertical="center" wrapText="1"/>
    </xf>
    <xf numFmtId="3" fontId="9" fillId="9" borderId="39" xfId="0" applyNumberFormat="1" applyFont="1" applyFill="1" applyBorder="1" applyAlignment="1">
      <alignment horizontal="center" vertical="center" wrapText="1"/>
    </xf>
    <xf numFmtId="0" fontId="9" fillId="5" borderId="36" xfId="0" applyFont="1" applyFill="1" applyBorder="1" applyAlignment="1">
      <alignment horizontal="center" vertical="center" wrapText="1"/>
    </xf>
    <xf numFmtId="0" fontId="9" fillId="5" borderId="38" xfId="0" applyFont="1" applyFill="1" applyBorder="1" applyAlignment="1">
      <alignment horizontal="center" vertical="center" wrapText="1"/>
    </xf>
    <xf numFmtId="0" fontId="8" fillId="9" borderId="60" xfId="0" applyFont="1" applyFill="1" applyBorder="1" applyAlignment="1">
      <alignment horizontal="center"/>
    </xf>
    <xf numFmtId="0" fontId="9" fillId="25" borderId="34" xfId="0" applyFont="1" applyFill="1" applyBorder="1" applyAlignment="1">
      <alignment horizontal="center" vertical="center" wrapText="1"/>
    </xf>
    <xf numFmtId="0" fontId="9" fillId="25" borderId="57" xfId="0" applyFont="1" applyFill="1" applyBorder="1" applyAlignment="1">
      <alignment horizontal="center" vertical="center" wrapText="1"/>
    </xf>
    <xf numFmtId="0" fontId="9" fillId="25" borderId="39" xfId="0" applyFont="1" applyFill="1" applyBorder="1" applyAlignment="1">
      <alignment horizontal="center" vertical="center" wrapText="1"/>
    </xf>
    <xf numFmtId="3" fontId="19" fillId="9" borderId="2" xfId="0" applyNumberFormat="1" applyFont="1" applyFill="1" applyBorder="1" applyAlignment="1">
      <alignment horizontal="center" vertical="center" wrapText="1"/>
    </xf>
    <xf numFmtId="0" fontId="18" fillId="15" borderId="2"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57" xfId="0" applyFont="1" applyFill="1" applyBorder="1" applyAlignment="1">
      <alignment horizontal="center" vertical="center" wrapText="1"/>
    </xf>
    <xf numFmtId="0" fontId="9" fillId="13" borderId="39" xfId="0" applyFont="1" applyFill="1" applyBorder="1" applyAlignment="1">
      <alignment horizontal="center" vertical="center" wrapText="1"/>
    </xf>
    <xf numFmtId="0" fontId="9" fillId="18" borderId="34" xfId="0" applyFont="1" applyFill="1" applyBorder="1" applyAlignment="1">
      <alignment horizontal="center" vertical="center" wrapText="1"/>
    </xf>
    <xf numFmtId="0" fontId="9" fillId="18" borderId="57" xfId="0" applyFont="1" applyFill="1" applyBorder="1" applyAlignment="1">
      <alignment horizontal="center" vertical="center" wrapText="1"/>
    </xf>
    <xf numFmtId="3" fontId="9" fillId="9" borderId="2" xfId="0" applyNumberFormat="1"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11" borderId="57" xfId="0" applyFont="1" applyFill="1" applyBorder="1" applyAlignment="1">
      <alignment horizontal="center" vertical="center" wrapText="1"/>
    </xf>
    <xf numFmtId="0" fontId="9" fillId="11" borderId="39"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10" borderId="57" xfId="0" applyFont="1" applyFill="1" applyBorder="1" applyAlignment="1">
      <alignment horizontal="center" vertical="center" wrapText="1"/>
    </xf>
    <xf numFmtId="0" fontId="9" fillId="10" borderId="39" xfId="0" applyFont="1" applyFill="1" applyBorder="1" applyAlignment="1">
      <alignment horizontal="center" vertical="center" wrapText="1"/>
    </xf>
    <xf numFmtId="0" fontId="9" fillId="12" borderId="34" xfId="0" applyFont="1" applyFill="1" applyBorder="1" applyAlignment="1">
      <alignment horizontal="center" vertical="center" wrapText="1"/>
    </xf>
    <xf numFmtId="0" fontId="9" fillId="12" borderId="57" xfId="0" applyFont="1" applyFill="1" applyBorder="1" applyAlignment="1">
      <alignment horizontal="center" vertical="center" wrapText="1"/>
    </xf>
    <xf numFmtId="0" fontId="9" fillId="12" borderId="39" xfId="0" applyFont="1" applyFill="1" applyBorder="1" applyAlignment="1">
      <alignment horizontal="center" vertical="center" wrapText="1"/>
    </xf>
    <xf numFmtId="0" fontId="17" fillId="14" borderId="34" xfId="0" applyFont="1" applyFill="1" applyBorder="1" applyAlignment="1">
      <alignment horizontal="center" vertical="center" wrapText="1"/>
    </xf>
    <xf numFmtId="0" fontId="17" fillId="14" borderId="57" xfId="0" applyFont="1" applyFill="1" applyBorder="1" applyAlignment="1">
      <alignment horizontal="center" vertical="center" wrapText="1"/>
    </xf>
    <xf numFmtId="0" fontId="17" fillId="14" borderId="39" xfId="0" applyFont="1" applyFill="1" applyBorder="1" applyAlignment="1">
      <alignment horizontal="center" vertical="center" wrapText="1"/>
    </xf>
    <xf numFmtId="0" fontId="8" fillId="17" borderId="14" xfId="0" applyFont="1" applyFill="1" applyBorder="1" applyAlignment="1">
      <alignment horizontal="center" wrapText="1"/>
    </xf>
    <xf numFmtId="0" fontId="8" fillId="19" borderId="9" xfId="0" applyFont="1" applyFill="1" applyBorder="1" applyAlignment="1">
      <alignment horizontal="center" wrapText="1"/>
    </xf>
    <xf numFmtId="0" fontId="8" fillId="19" borderId="14" xfId="0" applyFont="1" applyFill="1" applyBorder="1" applyAlignment="1">
      <alignment horizontal="center" wrapText="1"/>
    </xf>
    <xf numFmtId="0" fontId="24" fillId="2"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9" fillId="4" borderId="36" xfId="0" applyFont="1" applyFill="1" applyBorder="1" applyAlignment="1">
      <alignment horizontal="center" vertical="center" wrapText="1"/>
    </xf>
    <xf numFmtId="0" fontId="2" fillId="0" borderId="44"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1"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52" xfId="0" applyFont="1" applyBorder="1" applyAlignment="1">
      <alignment horizontal="center" vertical="center" wrapText="1"/>
    </xf>
    <xf numFmtId="0" fontId="0" fillId="0" borderId="48" xfId="0" applyBorder="1" applyAlignment="1">
      <alignment horizontal="center" vertical="center" wrapText="1"/>
    </xf>
    <xf numFmtId="0" fontId="0" fillId="0" borderId="50" xfId="0" applyBorder="1" applyAlignment="1">
      <alignment horizontal="center" vertical="center" wrapText="1"/>
    </xf>
    <xf numFmtId="0" fontId="0" fillId="0" borderId="42" xfId="0"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3" fillId="0" borderId="38" xfId="0" applyFont="1" applyBorder="1" applyAlignment="1">
      <alignment horizontal="center" vertical="center" wrapText="1"/>
    </xf>
    <xf numFmtId="0" fontId="2" fillId="0" borderId="36"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9" xfId="0" applyFont="1" applyBorder="1" applyAlignment="1">
      <alignment horizontal="center" vertical="center" wrapText="1"/>
    </xf>
    <xf numFmtId="0" fontId="8" fillId="0" borderId="2" xfId="0" applyFont="1" applyBorder="1" applyAlignment="1">
      <alignment horizontal="center" vertical="center"/>
    </xf>
    <xf numFmtId="0" fontId="0" fillId="0" borderId="43" xfId="0" applyBorder="1" applyAlignment="1">
      <alignment horizontal="center"/>
    </xf>
    <xf numFmtId="0" fontId="0" fillId="0" borderId="48" xfId="0" applyBorder="1" applyAlignment="1">
      <alignment horizontal="center"/>
    </xf>
    <xf numFmtId="0" fontId="0" fillId="0" borderId="55" xfId="0" applyBorder="1" applyAlignment="1">
      <alignment horizontal="center"/>
    </xf>
    <xf numFmtId="0" fontId="0" fillId="0" borderId="50" xfId="0" applyBorder="1" applyAlignment="1">
      <alignment horizontal="center"/>
    </xf>
    <xf numFmtId="0" fontId="0" fillId="0" borderId="56" xfId="0" applyBorder="1" applyAlignment="1">
      <alignment horizontal="center"/>
    </xf>
    <xf numFmtId="0" fontId="0" fillId="0" borderId="42" xfId="0" applyBorder="1" applyAlignment="1">
      <alignment horizontal="center"/>
    </xf>
  </cellXfs>
  <cellStyles count="24">
    <cellStyle name="Currency [0]" xfId="19"/>
    <cellStyle name="Millares" xfId="22" builtinId="3"/>
    <cellStyle name="Millares [0] 2" xfId="7"/>
    <cellStyle name="Millares 2" xfId="6"/>
    <cellStyle name="Millares 2 2" xfId="13"/>
    <cellStyle name="Millares 3" xfId="9"/>
    <cellStyle name="Millares 3 2" xfId="14"/>
    <cellStyle name="Millares 4" xfId="11"/>
    <cellStyle name="Millares 41" xfId="12"/>
    <cellStyle name="Moneda" xfId="21" builtinId="4"/>
    <cellStyle name="Moneda 2" xfId="1"/>
    <cellStyle name="Moneda 2 2" xfId="8"/>
    <cellStyle name="Moneda 3" xfId="3"/>
    <cellStyle name="Moneda 3 2" xfId="15"/>
    <cellStyle name="Moneda 4" xfId="5"/>
    <cellStyle name="Moneda 5" xfId="18"/>
    <cellStyle name="Normal" xfId="0" builtinId="0"/>
    <cellStyle name="Normal 2" xfId="2"/>
    <cellStyle name="Normal 2 2" xfId="10"/>
    <cellStyle name="Normal 3" xfId="20"/>
    <cellStyle name="Porcentaje" xfId="23" builtinId="5"/>
    <cellStyle name="Porcentaje 2" xfId="4"/>
    <cellStyle name="xls-style-2" xfId="16"/>
    <cellStyle name="xls-style-3" xfId="17"/>
  </cellStyles>
  <dxfs count="0"/>
  <tableStyles count="0" defaultTableStyle="TableStyleMedium2" defaultPivotStyle="PivotStyleLight16"/>
  <colors>
    <mruColors>
      <color rgb="FFFFFFCC"/>
      <color rgb="FFF9D3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26"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17/06/relationships/rdRichValueStructure" Target="richData/rdrichvaluestructure.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107651</xdr:rowOff>
    </xdr:to>
    <xdr:pic>
      <xdr:nvPicPr>
        <xdr:cNvPr id="2" name="Imagen 1" descr="Patrón de fondo&#10;&#10;Descripción generada automáticamente con confianza media">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926" y="227703"/>
          <a:ext cx="1201943" cy="6114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107651</xdr:rowOff>
    </xdr:to>
    <xdr:pic>
      <xdr:nvPicPr>
        <xdr:cNvPr id="2" name="Imagen 1" descr="Patrón de fondo&#10;&#10;Descripción generada automáticamente con confianza media">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926" y="227703"/>
          <a:ext cx="1201943" cy="6114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107651</xdr:rowOff>
    </xdr:to>
    <xdr:pic>
      <xdr:nvPicPr>
        <xdr:cNvPr id="2" name="Imagen 1" descr="Patrón de fondo&#10;&#10;Descripción generada automáticamente con confianza media">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006" y="228973"/>
          <a:ext cx="1212103" cy="6121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962959</xdr:colOff>
      <xdr:row>4</xdr:row>
      <xdr:rowOff>123526</xdr:rowOff>
    </xdr:to>
    <xdr:pic>
      <xdr:nvPicPr>
        <xdr:cNvPr id="2" name="Imagen 1" descr="Patrón de fondo&#10;&#10;Descripción generada automáticamente con confianza media">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006" y="228973"/>
          <a:ext cx="1212103" cy="61845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222250</xdr:colOff>
          <xdr:row>1</xdr:row>
          <xdr:rowOff>6350</xdr:rowOff>
        </xdr:from>
        <xdr:to>
          <xdr:col>8</xdr:col>
          <xdr:colOff>374650</xdr:colOff>
          <xdr:row>27</xdr:row>
          <xdr:rowOff>139700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444500</xdr:colOff>
          <xdr:row>0</xdr:row>
          <xdr:rowOff>177800</xdr:rowOff>
        </xdr:from>
        <xdr:to>
          <xdr:col>7</xdr:col>
          <xdr:colOff>711200</xdr:colOff>
          <xdr:row>44</xdr:row>
          <xdr:rowOff>139700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6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6</xdr:col>
          <xdr:colOff>457200</xdr:colOff>
          <xdr:row>21</xdr:row>
          <xdr:rowOff>88900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6</xdr:col>
          <xdr:colOff>457200</xdr:colOff>
          <xdr:row>21</xdr:row>
          <xdr:rowOff>88900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277906</xdr:colOff>
      <xdr:row>1</xdr:row>
      <xdr:rowOff>44823</xdr:rowOff>
    </xdr:from>
    <xdr:to>
      <xdr:col>2</xdr:col>
      <xdr:colOff>969309</xdr:colOff>
      <xdr:row>4</xdr:row>
      <xdr:rowOff>107651</xdr:rowOff>
    </xdr:to>
    <xdr:pic>
      <xdr:nvPicPr>
        <xdr:cNvPr id="2" name="Imagen 1" descr="Patrón de fondo&#10;&#10;Descripción generada automáticamente con confianza media">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006" y="228973"/>
          <a:ext cx="1212103" cy="61527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15</xdr:col>
      <xdr:colOff>197448</xdr:colOff>
      <xdr:row>24</xdr:row>
      <xdr:rowOff>146275</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0" y="184150"/>
          <a:ext cx="11627448" cy="43817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15</xdr:col>
      <xdr:colOff>559416</xdr:colOff>
      <xdr:row>26</xdr:row>
      <xdr:rowOff>70090</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184150"/>
          <a:ext cx="11989416" cy="467384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5</xdr:col>
          <xdr:colOff>76200</xdr:colOff>
          <xdr:row>28</xdr:row>
          <xdr:rowOff>63500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C00-0000014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476862</xdr:colOff>
      <xdr:row>24</xdr:row>
      <xdr:rowOff>139934</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0" y="0"/>
          <a:ext cx="11906862" cy="455953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4.emf"/><Relationship Id="rId4" Type="http://schemas.openxmlformats.org/officeDocument/2006/relationships/oleObject" Target="../embeddings/oleObject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image" Target="../media/image6.emf"/><Relationship Id="rId4" Type="http://schemas.openxmlformats.org/officeDocument/2006/relationships/oleObject" Target="../embeddings/oleObject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1.bin"/><Relationship Id="rId5" Type="http://schemas.openxmlformats.org/officeDocument/2006/relationships/image" Target="../media/image9.emf"/><Relationship Id="rId4" Type="http://schemas.openxmlformats.org/officeDocument/2006/relationships/oleObject" Target="../embeddings/oleObject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J36"/>
  <sheetViews>
    <sheetView topLeftCell="A29" workbookViewId="0">
      <selection activeCell="H29" sqref="H29"/>
    </sheetView>
  </sheetViews>
  <sheetFormatPr baseColWidth="10" defaultRowHeight="14.5" x14ac:dyDescent="0.35"/>
  <cols>
    <col min="1" max="1" width="7.81640625" customWidth="1"/>
    <col min="2" max="2" width="6.1796875" customWidth="1"/>
    <col min="3" max="3" width="28.6328125" customWidth="1"/>
    <col min="4" max="4" width="28.1796875" customWidth="1"/>
    <col min="5" max="5" width="28.453125" customWidth="1"/>
    <col min="6" max="6" width="23.453125" customWidth="1"/>
    <col min="7" max="7" width="13.81640625" customWidth="1"/>
    <col min="9" max="9" width="16.453125" customWidth="1"/>
  </cols>
  <sheetData>
    <row r="1" spans="2:10" ht="15" thickBot="1" x14ac:dyDescent="0.4"/>
    <row r="2" spans="2:10" ht="21" x14ac:dyDescent="0.35">
      <c r="B2" s="191" t="s">
        <v>16</v>
      </c>
      <c r="C2" s="192"/>
      <c r="D2" s="192"/>
      <c r="E2" s="192"/>
      <c r="F2" s="192"/>
      <c r="G2" s="192"/>
      <c r="H2" s="192"/>
      <c r="I2" s="192"/>
      <c r="J2" s="193"/>
    </row>
    <row r="3" spans="2:10" ht="23" x14ac:dyDescent="0.35">
      <c r="B3" s="45" t="s">
        <v>17</v>
      </c>
      <c r="C3" s="38" t="s">
        <v>18</v>
      </c>
      <c r="D3" s="38" t="s">
        <v>19</v>
      </c>
      <c r="E3" s="38" t="s">
        <v>20</v>
      </c>
      <c r="F3" s="38" t="s">
        <v>21</v>
      </c>
      <c r="G3" s="38" t="s">
        <v>22</v>
      </c>
      <c r="H3" s="38" t="s">
        <v>23</v>
      </c>
      <c r="I3" s="37" t="s">
        <v>24</v>
      </c>
      <c r="J3" s="46" t="s">
        <v>25</v>
      </c>
    </row>
    <row r="4" spans="2:10" ht="69" x14ac:dyDescent="0.35">
      <c r="B4" s="47">
        <v>1</v>
      </c>
      <c r="C4" s="39" t="s">
        <v>27</v>
      </c>
      <c r="D4" s="39" t="s">
        <v>28</v>
      </c>
      <c r="E4" s="39" t="s">
        <v>29</v>
      </c>
      <c r="F4" s="39" t="s">
        <v>30</v>
      </c>
      <c r="G4" s="40" t="s">
        <v>31</v>
      </c>
      <c r="H4" s="41" t="s">
        <v>32</v>
      </c>
      <c r="I4" s="42"/>
      <c r="J4" s="48">
        <v>12</v>
      </c>
    </row>
    <row r="5" spans="2:10" ht="46" x14ac:dyDescent="0.35">
      <c r="B5" s="47">
        <v>2</v>
      </c>
      <c r="C5" s="43" t="s">
        <v>33</v>
      </c>
      <c r="D5" s="39" t="s">
        <v>34</v>
      </c>
      <c r="E5" s="39" t="s">
        <v>35</v>
      </c>
      <c r="F5" s="39" t="s">
        <v>36</v>
      </c>
      <c r="G5" s="40" t="s">
        <v>31</v>
      </c>
      <c r="H5" s="41" t="s">
        <v>32</v>
      </c>
      <c r="I5" s="44"/>
      <c r="J5" s="48">
        <v>12</v>
      </c>
    </row>
    <row r="6" spans="2:10" ht="46" x14ac:dyDescent="0.35">
      <c r="B6" s="47">
        <v>3</v>
      </c>
      <c r="C6" s="43" t="s">
        <v>37</v>
      </c>
      <c r="D6" s="39" t="s">
        <v>38</v>
      </c>
      <c r="E6" s="39" t="s">
        <v>39</v>
      </c>
      <c r="F6" s="39"/>
      <c r="G6" s="40" t="s">
        <v>31</v>
      </c>
      <c r="H6" s="41" t="s">
        <v>32</v>
      </c>
      <c r="I6" s="44"/>
      <c r="J6" s="48">
        <v>12</v>
      </c>
    </row>
    <row r="7" spans="2:10" ht="23" x14ac:dyDescent="0.35">
      <c r="B7" s="194">
        <v>4</v>
      </c>
      <c r="C7" s="195" t="s">
        <v>40</v>
      </c>
      <c r="D7" s="39" t="s">
        <v>41</v>
      </c>
      <c r="E7" s="39" t="s">
        <v>42</v>
      </c>
      <c r="F7" s="39"/>
      <c r="G7" s="40" t="s">
        <v>31</v>
      </c>
      <c r="H7" s="44"/>
      <c r="I7" s="196" t="s">
        <v>43</v>
      </c>
      <c r="J7" s="48">
        <v>1</v>
      </c>
    </row>
    <row r="8" spans="2:10" ht="23" x14ac:dyDescent="0.35">
      <c r="B8" s="194"/>
      <c r="C8" s="195"/>
      <c r="D8" s="39" t="s">
        <v>44</v>
      </c>
      <c r="E8" s="39" t="s">
        <v>45</v>
      </c>
      <c r="F8" s="39"/>
      <c r="G8" s="40" t="s">
        <v>31</v>
      </c>
      <c r="H8" s="44"/>
      <c r="I8" s="196"/>
      <c r="J8" s="48">
        <v>1</v>
      </c>
    </row>
    <row r="9" spans="2:10" ht="23" x14ac:dyDescent="0.35">
      <c r="B9" s="194"/>
      <c r="C9" s="195"/>
      <c r="D9" s="39" t="s">
        <v>46</v>
      </c>
      <c r="E9" s="39" t="s">
        <v>47</v>
      </c>
      <c r="F9" s="39"/>
      <c r="G9" s="40" t="s">
        <v>31</v>
      </c>
      <c r="H9" s="44"/>
      <c r="I9" s="196"/>
      <c r="J9" s="48">
        <v>10</v>
      </c>
    </row>
    <row r="10" spans="2:10" x14ac:dyDescent="0.35">
      <c r="B10" s="31"/>
      <c r="C10" s="32"/>
      <c r="D10" s="32"/>
      <c r="E10" s="32"/>
      <c r="F10" s="32"/>
      <c r="G10" s="33"/>
      <c r="H10" s="34"/>
      <c r="I10" s="35"/>
      <c r="J10" s="36"/>
    </row>
    <row r="11" spans="2:10" ht="15" thickBot="1" x14ac:dyDescent="0.4">
      <c r="B11" s="31"/>
      <c r="C11" s="32"/>
      <c r="D11" s="32"/>
      <c r="E11" s="32"/>
      <c r="F11" s="32"/>
      <c r="G11" s="33"/>
      <c r="H11" s="34"/>
      <c r="I11" s="35"/>
      <c r="J11" s="36"/>
    </row>
    <row r="12" spans="2:10" ht="21" x14ac:dyDescent="0.35">
      <c r="B12" s="191" t="s">
        <v>48</v>
      </c>
      <c r="C12" s="192"/>
      <c r="D12" s="192"/>
      <c r="E12" s="192"/>
      <c r="F12" s="192"/>
      <c r="G12" s="192"/>
      <c r="H12" s="192"/>
      <c r="I12" s="192"/>
      <c r="J12" s="193"/>
    </row>
    <row r="13" spans="2:10" ht="23" x14ac:dyDescent="0.35">
      <c r="B13" s="45" t="s">
        <v>17</v>
      </c>
      <c r="C13" s="38" t="s">
        <v>18</v>
      </c>
      <c r="D13" s="38" t="s">
        <v>19</v>
      </c>
      <c r="E13" s="38" t="s">
        <v>20</v>
      </c>
      <c r="F13" s="38" t="s">
        <v>21</v>
      </c>
      <c r="G13" s="38" t="s">
        <v>22</v>
      </c>
      <c r="H13" s="38" t="s">
        <v>49</v>
      </c>
      <c r="I13" s="181" t="s">
        <v>25</v>
      </c>
      <c r="J13" s="182"/>
    </row>
    <row r="14" spans="2:10" ht="34.5" x14ac:dyDescent="0.35">
      <c r="B14" s="45">
        <v>5</v>
      </c>
      <c r="C14" s="39" t="s">
        <v>50</v>
      </c>
      <c r="D14" s="39" t="s">
        <v>51</v>
      </c>
      <c r="E14" s="39" t="s">
        <v>52</v>
      </c>
      <c r="F14" s="38"/>
      <c r="G14" s="49" t="s">
        <v>53</v>
      </c>
      <c r="H14" s="44"/>
      <c r="I14" s="173">
        <v>2</v>
      </c>
      <c r="J14" s="174"/>
    </row>
    <row r="15" spans="2:10" ht="34.5" x14ac:dyDescent="0.35">
      <c r="B15" s="194">
        <v>6</v>
      </c>
      <c r="C15" s="195" t="s">
        <v>54</v>
      </c>
      <c r="D15" s="50" t="s">
        <v>55</v>
      </c>
      <c r="E15" s="51" t="s">
        <v>56</v>
      </c>
      <c r="F15" s="50"/>
      <c r="G15" s="49" t="s">
        <v>57</v>
      </c>
      <c r="H15" s="44"/>
      <c r="I15" s="173">
        <v>12</v>
      </c>
      <c r="J15" s="174"/>
    </row>
    <row r="16" spans="2:10" ht="34.5" x14ac:dyDescent="0.35">
      <c r="B16" s="194"/>
      <c r="C16" s="195"/>
      <c r="D16" s="50" t="s">
        <v>58</v>
      </c>
      <c r="E16" s="51" t="s">
        <v>59</v>
      </c>
      <c r="F16" s="50"/>
      <c r="G16" s="49" t="s">
        <v>57</v>
      </c>
      <c r="H16" s="44"/>
      <c r="I16" s="173">
        <v>12</v>
      </c>
      <c r="J16" s="174"/>
    </row>
    <row r="17" spans="2:10" ht="34.5" x14ac:dyDescent="0.35">
      <c r="B17" s="194"/>
      <c r="C17" s="195"/>
      <c r="D17" s="50" t="s">
        <v>60</v>
      </c>
      <c r="E17" s="51" t="s">
        <v>61</v>
      </c>
      <c r="F17" s="50"/>
      <c r="G17" s="49" t="s">
        <v>57</v>
      </c>
      <c r="H17" s="44"/>
      <c r="I17" s="173">
        <v>12</v>
      </c>
      <c r="J17" s="174"/>
    </row>
    <row r="18" spans="2:10" x14ac:dyDescent="0.35">
      <c r="B18" s="194"/>
      <c r="C18" s="195"/>
      <c r="D18" s="50" t="s">
        <v>62</v>
      </c>
      <c r="E18" s="50" t="s">
        <v>63</v>
      </c>
      <c r="F18" s="50"/>
      <c r="G18" s="49" t="s">
        <v>57</v>
      </c>
      <c r="H18" s="44"/>
      <c r="I18" s="173">
        <v>12</v>
      </c>
      <c r="J18" s="174"/>
    </row>
    <row r="19" spans="2:10" ht="23" x14ac:dyDescent="0.35">
      <c r="B19" s="47">
        <v>7</v>
      </c>
      <c r="C19" s="43" t="s">
        <v>64</v>
      </c>
      <c r="D19" s="43" t="s">
        <v>65</v>
      </c>
      <c r="E19" s="43" t="s">
        <v>66</v>
      </c>
      <c r="F19" s="43"/>
      <c r="G19" s="49" t="s">
        <v>57</v>
      </c>
      <c r="H19" s="44"/>
      <c r="I19" s="173">
        <v>12</v>
      </c>
      <c r="J19" s="174"/>
    </row>
    <row r="20" spans="2:10" ht="34.5" x14ac:dyDescent="0.35">
      <c r="B20" s="47">
        <v>8</v>
      </c>
      <c r="C20" s="39" t="s">
        <v>67</v>
      </c>
      <c r="D20" s="39" t="s">
        <v>68</v>
      </c>
      <c r="E20" s="39" t="s">
        <v>69</v>
      </c>
      <c r="F20" s="39"/>
      <c r="G20" s="49" t="s">
        <v>57</v>
      </c>
      <c r="H20" s="44"/>
      <c r="I20" s="173">
        <v>12</v>
      </c>
      <c r="J20" s="174"/>
    </row>
    <row r="21" spans="2:10" ht="15" thickBot="1" x14ac:dyDescent="0.4">
      <c r="B21" s="21"/>
      <c r="C21" s="22"/>
      <c r="D21" s="22"/>
      <c r="E21" s="22"/>
      <c r="F21" s="22"/>
      <c r="G21" s="23"/>
      <c r="H21" s="24"/>
      <c r="I21" s="25"/>
      <c r="J21" s="52"/>
    </row>
    <row r="22" spans="2:10" ht="15" thickBot="1" x14ac:dyDescent="0.4">
      <c r="C22" s="30"/>
      <c r="D22" s="30"/>
      <c r="E22" s="30"/>
      <c r="F22" s="30"/>
      <c r="G22" s="30"/>
      <c r="H22" s="30"/>
    </row>
    <row r="23" spans="2:10" ht="21.5" thickBot="1" x14ac:dyDescent="0.4">
      <c r="B23" s="175" t="s">
        <v>70</v>
      </c>
      <c r="C23" s="176"/>
      <c r="D23" s="176"/>
      <c r="E23" s="176"/>
      <c r="F23" s="176"/>
      <c r="G23" s="176"/>
      <c r="H23" s="176"/>
      <c r="I23" s="176"/>
      <c r="J23" s="177"/>
    </row>
    <row r="24" spans="2:10" ht="15" thickBot="1" x14ac:dyDescent="0.4">
      <c r="B24" s="18" t="s">
        <v>17</v>
      </c>
      <c r="C24" s="19" t="s">
        <v>18</v>
      </c>
      <c r="D24" s="19" t="s">
        <v>19</v>
      </c>
      <c r="E24" s="19" t="s">
        <v>20</v>
      </c>
      <c r="F24" s="19" t="s">
        <v>21</v>
      </c>
      <c r="G24" s="19" t="s">
        <v>22</v>
      </c>
      <c r="H24" s="19" t="s">
        <v>71</v>
      </c>
      <c r="I24" s="181" t="s">
        <v>25</v>
      </c>
      <c r="J24" s="182" t="s">
        <v>26</v>
      </c>
    </row>
    <row r="25" spans="2:10" ht="23.5" thickBot="1" x14ac:dyDescent="0.4">
      <c r="B25" s="18">
        <v>9</v>
      </c>
      <c r="C25" s="20" t="s">
        <v>72</v>
      </c>
      <c r="D25" s="26" t="s">
        <v>73</v>
      </c>
      <c r="E25" s="26" t="s">
        <v>74</v>
      </c>
      <c r="F25" s="19"/>
      <c r="G25" s="27" t="s">
        <v>75</v>
      </c>
      <c r="H25" s="53"/>
      <c r="I25" s="181" t="s">
        <v>77</v>
      </c>
      <c r="J25" s="182">
        <f>H25</f>
        <v>0</v>
      </c>
    </row>
    <row r="26" spans="2:10" ht="15" thickBot="1" x14ac:dyDescent="0.4">
      <c r="C26" s="30"/>
      <c r="D26" s="30"/>
      <c r="E26" s="30"/>
      <c r="F26" s="30"/>
      <c r="G26" s="30"/>
      <c r="H26" s="30"/>
    </row>
    <row r="27" spans="2:10" ht="21.5" thickBot="1" x14ac:dyDescent="0.4">
      <c r="B27" s="178" t="s">
        <v>76</v>
      </c>
      <c r="C27" s="179"/>
      <c r="D27" s="179"/>
      <c r="E27" s="179"/>
      <c r="F27" s="179"/>
      <c r="G27" s="179"/>
      <c r="H27" s="179"/>
      <c r="I27" s="179"/>
      <c r="J27" s="180"/>
    </row>
    <row r="28" spans="2:10" ht="23.5" thickBot="1" x14ac:dyDescent="0.4">
      <c r="B28" s="56" t="s">
        <v>17</v>
      </c>
      <c r="C28" s="57" t="s">
        <v>18</v>
      </c>
      <c r="D28" s="57" t="s">
        <v>19</v>
      </c>
      <c r="E28" s="57" t="s">
        <v>20</v>
      </c>
      <c r="F28" s="57" t="s">
        <v>21</v>
      </c>
      <c r="G28" s="57" t="s">
        <v>22</v>
      </c>
      <c r="H28" s="57" t="s">
        <v>49</v>
      </c>
      <c r="I28" s="183" t="s">
        <v>25</v>
      </c>
      <c r="J28" s="184" t="s">
        <v>26</v>
      </c>
    </row>
    <row r="29" spans="2:10" ht="35" thickBot="1" x14ac:dyDescent="0.4">
      <c r="B29" s="185">
        <v>10</v>
      </c>
      <c r="C29" s="188" t="s">
        <v>54</v>
      </c>
      <c r="D29" s="28" t="s">
        <v>55</v>
      </c>
      <c r="E29" s="29" t="s">
        <v>56</v>
      </c>
      <c r="F29" s="28"/>
      <c r="G29" s="27" t="s">
        <v>57</v>
      </c>
      <c r="H29" s="53"/>
      <c r="I29" s="173">
        <v>24</v>
      </c>
      <c r="J29" s="174">
        <f t="shared" ref="J29:J36" si="0">I29*H29</f>
        <v>0</v>
      </c>
    </row>
    <row r="30" spans="2:10" ht="35" thickBot="1" x14ac:dyDescent="0.4">
      <c r="B30" s="186"/>
      <c r="C30" s="189"/>
      <c r="D30" s="28" t="s">
        <v>58</v>
      </c>
      <c r="E30" s="29" t="s">
        <v>59</v>
      </c>
      <c r="F30" s="28"/>
      <c r="G30" s="27" t="s">
        <v>57</v>
      </c>
      <c r="H30" s="53"/>
      <c r="I30" s="173">
        <v>24</v>
      </c>
      <c r="J30" s="174">
        <f t="shared" si="0"/>
        <v>0</v>
      </c>
    </row>
    <row r="31" spans="2:10" ht="35" thickBot="1" x14ac:dyDescent="0.4">
      <c r="B31" s="186"/>
      <c r="C31" s="189"/>
      <c r="D31" s="28" t="s">
        <v>60</v>
      </c>
      <c r="E31" s="29" t="s">
        <v>61</v>
      </c>
      <c r="F31" s="28"/>
      <c r="G31" s="27" t="s">
        <v>57</v>
      </c>
      <c r="H31" s="53"/>
      <c r="I31" s="173">
        <v>24</v>
      </c>
      <c r="J31" s="174">
        <f t="shared" si="0"/>
        <v>0</v>
      </c>
    </row>
    <row r="32" spans="2:10" ht="15" thickBot="1" x14ac:dyDescent="0.4">
      <c r="B32" s="187"/>
      <c r="C32" s="190"/>
      <c r="D32" s="28" t="s">
        <v>62</v>
      </c>
      <c r="E32" s="28" t="s">
        <v>63</v>
      </c>
      <c r="F32" s="28"/>
      <c r="G32" s="27" t="s">
        <v>57</v>
      </c>
      <c r="H32" s="53"/>
      <c r="I32" s="173">
        <v>24</v>
      </c>
      <c r="J32" s="174">
        <f t="shared" si="0"/>
        <v>0</v>
      </c>
    </row>
    <row r="33" spans="2:10" ht="35" thickBot="1" x14ac:dyDescent="0.4">
      <c r="B33" s="185">
        <v>11</v>
      </c>
      <c r="C33" s="188" t="s">
        <v>54</v>
      </c>
      <c r="D33" s="28" t="s">
        <v>55</v>
      </c>
      <c r="E33" s="29" t="s">
        <v>56</v>
      </c>
      <c r="F33" s="28"/>
      <c r="G33" s="27" t="s">
        <v>57</v>
      </c>
      <c r="H33" s="53"/>
      <c r="I33" s="173">
        <v>36</v>
      </c>
      <c r="J33" s="174">
        <f t="shared" si="0"/>
        <v>0</v>
      </c>
    </row>
    <row r="34" spans="2:10" ht="35" thickBot="1" x14ac:dyDescent="0.4">
      <c r="B34" s="186"/>
      <c r="C34" s="189"/>
      <c r="D34" s="28" t="s">
        <v>58</v>
      </c>
      <c r="E34" s="29" t="s">
        <v>59</v>
      </c>
      <c r="F34" s="28"/>
      <c r="G34" s="27" t="s">
        <v>57</v>
      </c>
      <c r="H34" s="53"/>
      <c r="I34" s="173">
        <v>36</v>
      </c>
      <c r="J34" s="174">
        <f t="shared" si="0"/>
        <v>0</v>
      </c>
    </row>
    <row r="35" spans="2:10" ht="35" thickBot="1" x14ac:dyDescent="0.4">
      <c r="B35" s="186"/>
      <c r="C35" s="189"/>
      <c r="D35" s="28" t="s">
        <v>60</v>
      </c>
      <c r="E35" s="29" t="s">
        <v>61</v>
      </c>
      <c r="F35" s="28"/>
      <c r="G35" s="27" t="s">
        <v>57</v>
      </c>
      <c r="H35" s="53"/>
      <c r="I35" s="173">
        <v>36</v>
      </c>
      <c r="J35" s="174">
        <f t="shared" si="0"/>
        <v>0</v>
      </c>
    </row>
    <row r="36" spans="2:10" ht="15" thickBot="1" x14ac:dyDescent="0.4">
      <c r="B36" s="187"/>
      <c r="C36" s="190"/>
      <c r="D36" s="28" t="s">
        <v>62</v>
      </c>
      <c r="E36" s="28" t="s">
        <v>63</v>
      </c>
      <c r="F36" s="28"/>
      <c r="G36" s="27" t="s">
        <v>57</v>
      </c>
      <c r="H36" s="53"/>
      <c r="I36" s="173">
        <v>36</v>
      </c>
      <c r="J36" s="174">
        <f t="shared" si="0"/>
        <v>0</v>
      </c>
    </row>
  </sheetData>
  <mergeCells count="32">
    <mergeCell ref="B2:J2"/>
    <mergeCell ref="I13:J13"/>
    <mergeCell ref="I14:J14"/>
    <mergeCell ref="I15:J15"/>
    <mergeCell ref="I19:J19"/>
    <mergeCell ref="B7:B9"/>
    <mergeCell ref="C7:C9"/>
    <mergeCell ref="I7:I9"/>
    <mergeCell ref="B15:B18"/>
    <mergeCell ref="C15:C18"/>
    <mergeCell ref="B12:J12"/>
    <mergeCell ref="I20:J20"/>
    <mergeCell ref="I24:J24"/>
    <mergeCell ref="I16:J16"/>
    <mergeCell ref="I17:J17"/>
    <mergeCell ref="I18:J18"/>
    <mergeCell ref="I34:J34"/>
    <mergeCell ref="I35:J35"/>
    <mergeCell ref="I36:J36"/>
    <mergeCell ref="B23:J23"/>
    <mergeCell ref="B27:J27"/>
    <mergeCell ref="I25:J25"/>
    <mergeCell ref="I28:J28"/>
    <mergeCell ref="I29:J29"/>
    <mergeCell ref="I30:J30"/>
    <mergeCell ref="I31:J31"/>
    <mergeCell ref="I32:J32"/>
    <mergeCell ref="B33:B36"/>
    <mergeCell ref="C33:C36"/>
    <mergeCell ref="B29:B32"/>
    <mergeCell ref="C29:C32"/>
    <mergeCell ref="I33:J3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T35"/>
  <sheetViews>
    <sheetView topLeftCell="Q11" zoomScale="55" zoomScaleNormal="55" workbookViewId="0">
      <selection activeCell="AK35" sqref="AK35"/>
    </sheetView>
  </sheetViews>
  <sheetFormatPr baseColWidth="10" defaultColWidth="11.453125" defaultRowHeight="14.5" x14ac:dyDescent="0.35"/>
  <cols>
    <col min="1" max="1" width="2.36328125" style="4" customWidth="1"/>
    <col min="2" max="2" width="7.453125" style="4" customWidth="1"/>
    <col min="3" max="3" width="16" style="4" customWidth="1"/>
    <col min="4" max="4" width="23.81640625" style="4" customWidth="1"/>
    <col min="5" max="5" width="30.453125" style="4" hidden="1" customWidth="1"/>
    <col min="6" max="6" width="10.453125" style="4" customWidth="1"/>
    <col min="7" max="10" width="8.81640625" style="4" customWidth="1"/>
    <col min="11" max="11" width="30" style="133" customWidth="1"/>
    <col min="12" max="12" width="13.453125" style="4" customWidth="1"/>
    <col min="13" max="13" width="16.1796875" style="4" customWidth="1"/>
    <col min="14" max="14" width="18.36328125" style="4" customWidth="1"/>
    <col min="15" max="15" width="22.1796875" style="4" customWidth="1"/>
    <col min="16" max="16" width="18.453125" style="4" customWidth="1"/>
    <col min="17" max="17" width="14.08984375" style="4" customWidth="1"/>
    <col min="18" max="18" width="17.90625" style="4" customWidth="1"/>
    <col min="19" max="19" width="18.36328125" style="4" customWidth="1"/>
    <col min="20" max="20" width="18.453125" style="4" customWidth="1"/>
    <col min="21" max="21" width="14.08984375" style="4" customWidth="1"/>
    <col min="22" max="22" width="17.90625" style="4" customWidth="1"/>
    <col min="23" max="23" width="18.36328125" style="4" customWidth="1"/>
    <col min="24" max="24" width="18.453125" style="4" customWidth="1"/>
    <col min="25" max="25" width="14.08984375" style="4" customWidth="1"/>
    <col min="26" max="26" width="17.90625" style="4" customWidth="1"/>
    <col min="27" max="27" width="18.36328125" style="4" customWidth="1"/>
    <col min="28" max="28" width="18.453125" style="4" customWidth="1"/>
    <col min="29" max="29" width="14.08984375" style="4" customWidth="1"/>
    <col min="30" max="30" width="17.90625" style="4" customWidth="1"/>
    <col min="31" max="31" width="18.36328125" style="4" customWidth="1"/>
    <col min="32" max="32" width="20.54296875" style="4" customWidth="1"/>
    <col min="33" max="33" width="14.81640625" style="4" customWidth="1"/>
    <col min="34" max="34" width="18.54296875" style="4" customWidth="1"/>
    <col min="35" max="35" width="19.08984375" style="6" customWidth="1"/>
    <col min="36" max="39" width="19.08984375" customWidth="1"/>
    <col min="40" max="40" width="5.6328125" customWidth="1"/>
    <col min="41" max="43" width="19.08984375" customWidth="1"/>
    <col min="44" max="44" width="23.81640625" customWidth="1"/>
    <col min="45" max="45" width="23.36328125" customWidth="1"/>
    <col min="46" max="46" width="12" style="113" customWidth="1"/>
    <col min="47" max="49" width="15" style="7" customWidth="1"/>
    <col min="50" max="50" width="18.1796875" style="7" customWidth="1"/>
    <col min="51" max="53" width="15" style="7" customWidth="1"/>
    <col min="54" max="54" width="19.6328125" style="7" customWidth="1"/>
    <col min="55" max="57" width="15" style="7" customWidth="1"/>
    <col min="58" max="58" width="19.81640625" style="7" customWidth="1"/>
    <col min="59" max="61" width="12.6328125" style="7" customWidth="1"/>
    <col min="62" max="62" width="18.08984375" style="7" customWidth="1"/>
    <col min="63" max="64" width="12.6328125" style="7" customWidth="1"/>
    <col min="65" max="65" width="2.54296875" style="116" customWidth="1"/>
    <col min="66" max="69" width="15" style="116" customWidth="1"/>
    <col min="70" max="70" width="20.54296875" style="4" customWidth="1"/>
    <col min="71" max="16384" width="11.453125" style="4"/>
  </cols>
  <sheetData>
    <row r="1" spans="1:72" x14ac:dyDescent="0.35">
      <c r="B1" s="8"/>
      <c r="C1" s="8"/>
      <c r="D1" s="8"/>
      <c r="E1" s="8"/>
      <c r="F1" s="8"/>
      <c r="G1" s="8"/>
      <c r="H1" s="8"/>
      <c r="I1" s="8"/>
      <c r="J1" s="8"/>
      <c r="K1" s="129"/>
      <c r="L1" s="8"/>
      <c r="M1" s="8"/>
      <c r="N1" s="8"/>
      <c r="O1" s="8"/>
      <c r="P1" s="8"/>
      <c r="Q1" s="8"/>
      <c r="R1" s="8"/>
      <c r="S1" s="8"/>
      <c r="T1" s="8"/>
      <c r="U1" s="8"/>
      <c r="V1" s="8"/>
      <c r="W1" s="8"/>
      <c r="X1" s="8"/>
      <c r="Y1" s="8"/>
      <c r="Z1" s="8"/>
      <c r="AA1" s="8"/>
      <c r="AB1" s="8"/>
      <c r="AC1" s="8"/>
      <c r="AD1" s="8"/>
      <c r="AE1" s="8"/>
      <c r="AF1" s="8"/>
      <c r="AG1" s="8"/>
      <c r="AH1" s="8"/>
      <c r="AI1" s="98"/>
      <c r="AT1" s="113" t="e" cm="1">
        <f t="array" ref="AT1">+B:ANAR34AJ:ANAR3AJ:AN</f>
        <v>#NAME?</v>
      </c>
    </row>
    <row r="2" spans="1:72" x14ac:dyDescent="0.35">
      <c r="A2" s="6"/>
      <c r="B2" s="201" t="s">
        <v>130</v>
      </c>
      <c r="C2" s="201"/>
      <c r="D2" s="201"/>
      <c r="E2" s="201"/>
      <c r="F2" s="201"/>
      <c r="G2" s="201"/>
      <c r="H2" s="201"/>
      <c r="I2" s="201"/>
      <c r="J2" s="201"/>
      <c r="K2" s="201"/>
      <c r="L2" s="201"/>
      <c r="M2" s="201"/>
      <c r="N2" s="201"/>
      <c r="O2" s="201"/>
      <c r="P2" s="7"/>
      <c r="T2" s="7"/>
      <c r="X2" s="7"/>
      <c r="AB2" s="7"/>
      <c r="AF2" s="7"/>
      <c r="BN2" s="134"/>
    </row>
    <row r="3" spans="1:72" x14ac:dyDescent="0.35">
      <c r="A3" s="6"/>
      <c r="B3" s="201"/>
      <c r="C3" s="201"/>
      <c r="D3" s="201"/>
      <c r="E3" s="201"/>
      <c r="F3" s="201"/>
      <c r="G3" s="201"/>
      <c r="H3" s="201"/>
      <c r="I3" s="201"/>
      <c r="J3" s="201"/>
      <c r="K3" s="201"/>
      <c r="L3" s="201"/>
      <c r="M3" s="201"/>
      <c r="N3" s="201"/>
      <c r="O3" s="201"/>
      <c r="P3" s="7"/>
      <c r="T3" s="7"/>
      <c r="X3" s="7"/>
      <c r="AB3" s="7"/>
      <c r="AF3" s="7"/>
      <c r="AU3" s="202" t="s">
        <v>133</v>
      </c>
      <c r="AV3" s="203"/>
      <c r="AW3" s="204">
        <v>0.19</v>
      </c>
      <c r="AX3" s="205"/>
      <c r="AY3" s="205"/>
      <c r="AZ3" s="205"/>
      <c r="BA3" s="205"/>
      <c r="BB3" s="205"/>
      <c r="BC3" s="205"/>
      <c r="BD3" s="205"/>
      <c r="BE3" s="205"/>
      <c r="BF3" s="205"/>
      <c r="BG3" s="205"/>
      <c r="BH3" s="205"/>
      <c r="BI3" s="205"/>
      <c r="BJ3" s="205"/>
      <c r="BK3" s="205"/>
      <c r="BL3" s="205"/>
      <c r="BM3" s="205"/>
      <c r="BN3" s="205"/>
      <c r="BO3" s="205"/>
      <c r="BP3" s="205"/>
      <c r="BQ3" s="205"/>
    </row>
    <row r="4" spans="1:72" x14ac:dyDescent="0.35">
      <c r="A4" s="6"/>
      <c r="B4" s="201"/>
      <c r="C4" s="201"/>
      <c r="D4" s="201"/>
      <c r="E4" s="201"/>
      <c r="F4" s="201"/>
      <c r="G4" s="201"/>
      <c r="H4" s="201"/>
      <c r="I4" s="201"/>
      <c r="J4" s="201"/>
      <c r="K4" s="201"/>
      <c r="L4" s="201"/>
      <c r="M4" s="201"/>
      <c r="N4" s="201"/>
      <c r="O4" s="201"/>
      <c r="P4" s="7"/>
      <c r="T4" s="7"/>
      <c r="X4" s="7"/>
      <c r="AB4" s="7"/>
      <c r="AF4" s="7"/>
      <c r="BN4" s="134"/>
      <c r="BO4" s="135"/>
      <c r="BP4" s="120"/>
    </row>
    <row r="5" spans="1:72" x14ac:dyDescent="0.35">
      <c r="A5" s="6"/>
      <c r="B5" s="201"/>
      <c r="C5" s="201"/>
      <c r="D5" s="201"/>
      <c r="E5" s="201"/>
      <c r="F5" s="201"/>
      <c r="G5" s="201"/>
      <c r="H5" s="201"/>
      <c r="I5" s="201"/>
      <c r="J5" s="201"/>
      <c r="K5" s="201"/>
      <c r="L5" s="201"/>
      <c r="M5" s="201"/>
      <c r="N5" s="201"/>
      <c r="O5" s="201"/>
      <c r="P5" s="7"/>
      <c r="T5" s="7"/>
      <c r="X5" s="7"/>
      <c r="AB5" s="7"/>
      <c r="AF5" s="7"/>
      <c r="BN5" s="120"/>
      <c r="BO5" s="120"/>
      <c r="BP5" s="134"/>
      <c r="BQ5" s="120"/>
    </row>
    <row r="6" spans="1:72" ht="14.5" customHeight="1" x14ac:dyDescent="0.35">
      <c r="B6" s="9"/>
      <c r="C6" s="9"/>
      <c r="D6" s="9"/>
      <c r="E6" s="9"/>
      <c r="F6" s="9"/>
      <c r="G6" s="9"/>
      <c r="H6" s="9"/>
      <c r="I6" s="9"/>
      <c r="J6" s="9"/>
      <c r="K6" s="130"/>
      <c r="L6" s="9"/>
      <c r="M6" s="9"/>
      <c r="N6" s="9"/>
      <c r="O6" s="9"/>
      <c r="P6" s="9"/>
      <c r="Q6" s="9"/>
      <c r="R6" s="9"/>
      <c r="S6" s="9"/>
      <c r="T6" s="9"/>
      <c r="U6" s="9"/>
      <c r="V6" s="9"/>
      <c r="W6" s="9"/>
      <c r="X6" s="9"/>
      <c r="Y6" s="9"/>
      <c r="Z6" s="9"/>
      <c r="AA6" s="9"/>
      <c r="AB6" s="9"/>
      <c r="AC6" s="9"/>
      <c r="AD6" s="9"/>
      <c r="AE6" s="9"/>
      <c r="AF6" s="9"/>
      <c r="AG6" s="9"/>
      <c r="AH6" s="9"/>
      <c r="AI6" s="106"/>
    </row>
    <row r="7" spans="1:72" ht="14.5" customHeight="1" x14ac:dyDescent="0.35">
      <c r="B7" s="8"/>
      <c r="C7" s="8"/>
      <c r="D7" s="8"/>
      <c r="E7" s="8"/>
      <c r="F7" s="8"/>
      <c r="G7" s="8"/>
      <c r="H7" s="8"/>
      <c r="I7" s="8"/>
      <c r="J7" s="8"/>
      <c r="K7" s="129"/>
      <c r="L7" s="8"/>
      <c r="M7" s="8"/>
      <c r="N7" s="8"/>
      <c r="O7" s="8"/>
      <c r="P7" s="8"/>
      <c r="Q7" s="8"/>
      <c r="R7" s="8"/>
      <c r="S7" s="8"/>
      <c r="T7" s="8"/>
      <c r="U7" s="8"/>
      <c r="V7" s="8"/>
      <c r="W7" s="8"/>
      <c r="X7" s="8"/>
      <c r="Y7" s="8"/>
      <c r="Z7" s="8"/>
      <c r="AA7" s="8"/>
      <c r="AB7" s="8"/>
      <c r="AC7" s="8"/>
      <c r="AD7" s="8"/>
      <c r="AE7" s="8"/>
      <c r="AF7" s="8"/>
      <c r="AG7" s="8"/>
      <c r="AH7" s="8"/>
      <c r="AI7" s="98"/>
    </row>
    <row r="8" spans="1:72" ht="16.5" customHeight="1" x14ac:dyDescent="0.35">
      <c r="A8" s="6"/>
      <c r="B8" s="206" t="s">
        <v>3</v>
      </c>
      <c r="C8" s="207" t="s">
        <v>83</v>
      </c>
      <c r="D8" s="208"/>
      <c r="E8" s="208"/>
      <c r="F8" s="208"/>
      <c r="G8" s="208"/>
      <c r="H8" s="208"/>
      <c r="I8" s="208"/>
      <c r="J8" s="208"/>
      <c r="K8" s="208"/>
      <c r="L8" s="208"/>
      <c r="M8" s="208"/>
      <c r="N8" s="208"/>
      <c r="O8" s="209"/>
      <c r="P8" s="7"/>
      <c r="T8" s="7"/>
      <c r="X8" s="7"/>
      <c r="AB8" s="7"/>
      <c r="AF8" s="7"/>
    </row>
    <row r="9" spans="1:72" ht="15" customHeight="1" x14ac:dyDescent="0.35">
      <c r="A9" s="6"/>
      <c r="B9" s="206"/>
      <c r="C9" s="210"/>
      <c r="D9" s="211"/>
      <c r="E9" s="211"/>
      <c r="F9" s="211"/>
      <c r="G9" s="211"/>
      <c r="H9" s="211"/>
      <c r="I9" s="211"/>
      <c r="J9" s="211"/>
      <c r="K9" s="211"/>
      <c r="L9" s="211"/>
      <c r="M9" s="211"/>
      <c r="N9" s="211"/>
      <c r="O9" s="212"/>
      <c r="P9" s="7"/>
      <c r="T9" s="7"/>
      <c r="X9" s="7"/>
      <c r="AB9" s="7"/>
      <c r="AF9" s="7"/>
    </row>
    <row r="10" spans="1:72" ht="15" customHeight="1" x14ac:dyDescent="0.35">
      <c r="B10" s="14"/>
      <c r="C10" s="9"/>
      <c r="D10" s="9"/>
      <c r="E10" s="9"/>
      <c r="F10" s="9"/>
      <c r="G10" s="9"/>
      <c r="H10" s="9"/>
      <c r="I10" s="9"/>
      <c r="J10" s="9"/>
      <c r="K10" s="130"/>
      <c r="L10" s="9"/>
      <c r="M10" s="9"/>
      <c r="N10" s="9"/>
      <c r="O10" s="9"/>
      <c r="P10" s="9"/>
      <c r="Q10" s="9"/>
      <c r="R10" s="9"/>
      <c r="S10" s="9"/>
      <c r="T10" s="9"/>
      <c r="U10" s="9"/>
      <c r="V10" s="9"/>
      <c r="W10" s="9"/>
      <c r="X10" s="9"/>
      <c r="Y10" s="9"/>
      <c r="Z10" s="9"/>
      <c r="AA10" s="9"/>
      <c r="AB10" s="9"/>
      <c r="AC10" s="9"/>
      <c r="AD10" s="9"/>
      <c r="AE10" s="9"/>
      <c r="AF10" s="9"/>
      <c r="AG10" s="9"/>
      <c r="AH10" s="9"/>
      <c r="AI10" s="106"/>
    </row>
    <row r="11" spans="1:72" ht="66" customHeight="1" x14ac:dyDescent="0.35">
      <c r="B11" s="206" t="s">
        <v>10</v>
      </c>
      <c r="C11" s="213" t="s">
        <v>82</v>
      </c>
      <c r="D11" s="214"/>
      <c r="E11" s="214"/>
      <c r="F11" s="214"/>
      <c r="G11" s="214"/>
      <c r="H11" s="214"/>
      <c r="I11" s="214"/>
      <c r="J11" s="214"/>
      <c r="K11" s="214"/>
      <c r="L11" s="214"/>
      <c r="M11" s="214"/>
      <c r="N11" s="214"/>
      <c r="O11" s="215"/>
    </row>
    <row r="12" spans="1:72" ht="61.5" customHeight="1" x14ac:dyDescent="0.35">
      <c r="B12" s="206"/>
      <c r="C12" s="216"/>
      <c r="D12" s="217"/>
      <c r="E12" s="217"/>
      <c r="F12" s="217"/>
      <c r="G12" s="217"/>
      <c r="H12" s="217"/>
      <c r="I12" s="217"/>
      <c r="J12" s="217"/>
      <c r="K12" s="217"/>
      <c r="L12" s="217"/>
      <c r="M12" s="217"/>
      <c r="N12" s="217"/>
      <c r="O12" s="218"/>
    </row>
    <row r="13" spans="1:72" s="166" customFormat="1" ht="18" customHeight="1" x14ac:dyDescent="0.35">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98"/>
      <c r="AP13" s="98"/>
      <c r="AQ13" s="98"/>
      <c r="AR13" s="98"/>
      <c r="AS13" s="98"/>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row>
    <row r="14" spans="1:72" ht="14.4" customHeight="1" x14ac:dyDescent="0.35">
      <c r="A14" s="6"/>
      <c r="B14" s="6"/>
      <c r="C14" s="6"/>
      <c r="D14" s="6"/>
      <c r="E14" s="6"/>
      <c r="F14" s="6"/>
      <c r="G14" s="6"/>
      <c r="H14" s="6"/>
      <c r="I14"/>
      <c r="J14" t="s">
        <v>154</v>
      </c>
      <c r="K14" s="131"/>
      <c r="L14" s="198" t="s">
        <v>124</v>
      </c>
      <c r="M14" s="199"/>
      <c r="N14" s="199"/>
      <c r="O14" s="200"/>
      <c r="P14" s="198" t="s">
        <v>125</v>
      </c>
      <c r="Q14" s="199"/>
      <c r="R14" s="199"/>
      <c r="S14" s="200"/>
      <c r="T14" s="198" t="s">
        <v>126</v>
      </c>
      <c r="U14" s="199"/>
      <c r="V14" s="199"/>
      <c r="W14" s="200"/>
      <c r="X14" s="198" t="s">
        <v>127</v>
      </c>
      <c r="Y14" s="199"/>
      <c r="Z14" s="199"/>
      <c r="AA14" s="200"/>
      <c r="AB14" s="198" t="s">
        <v>128</v>
      </c>
      <c r="AC14" s="199"/>
      <c r="AD14" s="199"/>
      <c r="AE14" s="200"/>
      <c r="AF14" s="198" t="s">
        <v>129</v>
      </c>
      <c r="AG14" s="199"/>
      <c r="AH14" s="199"/>
      <c r="AI14" s="200"/>
      <c r="AJ14" s="198" t="s">
        <v>131</v>
      </c>
      <c r="AK14" s="199"/>
      <c r="AL14" s="199"/>
      <c r="AM14" s="199"/>
      <c r="AN14" s="105"/>
      <c r="AO14" s="228" t="s">
        <v>166</v>
      </c>
      <c r="AP14" s="228"/>
      <c r="AQ14" s="228"/>
      <c r="AR14" s="228"/>
      <c r="AS14" s="228"/>
      <c r="AT14" s="100"/>
      <c r="AU14" s="219" t="s">
        <v>132</v>
      </c>
      <c r="AV14" s="219"/>
      <c r="AW14" s="219"/>
      <c r="AX14" s="219"/>
      <c r="AY14" s="219" t="s">
        <v>101</v>
      </c>
      <c r="AZ14" s="219"/>
      <c r="BA14" s="219"/>
      <c r="BB14" s="219"/>
      <c r="BC14" s="219" t="s">
        <v>138</v>
      </c>
      <c r="BD14" s="219"/>
      <c r="BE14" s="219"/>
      <c r="BF14" s="219"/>
      <c r="BG14" s="219" t="s">
        <v>157</v>
      </c>
      <c r="BH14" s="219"/>
      <c r="BI14" s="219"/>
      <c r="BJ14" s="219"/>
      <c r="BK14" s="157"/>
      <c r="BL14" s="157"/>
      <c r="BN14" s="224" t="s">
        <v>139</v>
      </c>
      <c r="BO14" s="225"/>
      <c r="BP14" s="225"/>
      <c r="BQ14" s="225"/>
    </row>
    <row r="15" spans="1:72" s="5" customFormat="1" ht="69.650000000000006" customHeight="1" x14ac:dyDescent="0.35">
      <c r="A15" s="10"/>
      <c r="B15" s="1" t="s">
        <v>0</v>
      </c>
      <c r="C15" s="220" t="s">
        <v>4</v>
      </c>
      <c r="D15" s="220"/>
      <c r="E15" s="1" t="s">
        <v>5</v>
      </c>
      <c r="F15" s="1" t="s">
        <v>1</v>
      </c>
      <c r="G15" s="1" t="s">
        <v>2</v>
      </c>
      <c r="H15" s="1" t="s">
        <v>7</v>
      </c>
      <c r="I15" s="1" t="s">
        <v>140</v>
      </c>
      <c r="J15" s="1" t="s">
        <v>143</v>
      </c>
      <c r="K15" s="132" t="s">
        <v>146</v>
      </c>
      <c r="L15" s="167" t="s">
        <v>11</v>
      </c>
      <c r="M15" s="167" t="s">
        <v>12</v>
      </c>
      <c r="N15" s="167" t="s">
        <v>13</v>
      </c>
      <c r="O15" s="167" t="s">
        <v>84</v>
      </c>
      <c r="P15" s="167" t="s">
        <v>11</v>
      </c>
      <c r="Q15" s="167" t="s">
        <v>12</v>
      </c>
      <c r="R15" s="167" t="s">
        <v>13</v>
      </c>
      <c r="S15" s="167" t="s">
        <v>85</v>
      </c>
      <c r="T15" s="167" t="s">
        <v>11</v>
      </c>
      <c r="U15" s="167" t="s">
        <v>12</v>
      </c>
      <c r="V15" s="167" t="s">
        <v>13</v>
      </c>
      <c r="W15" s="167" t="s">
        <v>86</v>
      </c>
      <c r="X15" s="167" t="s">
        <v>11</v>
      </c>
      <c r="Y15" s="167" t="s">
        <v>12</v>
      </c>
      <c r="Z15" s="167" t="s">
        <v>13</v>
      </c>
      <c r="AA15" s="167" t="s">
        <v>87</v>
      </c>
      <c r="AB15" s="167" t="s">
        <v>11</v>
      </c>
      <c r="AC15" s="167" t="s">
        <v>12</v>
      </c>
      <c r="AD15" s="167" t="s">
        <v>13</v>
      </c>
      <c r="AE15" s="167" t="s">
        <v>89</v>
      </c>
      <c r="AF15" s="167" t="s">
        <v>11</v>
      </c>
      <c r="AG15" s="167" t="s">
        <v>12</v>
      </c>
      <c r="AH15" s="167" t="s">
        <v>13</v>
      </c>
      <c r="AI15" s="167" t="s">
        <v>88</v>
      </c>
      <c r="AJ15" s="167" t="s">
        <v>11</v>
      </c>
      <c r="AK15" s="167" t="s">
        <v>12</v>
      </c>
      <c r="AL15" s="167" t="s">
        <v>13</v>
      </c>
      <c r="AM15" s="167" t="s">
        <v>104</v>
      </c>
      <c r="AN15" s="105"/>
      <c r="AO15" s="1" t="s">
        <v>158</v>
      </c>
      <c r="AP15" s="1" t="s">
        <v>156</v>
      </c>
      <c r="AQ15" s="161" t="s">
        <v>155</v>
      </c>
      <c r="AR15" s="1" t="s">
        <v>159</v>
      </c>
      <c r="AS15" s="1" t="s">
        <v>160</v>
      </c>
      <c r="AT15" s="100"/>
      <c r="AU15" s="197" t="s">
        <v>134</v>
      </c>
      <c r="AV15" s="197" t="s">
        <v>135</v>
      </c>
      <c r="AW15" s="197" t="s">
        <v>136</v>
      </c>
      <c r="AX15" s="197" t="s">
        <v>137</v>
      </c>
      <c r="AY15" s="197" t="s">
        <v>134</v>
      </c>
      <c r="AZ15" s="197" t="s">
        <v>135</v>
      </c>
      <c r="BA15" s="197" t="s">
        <v>136</v>
      </c>
      <c r="BB15" s="197" t="s">
        <v>137</v>
      </c>
      <c r="BC15" s="197" t="s">
        <v>134</v>
      </c>
      <c r="BD15" s="197" t="s">
        <v>135</v>
      </c>
      <c r="BE15" s="197" t="s">
        <v>136</v>
      </c>
      <c r="BF15" s="197" t="s">
        <v>137</v>
      </c>
      <c r="BG15" s="197" t="s">
        <v>134</v>
      </c>
      <c r="BH15" s="197" t="s">
        <v>135</v>
      </c>
      <c r="BI15" s="197" t="s">
        <v>136</v>
      </c>
      <c r="BJ15" s="197" t="s">
        <v>137</v>
      </c>
      <c r="BK15" s="158"/>
      <c r="BL15" s="158"/>
      <c r="BM15" s="101"/>
      <c r="BN15" s="197" t="s">
        <v>134</v>
      </c>
      <c r="BO15" s="197" t="s">
        <v>135</v>
      </c>
      <c r="BP15" s="197" t="s">
        <v>136</v>
      </c>
      <c r="BQ15" s="197" t="s">
        <v>137</v>
      </c>
    </row>
    <row r="16" spans="1:72" ht="26.5" customHeight="1" x14ac:dyDescent="0.35">
      <c r="A16" s="6"/>
      <c r="B16" s="221" t="s">
        <v>15</v>
      </c>
      <c r="C16" s="222"/>
      <c r="D16" s="222"/>
      <c r="E16" s="222"/>
      <c r="F16" s="222"/>
      <c r="G16" s="222"/>
      <c r="H16" s="223"/>
      <c r="I16" s="154"/>
      <c r="J16" s="154"/>
      <c r="K16" s="154"/>
      <c r="L16" s="154"/>
      <c r="M16" s="154"/>
      <c r="N16" s="154"/>
      <c r="O16" s="154"/>
      <c r="P16" s="154"/>
      <c r="Q16" s="154"/>
      <c r="R16" s="154"/>
      <c r="S16" s="154"/>
      <c r="T16" s="154"/>
      <c r="U16" s="154"/>
      <c r="V16" s="154"/>
      <c r="W16" s="154"/>
      <c r="X16" s="154"/>
      <c r="Y16" s="154"/>
      <c r="Z16" s="154"/>
      <c r="AA16" s="154"/>
      <c r="AB16" s="154"/>
      <c r="AC16" s="154"/>
      <c r="AD16" s="154"/>
      <c r="AE16" s="154"/>
      <c r="AF16" s="154"/>
      <c r="AG16" s="154"/>
      <c r="AH16" s="154"/>
      <c r="AI16" s="154"/>
      <c r="AJ16" s="154"/>
      <c r="AK16" s="154"/>
      <c r="AL16" s="154"/>
      <c r="AM16" s="1"/>
      <c r="AN16" s="105"/>
      <c r="AO16" s="1"/>
      <c r="AP16" s="1"/>
      <c r="AQ16" s="161"/>
      <c r="AR16" s="1"/>
      <c r="AS16" s="1"/>
      <c r="AT16" s="100"/>
      <c r="AU16" s="197"/>
      <c r="AV16" s="197"/>
      <c r="AW16" s="197"/>
      <c r="AX16" s="197"/>
      <c r="AY16" s="197"/>
      <c r="AZ16" s="197"/>
      <c r="BA16" s="197"/>
      <c r="BB16" s="197"/>
      <c r="BC16" s="197"/>
      <c r="BD16" s="197"/>
      <c r="BE16" s="197"/>
      <c r="BF16" s="197"/>
      <c r="BG16" s="197"/>
      <c r="BH16" s="197"/>
      <c r="BI16" s="197"/>
      <c r="BJ16" s="197"/>
      <c r="BK16" s="158"/>
      <c r="BL16" s="158"/>
      <c r="BM16" s="101"/>
      <c r="BN16" s="197"/>
      <c r="BO16" s="197"/>
      <c r="BP16" s="197"/>
      <c r="BQ16" s="197"/>
    </row>
    <row r="17" spans="1:69" s="66" customFormat="1" ht="54.75" customHeight="1" x14ac:dyDescent="0.35">
      <c r="A17" s="68"/>
      <c r="B17" s="140">
        <v>1</v>
      </c>
      <c r="C17" s="229" t="s">
        <v>27</v>
      </c>
      <c r="D17" s="229"/>
      <c r="E17" s="102" t="s">
        <v>8</v>
      </c>
      <c r="F17" s="102" t="s">
        <v>6</v>
      </c>
      <c r="G17" s="102">
        <v>1</v>
      </c>
      <c r="H17" s="102">
        <v>12</v>
      </c>
      <c r="I17" s="102" t="s">
        <v>141</v>
      </c>
      <c r="J17" s="102" t="s">
        <v>144</v>
      </c>
      <c r="K17" s="141" t="s">
        <v>148</v>
      </c>
      <c r="L17" s="102">
        <v>28865002</v>
      </c>
      <c r="M17" s="142">
        <f>ROUND(L17*19%,0)</f>
        <v>5484350</v>
      </c>
      <c r="N17" s="102">
        <f>ROUND(+M17+L17,0)</f>
        <v>34349352</v>
      </c>
      <c r="O17" s="102">
        <f t="shared" ref="O17:O22" si="0">+N17*H17*G17</f>
        <v>412192224</v>
      </c>
      <c r="P17" s="102">
        <v>29586073</v>
      </c>
      <c r="Q17" s="142">
        <f>ROUND(P17*19%,0)</f>
        <v>5621354</v>
      </c>
      <c r="R17" s="102">
        <f>+Q17+P17</f>
        <v>35207427</v>
      </c>
      <c r="S17" s="102">
        <f>+R17*$G17*$H17</f>
        <v>422489124</v>
      </c>
      <c r="T17" s="102">
        <v>26618459</v>
      </c>
      <c r="U17" s="142">
        <f>ROUND(T17*19%,0)</f>
        <v>5057507</v>
      </c>
      <c r="V17" s="102">
        <f>+U17+T17</f>
        <v>31675966</v>
      </c>
      <c r="W17" s="102">
        <f>+V17*$G17*$H17</f>
        <v>380111592</v>
      </c>
      <c r="X17" s="102">
        <v>29038196</v>
      </c>
      <c r="Y17" s="142">
        <f>ROUND(X17*19%,0)</f>
        <v>5517257</v>
      </c>
      <c r="Z17" s="102">
        <f>+Y17+X17</f>
        <v>34555453</v>
      </c>
      <c r="AA17" s="102">
        <f>+Z17*$G17*$H17</f>
        <v>414665436</v>
      </c>
      <c r="AB17" s="102">
        <v>21000000</v>
      </c>
      <c r="AC17" s="142">
        <f>ROUND(AB17*19%,0)</f>
        <v>3990000</v>
      </c>
      <c r="AD17" s="102">
        <f>+AC17+AB17</f>
        <v>24990000</v>
      </c>
      <c r="AE17" s="102">
        <f>+AD17*$G17*$H17</f>
        <v>299880000</v>
      </c>
      <c r="AF17" s="102">
        <v>42375920</v>
      </c>
      <c r="AG17" s="142">
        <f>ROUND(AF17*19%,0)</f>
        <v>8051425</v>
      </c>
      <c r="AH17" s="102">
        <f>+AG17+AF17</f>
        <v>50427345</v>
      </c>
      <c r="AI17" s="102">
        <f>+AH17*$G17*$H17</f>
        <v>605128140</v>
      </c>
      <c r="AJ17" s="102"/>
      <c r="AK17" s="102"/>
      <c r="AL17" s="102"/>
      <c r="AM17" s="102"/>
      <c r="AN17" s="105"/>
      <c r="AO17" s="102">
        <f>COUNT(L17,P17,T17,X17,AB17,AF17)</f>
        <v>6</v>
      </c>
      <c r="AP17" s="102">
        <f>ROUND(_xlfn.STDEV.P(L17,P17,T17,X17,AB17,AF17),0)</f>
        <v>6415184</v>
      </c>
      <c r="AQ17" s="162">
        <f t="shared" ref="AQ17:AQ22" si="1">AP17/AU17</f>
        <v>0.21687126917742866</v>
      </c>
      <c r="AR17" s="159"/>
      <c r="AS17" s="159"/>
      <c r="AT17" s="105"/>
      <c r="AU17" s="110">
        <f t="shared" ref="AU17:AU22" si="2">ROUND(AVERAGE(L17,P17,T17,X17,AB17,AF17),0)</f>
        <v>29580608</v>
      </c>
      <c r="AV17" s="110">
        <f>+AU17*$AW$3</f>
        <v>5620315.5200000005</v>
      </c>
      <c r="AW17" s="110">
        <f>ROUND(AU17*(1+$AW$3),0)</f>
        <v>35200924</v>
      </c>
      <c r="AX17" s="110">
        <f t="shared" ref="AX17:AX22" si="3">AW17*H17*G17</f>
        <v>422411088</v>
      </c>
      <c r="AY17" s="110">
        <f t="shared" ref="AY17:AY22" si="4">ROUND(GEOMEAN(L17,P17,T17,X17,AB17,AF17),0)</f>
        <v>28939542</v>
      </c>
      <c r="AZ17" s="110">
        <f>+AY17*$AW$3</f>
        <v>5498512.9800000004</v>
      </c>
      <c r="BA17" s="110">
        <f>ROUND(AY17*(1+$AW$3),0)</f>
        <v>34438055</v>
      </c>
      <c r="BB17" s="110">
        <f t="shared" ref="BB17:BB22" si="5">BA17*H17*G17</f>
        <v>413256660</v>
      </c>
      <c r="BC17" s="110" cm="1">
        <f t="array" ref="BC17">ROUND(AVERAGE(SMALL((AF17,AB17,X17,T17,P17,L17),{1;2;3})),0)</f>
        <v>25494487</v>
      </c>
      <c r="BD17" s="110">
        <f>BC17*$AW$3</f>
        <v>4843952.53</v>
      </c>
      <c r="BE17" s="110">
        <f>ROUND(BC17*(1+$AW$3),0)</f>
        <v>30338440</v>
      </c>
      <c r="BF17" s="110">
        <f t="shared" ref="BF17:BF22" si="6">BE17*H17*G17</f>
        <v>364061280</v>
      </c>
      <c r="BG17" s="110" cm="1">
        <f t="array" ref="BG17">ROUND(AVERAGE(SMALL((AF17,AB17,X17,T17,P17,L17),{1;2;3;4})),0)</f>
        <v>26380414</v>
      </c>
      <c r="BH17" s="110">
        <f>BG17*$AW$3</f>
        <v>5012278.66</v>
      </c>
      <c r="BI17" s="110">
        <f>ROUND(BG17*(1+$AW$3),0)</f>
        <v>31392693</v>
      </c>
      <c r="BJ17" s="110">
        <f t="shared" ref="BJ17:BJ22" si="7">BI17*H17*G17</f>
        <v>376712316</v>
      </c>
      <c r="BK17" s="110"/>
      <c r="BL17" s="110"/>
      <c r="BM17" s="119"/>
      <c r="BN17" s="119">
        <f>+AY17</f>
        <v>28939542</v>
      </c>
      <c r="BO17" s="119">
        <f>+BN17*$AW$3</f>
        <v>5498512.9800000004</v>
      </c>
      <c r="BP17" s="119">
        <f>ROUND(BN17*(1+$AW$3),0)</f>
        <v>34438055</v>
      </c>
      <c r="BQ17" s="119">
        <f t="shared" ref="BQ17:BQ22" si="8">BP17*H17*G17</f>
        <v>413256660</v>
      </c>
    </row>
    <row r="18" spans="1:69" s="66" customFormat="1" ht="73.5" x14ac:dyDescent="0.35">
      <c r="A18" s="68"/>
      <c r="B18" s="140">
        <v>2</v>
      </c>
      <c r="C18" s="229" t="s">
        <v>33</v>
      </c>
      <c r="D18" s="229"/>
      <c r="E18" s="102" t="s">
        <v>8</v>
      </c>
      <c r="F18" s="102" t="s">
        <v>6</v>
      </c>
      <c r="G18" s="102">
        <v>1</v>
      </c>
      <c r="H18" s="102">
        <v>12</v>
      </c>
      <c r="I18" s="102" t="s">
        <v>141</v>
      </c>
      <c r="J18" s="102" t="s">
        <v>144</v>
      </c>
      <c r="K18" s="141" t="s">
        <v>149</v>
      </c>
      <c r="L18" s="102">
        <v>4749884.33</v>
      </c>
      <c r="M18" s="142">
        <f t="shared" ref="M18:M31" si="9">ROUND(L18*19%,0)</f>
        <v>902478</v>
      </c>
      <c r="N18" s="102">
        <f t="shared" ref="N18:N31" si="10">ROUND(+M18+L18,0)</f>
        <v>5652362</v>
      </c>
      <c r="O18" s="102">
        <f t="shared" si="0"/>
        <v>67828344</v>
      </c>
      <c r="P18" s="102">
        <v>4149884</v>
      </c>
      <c r="Q18" s="142">
        <f t="shared" ref="Q18:Q31" si="11">ROUND(P18*19%,0)</f>
        <v>788478</v>
      </c>
      <c r="R18" s="102">
        <f t="shared" ref="R18:R22" si="12">+Q18+P18</f>
        <v>4938362</v>
      </c>
      <c r="S18" s="102">
        <f t="shared" ref="S18:S22" si="13">+R18*$G18*$H18</f>
        <v>59260344</v>
      </c>
      <c r="T18" s="102">
        <v>5349884</v>
      </c>
      <c r="U18" s="142">
        <f t="shared" ref="U18:U31" si="14">ROUND(T18*19%,0)</f>
        <v>1016478</v>
      </c>
      <c r="V18" s="102">
        <f t="shared" ref="V18:V22" si="15">+U18+T18</f>
        <v>6366362</v>
      </c>
      <c r="W18" s="102">
        <f t="shared" ref="W18:W22" si="16">+V18*$G18*$H18</f>
        <v>76396344</v>
      </c>
      <c r="X18" s="102">
        <v>4349884</v>
      </c>
      <c r="Y18" s="142">
        <f t="shared" ref="Y18:Y32" si="17">ROUND(X18*19%,0)</f>
        <v>826478</v>
      </c>
      <c r="Z18" s="102">
        <f t="shared" ref="Z18:Z22" si="18">+Y18+X18</f>
        <v>5176362</v>
      </c>
      <c r="AA18" s="102">
        <f t="shared" ref="AA18:AA22" si="19">+Z18*$G18*$H18</f>
        <v>62116344</v>
      </c>
      <c r="AB18" s="102">
        <v>3700000</v>
      </c>
      <c r="AC18" s="142">
        <f t="shared" ref="AC18:AC22" si="20">ROUND(AB18*19%,0)</f>
        <v>703000</v>
      </c>
      <c r="AD18" s="102">
        <f t="shared" ref="AD18:AD22" si="21">+AC18+AB18</f>
        <v>4403000</v>
      </c>
      <c r="AE18" s="102">
        <f t="shared" ref="AE18:AE22" si="22">+AD18*$G18*$H18</f>
        <v>52836000</v>
      </c>
      <c r="AF18" s="160">
        <v>15328139</v>
      </c>
      <c r="AG18" s="142">
        <f t="shared" ref="AG18:AG22" si="23">ROUND(AF18*19%,0)</f>
        <v>2912346</v>
      </c>
      <c r="AH18" s="102">
        <f t="shared" ref="AH18:AH21" si="24">+AG18+AF18</f>
        <v>18240485</v>
      </c>
      <c r="AI18" s="102">
        <f t="shared" ref="AI18:AI21" si="25">+AH18*$G18*$H18</f>
        <v>218885820</v>
      </c>
      <c r="AJ18" s="102"/>
      <c r="AK18" s="102"/>
      <c r="AL18" s="102"/>
      <c r="AM18" s="102"/>
      <c r="AN18" s="105"/>
      <c r="AO18" s="102">
        <f t="shared" ref="AO18:AO31" si="26">COUNT(L18,P18,T18,X18,AB18,AF18)</f>
        <v>6</v>
      </c>
      <c r="AP18" s="102">
        <f t="shared" ref="AP18:AP32" si="27">ROUND(_xlfn.STDEV.P(L18,P18,T18,X18,AB18,AF18),0)</f>
        <v>4082358</v>
      </c>
      <c r="AQ18" s="162">
        <f t="shared" si="1"/>
        <v>0.65096099216762637</v>
      </c>
      <c r="AR18" s="159" t="s">
        <v>161</v>
      </c>
      <c r="AS18" s="164"/>
      <c r="AT18" s="105"/>
      <c r="AU18" s="110">
        <f t="shared" si="2"/>
        <v>6271279</v>
      </c>
      <c r="AV18" s="110">
        <f t="shared" ref="AV18:AV22" si="28">+AU18*$AW$3</f>
        <v>1191543.01</v>
      </c>
      <c r="AW18" s="110">
        <f>ROUND(AU18*(1+$AW$3),0)</f>
        <v>7462822</v>
      </c>
      <c r="AX18" s="110">
        <f t="shared" si="3"/>
        <v>89553864</v>
      </c>
      <c r="AY18" s="110">
        <f t="shared" si="4"/>
        <v>5443422</v>
      </c>
      <c r="AZ18" s="110">
        <f t="shared" ref="AZ18:AZ22" si="29">+AY18*$AW$3</f>
        <v>1034250.18</v>
      </c>
      <c r="BA18" s="110">
        <f t="shared" ref="BA18:BA22" si="30">ROUND(AY18*(1+$AW$3),0)</f>
        <v>6477672</v>
      </c>
      <c r="BB18" s="110">
        <f t="shared" si="5"/>
        <v>77732064</v>
      </c>
      <c r="BC18" s="110" cm="1">
        <f t="array" ref="BC18">ROUND(AVERAGE(SMALL((AF18,AB18,X18,T18,P18,L18),{1;2;3})),0)</f>
        <v>4066589</v>
      </c>
      <c r="BD18" s="110">
        <f t="shared" ref="BD18:BD22" si="31">BC18*$AW$3</f>
        <v>772651.91</v>
      </c>
      <c r="BE18" s="110">
        <f t="shared" ref="BE18:BE22" si="32">ROUND(BC18*(1+$AW$3),0)</f>
        <v>4839241</v>
      </c>
      <c r="BF18" s="110">
        <f t="shared" si="6"/>
        <v>58070892</v>
      </c>
      <c r="BG18" s="110" cm="1">
        <f t="array" ref="BG18">ROUND(AVERAGE(SMALL((AF18,AB18,X18,T18,P18,L18),{1;2;3;4})),0)</f>
        <v>4237413</v>
      </c>
      <c r="BH18" s="110">
        <f t="shared" ref="BH18:BH22" si="33">BG18*$AW$3</f>
        <v>805108.47</v>
      </c>
      <c r="BI18" s="110">
        <f t="shared" ref="BI18:BI22" si="34">ROUND(BG18*(1+$AW$3),0)</f>
        <v>5042521</v>
      </c>
      <c r="BJ18" s="110">
        <f t="shared" si="7"/>
        <v>60510252</v>
      </c>
      <c r="BK18" s="110"/>
      <c r="BL18" s="110"/>
      <c r="BM18" s="119"/>
      <c r="BN18" s="119">
        <f t="shared" ref="BN18:BN22" si="35">+AY18</f>
        <v>5443422</v>
      </c>
      <c r="BO18" s="119">
        <f t="shared" ref="BO18:BO22" si="36">+BN18*$AW$3</f>
        <v>1034250.18</v>
      </c>
      <c r="BP18" s="119">
        <f t="shared" ref="BP18:BP22" si="37">ROUND(BN18*(1+$AW$3),0)</f>
        <v>6477672</v>
      </c>
      <c r="BQ18" s="119">
        <f t="shared" si="8"/>
        <v>77732064</v>
      </c>
    </row>
    <row r="19" spans="1:69" s="66" customFormat="1" ht="82" customHeight="1" x14ac:dyDescent="0.35">
      <c r="A19" s="68"/>
      <c r="B19" s="140">
        <v>3</v>
      </c>
      <c r="C19" s="229" t="s">
        <v>92</v>
      </c>
      <c r="D19" s="229"/>
      <c r="E19" s="102" t="s">
        <v>8</v>
      </c>
      <c r="F19" s="102" t="s">
        <v>6</v>
      </c>
      <c r="G19" s="102">
        <v>1</v>
      </c>
      <c r="H19" s="102">
        <v>12</v>
      </c>
      <c r="I19" s="102" t="s">
        <v>141</v>
      </c>
      <c r="J19" s="102" t="s">
        <v>144</v>
      </c>
      <c r="K19" s="141" t="s">
        <v>150</v>
      </c>
      <c r="L19" s="102">
        <v>3262413.25</v>
      </c>
      <c r="M19" s="142">
        <f t="shared" si="9"/>
        <v>619859</v>
      </c>
      <c r="N19" s="102">
        <f t="shared" si="10"/>
        <v>3882272</v>
      </c>
      <c r="O19" s="102">
        <f t="shared" si="0"/>
        <v>46587264</v>
      </c>
      <c r="P19" s="102">
        <v>3862413</v>
      </c>
      <c r="Q19" s="142">
        <f t="shared" si="11"/>
        <v>733858</v>
      </c>
      <c r="R19" s="102">
        <f t="shared" si="12"/>
        <v>4596271</v>
      </c>
      <c r="S19" s="102">
        <f t="shared" si="13"/>
        <v>55155252</v>
      </c>
      <c r="T19" s="102">
        <v>4262413</v>
      </c>
      <c r="U19" s="142">
        <f t="shared" si="14"/>
        <v>809858</v>
      </c>
      <c r="V19" s="102">
        <f t="shared" si="15"/>
        <v>5072271</v>
      </c>
      <c r="W19" s="102">
        <f t="shared" si="16"/>
        <v>60867252</v>
      </c>
      <c r="X19" s="102">
        <v>3262413</v>
      </c>
      <c r="Y19" s="142">
        <f t="shared" si="17"/>
        <v>619858</v>
      </c>
      <c r="Z19" s="102">
        <f t="shared" si="18"/>
        <v>3882271</v>
      </c>
      <c r="AA19" s="102">
        <f t="shared" si="19"/>
        <v>46587252</v>
      </c>
      <c r="AB19" s="102">
        <v>3600000</v>
      </c>
      <c r="AC19" s="142">
        <f t="shared" si="20"/>
        <v>684000</v>
      </c>
      <c r="AD19" s="102">
        <f t="shared" si="21"/>
        <v>4284000</v>
      </c>
      <c r="AE19" s="102">
        <f t="shared" si="22"/>
        <v>51408000</v>
      </c>
      <c r="AF19" s="160">
        <v>24408365</v>
      </c>
      <c r="AG19" s="142">
        <f t="shared" si="23"/>
        <v>4637589</v>
      </c>
      <c r="AH19" s="102">
        <f t="shared" si="24"/>
        <v>29045954</v>
      </c>
      <c r="AI19" s="102">
        <f t="shared" si="25"/>
        <v>348551448</v>
      </c>
      <c r="AJ19" s="102"/>
      <c r="AK19" s="102"/>
      <c r="AL19" s="102"/>
      <c r="AM19" s="102"/>
      <c r="AN19" s="105"/>
      <c r="AO19" s="102">
        <f t="shared" si="26"/>
        <v>6</v>
      </c>
      <c r="AP19" s="102">
        <f t="shared" si="27"/>
        <v>7743997</v>
      </c>
      <c r="AQ19" s="162">
        <f t="shared" si="1"/>
        <v>1.0892203154295488</v>
      </c>
      <c r="AR19" s="159" t="s">
        <v>161</v>
      </c>
      <c r="AS19" s="159"/>
      <c r="AT19" s="105"/>
      <c r="AU19" s="110">
        <f t="shared" si="2"/>
        <v>7109670</v>
      </c>
      <c r="AV19" s="110">
        <f t="shared" si="28"/>
        <v>1350837.3</v>
      </c>
      <c r="AW19" s="110">
        <f t="shared" ref="AW19:AW22" si="38">ROUND(AU19*(1+$AW$3),0)</f>
        <v>8460507</v>
      </c>
      <c r="AX19" s="110">
        <f t="shared" si="3"/>
        <v>101526084</v>
      </c>
      <c r="AY19" s="110">
        <f t="shared" si="4"/>
        <v>4987760</v>
      </c>
      <c r="AZ19" s="110">
        <f t="shared" si="29"/>
        <v>947674.4</v>
      </c>
      <c r="BA19" s="110">
        <f t="shared" si="30"/>
        <v>5935434</v>
      </c>
      <c r="BB19" s="110">
        <f t="shared" si="5"/>
        <v>71225208</v>
      </c>
      <c r="BC19" s="110" cm="1">
        <f t="array" ref="BC19">ROUND(AVERAGE(SMALL((AF19,AB19,X19,T19,P19,L19),{1;2;3})),0)</f>
        <v>3374942</v>
      </c>
      <c r="BD19" s="110">
        <f t="shared" si="31"/>
        <v>641238.98</v>
      </c>
      <c r="BE19" s="110">
        <f t="shared" si="32"/>
        <v>4016181</v>
      </c>
      <c r="BF19" s="110">
        <f t="shared" si="6"/>
        <v>48194172</v>
      </c>
      <c r="BG19" s="110" cm="1">
        <f t="array" ref="BG19">ROUND(AVERAGE(SMALL((AF19,AB19,X19,T19,P19,L19),{1;2;3;4})),0)</f>
        <v>3496810</v>
      </c>
      <c r="BH19" s="110">
        <f t="shared" si="33"/>
        <v>664393.9</v>
      </c>
      <c r="BI19" s="110">
        <f t="shared" si="34"/>
        <v>4161204</v>
      </c>
      <c r="BJ19" s="110">
        <f t="shared" si="7"/>
        <v>49934448</v>
      </c>
      <c r="BK19" s="110"/>
      <c r="BL19" s="110"/>
      <c r="BM19" s="119"/>
      <c r="BN19" s="119">
        <f t="shared" si="35"/>
        <v>4987760</v>
      </c>
      <c r="BO19" s="119">
        <f t="shared" si="36"/>
        <v>947674.4</v>
      </c>
      <c r="BP19" s="119">
        <f t="shared" si="37"/>
        <v>5935434</v>
      </c>
      <c r="BQ19" s="119">
        <f t="shared" si="8"/>
        <v>71225208</v>
      </c>
    </row>
    <row r="20" spans="1:69" s="66" customFormat="1" ht="58.25" customHeight="1" x14ac:dyDescent="0.35">
      <c r="A20" s="68"/>
      <c r="B20" s="231">
        <v>4</v>
      </c>
      <c r="C20" s="229" t="s">
        <v>40</v>
      </c>
      <c r="D20" s="143" t="s">
        <v>42</v>
      </c>
      <c r="E20" s="102" t="s">
        <v>8</v>
      </c>
      <c r="F20" s="102" t="s">
        <v>6</v>
      </c>
      <c r="G20" s="102">
        <v>1</v>
      </c>
      <c r="H20" s="102">
        <v>1</v>
      </c>
      <c r="I20" s="102" t="s">
        <v>142</v>
      </c>
      <c r="J20" s="102" t="s">
        <v>145</v>
      </c>
      <c r="K20" s="141" t="s">
        <v>152</v>
      </c>
      <c r="L20" s="163">
        <v>9566700</v>
      </c>
      <c r="M20" s="142">
        <f t="shared" si="9"/>
        <v>1817673</v>
      </c>
      <c r="N20" s="102">
        <f t="shared" si="10"/>
        <v>11384373</v>
      </c>
      <c r="O20" s="102">
        <f t="shared" si="0"/>
        <v>11384373</v>
      </c>
      <c r="P20" s="102">
        <v>66226700</v>
      </c>
      <c r="Q20" s="142">
        <f t="shared" si="11"/>
        <v>12583073</v>
      </c>
      <c r="R20" s="102">
        <f t="shared" si="12"/>
        <v>78809773</v>
      </c>
      <c r="S20" s="102">
        <f t="shared" si="13"/>
        <v>78809773</v>
      </c>
      <c r="T20" s="102">
        <v>66666700</v>
      </c>
      <c r="U20" s="142">
        <f t="shared" si="14"/>
        <v>12666673</v>
      </c>
      <c r="V20" s="102">
        <f t="shared" si="15"/>
        <v>79333373</v>
      </c>
      <c r="W20" s="102">
        <f t="shared" si="16"/>
        <v>79333373</v>
      </c>
      <c r="X20" s="102">
        <v>66666700</v>
      </c>
      <c r="Y20" s="142">
        <f t="shared" si="17"/>
        <v>12666673</v>
      </c>
      <c r="Z20" s="102">
        <f t="shared" si="18"/>
        <v>79333373</v>
      </c>
      <c r="AA20" s="102">
        <f t="shared" si="19"/>
        <v>79333373</v>
      </c>
      <c r="AB20" s="102">
        <v>63000000</v>
      </c>
      <c r="AC20" s="142">
        <f t="shared" si="20"/>
        <v>11970000</v>
      </c>
      <c r="AD20" s="102">
        <f t="shared" si="21"/>
        <v>74970000</v>
      </c>
      <c r="AE20" s="102">
        <f t="shared" si="22"/>
        <v>74970000</v>
      </c>
      <c r="AF20" s="160">
        <v>652825023</v>
      </c>
      <c r="AG20" s="142">
        <f t="shared" si="23"/>
        <v>124036754</v>
      </c>
      <c r="AH20" s="102">
        <f t="shared" si="24"/>
        <v>776861777</v>
      </c>
      <c r="AI20" s="102">
        <f t="shared" si="25"/>
        <v>776861777</v>
      </c>
      <c r="AJ20" s="102"/>
      <c r="AK20" s="102"/>
      <c r="AL20" s="102"/>
      <c r="AM20" s="102"/>
      <c r="AN20" s="105"/>
      <c r="AO20" s="102">
        <f t="shared" si="26"/>
        <v>6</v>
      </c>
      <c r="AP20" s="102">
        <f t="shared" si="27"/>
        <v>223951853</v>
      </c>
      <c r="AQ20" s="162">
        <f t="shared" si="1"/>
        <v>1.4527363328984286</v>
      </c>
      <c r="AR20" s="159" t="s">
        <v>161</v>
      </c>
      <c r="AS20" s="159" t="s">
        <v>162</v>
      </c>
      <c r="AT20" s="105"/>
      <c r="AU20" s="110">
        <f t="shared" si="2"/>
        <v>154158637</v>
      </c>
      <c r="AV20" s="110">
        <f t="shared" si="28"/>
        <v>29290141.030000001</v>
      </c>
      <c r="AW20" s="110">
        <f t="shared" si="38"/>
        <v>183448778</v>
      </c>
      <c r="AX20" s="110">
        <f t="shared" si="3"/>
        <v>183448778</v>
      </c>
      <c r="AY20" s="110">
        <f t="shared" si="4"/>
        <v>69816556</v>
      </c>
      <c r="AZ20" s="110">
        <f t="shared" si="29"/>
        <v>13265145.640000001</v>
      </c>
      <c r="BA20" s="110">
        <f t="shared" si="30"/>
        <v>83081702</v>
      </c>
      <c r="BB20" s="110">
        <f t="shared" si="5"/>
        <v>83081702</v>
      </c>
      <c r="BC20" s="110" cm="1">
        <f t="array" ref="BC20">ROUND(AVERAGE(SMALL((AF20,AB20,X20,T20,P20,L20),{1;2;3})),0)</f>
        <v>46264467</v>
      </c>
      <c r="BD20" s="110">
        <f t="shared" si="31"/>
        <v>8790248.7300000004</v>
      </c>
      <c r="BE20" s="110">
        <f t="shared" si="32"/>
        <v>55054716</v>
      </c>
      <c r="BF20" s="110">
        <f t="shared" si="6"/>
        <v>55054716</v>
      </c>
      <c r="BG20" s="110" cm="1">
        <f t="array" ref="BG20">ROUND(AVERAGE(SMALL((AF20,AB20,X20,T20,P20,L20),{1;2;3;4})),0)</f>
        <v>51365025</v>
      </c>
      <c r="BH20" s="110">
        <f t="shared" si="33"/>
        <v>9759354.75</v>
      </c>
      <c r="BI20" s="110">
        <f t="shared" si="34"/>
        <v>61124380</v>
      </c>
      <c r="BJ20" s="110">
        <f t="shared" si="7"/>
        <v>61124380</v>
      </c>
      <c r="BK20" s="110"/>
      <c r="BL20" s="110"/>
      <c r="BM20" s="119"/>
      <c r="BN20" s="119">
        <f t="shared" si="35"/>
        <v>69816556</v>
      </c>
      <c r="BO20" s="119">
        <f t="shared" si="36"/>
        <v>13265145.640000001</v>
      </c>
      <c r="BP20" s="119">
        <f t="shared" si="37"/>
        <v>83081702</v>
      </c>
      <c r="BQ20" s="119">
        <f t="shared" si="8"/>
        <v>83081702</v>
      </c>
    </row>
    <row r="21" spans="1:69" s="66" customFormat="1" ht="58.25" customHeight="1" x14ac:dyDescent="0.35">
      <c r="A21" s="68"/>
      <c r="B21" s="231"/>
      <c r="C21" s="229"/>
      <c r="D21" s="143" t="s">
        <v>45</v>
      </c>
      <c r="E21" s="102" t="s">
        <v>8</v>
      </c>
      <c r="F21" s="102" t="s">
        <v>6</v>
      </c>
      <c r="G21" s="102">
        <v>1</v>
      </c>
      <c r="H21" s="102">
        <v>1</v>
      </c>
      <c r="I21" s="102" t="s">
        <v>142</v>
      </c>
      <c r="J21" s="102" t="s">
        <v>145</v>
      </c>
      <c r="K21" s="141" t="s">
        <v>152</v>
      </c>
      <c r="L21" s="102">
        <v>116666667</v>
      </c>
      <c r="M21" s="142">
        <f t="shared" si="9"/>
        <v>22166667</v>
      </c>
      <c r="N21" s="102">
        <f t="shared" si="10"/>
        <v>138833334</v>
      </c>
      <c r="O21" s="102">
        <f t="shared" si="0"/>
        <v>138833334</v>
      </c>
      <c r="P21" s="102">
        <v>116666667</v>
      </c>
      <c r="Q21" s="142">
        <f t="shared" si="11"/>
        <v>22166667</v>
      </c>
      <c r="R21" s="102">
        <f t="shared" si="12"/>
        <v>138833334</v>
      </c>
      <c r="S21" s="102">
        <f t="shared" si="13"/>
        <v>138833334</v>
      </c>
      <c r="T21" s="102">
        <v>116666667</v>
      </c>
      <c r="U21" s="142">
        <f t="shared" si="14"/>
        <v>22166667</v>
      </c>
      <c r="V21" s="102">
        <f t="shared" si="15"/>
        <v>138833334</v>
      </c>
      <c r="W21" s="102">
        <f t="shared" si="16"/>
        <v>138833334</v>
      </c>
      <c r="X21" s="102">
        <v>116666667</v>
      </c>
      <c r="Y21" s="142">
        <f t="shared" si="17"/>
        <v>22166667</v>
      </c>
      <c r="Z21" s="102">
        <f t="shared" si="18"/>
        <v>138833334</v>
      </c>
      <c r="AA21" s="102">
        <f t="shared" si="19"/>
        <v>138833334</v>
      </c>
      <c r="AB21" s="163">
        <v>6500000</v>
      </c>
      <c r="AC21" s="142">
        <f t="shared" si="20"/>
        <v>1235000</v>
      </c>
      <c r="AD21" s="102">
        <f t="shared" si="21"/>
        <v>7735000</v>
      </c>
      <c r="AE21" s="102">
        <f t="shared" si="22"/>
        <v>7735000</v>
      </c>
      <c r="AF21" s="160">
        <v>36572830</v>
      </c>
      <c r="AG21" s="142">
        <f t="shared" si="23"/>
        <v>6948838</v>
      </c>
      <c r="AH21" s="102">
        <f t="shared" si="24"/>
        <v>43521668</v>
      </c>
      <c r="AI21" s="102">
        <f t="shared" si="25"/>
        <v>43521668</v>
      </c>
      <c r="AJ21" s="102"/>
      <c r="AK21" s="102"/>
      <c r="AL21" s="102"/>
      <c r="AM21" s="102"/>
      <c r="AN21" s="105"/>
      <c r="AO21" s="102">
        <f t="shared" si="26"/>
        <v>6</v>
      </c>
      <c r="AP21" s="102">
        <f t="shared" si="27"/>
        <v>45677384</v>
      </c>
      <c r="AQ21" s="162">
        <f t="shared" si="1"/>
        <v>0.53765561639879045</v>
      </c>
      <c r="AR21" s="159" t="s">
        <v>161</v>
      </c>
      <c r="AS21" s="159" t="s">
        <v>162</v>
      </c>
      <c r="AT21" s="105"/>
      <c r="AU21" s="110">
        <f t="shared" si="2"/>
        <v>84956583</v>
      </c>
      <c r="AV21" s="110">
        <f t="shared" si="28"/>
        <v>16141750.77</v>
      </c>
      <c r="AW21" s="110">
        <f t="shared" si="38"/>
        <v>101098334</v>
      </c>
      <c r="AX21" s="110">
        <f t="shared" si="3"/>
        <v>101098334</v>
      </c>
      <c r="AY21" s="110">
        <f t="shared" si="4"/>
        <v>59426002</v>
      </c>
      <c r="AZ21" s="110">
        <f t="shared" si="29"/>
        <v>11290940.380000001</v>
      </c>
      <c r="BA21" s="110">
        <f t="shared" si="30"/>
        <v>70716942</v>
      </c>
      <c r="BB21" s="110">
        <f t="shared" si="5"/>
        <v>70716942</v>
      </c>
      <c r="BC21" s="110" cm="1">
        <f t="array" ref="BC21">ROUND(AVERAGE(SMALL((AF21,AB21,X21,T21,P21,L21),{1;2;3})),0)</f>
        <v>53246499</v>
      </c>
      <c r="BD21" s="110">
        <f t="shared" si="31"/>
        <v>10116834.810000001</v>
      </c>
      <c r="BE21" s="110">
        <f t="shared" si="32"/>
        <v>63363334</v>
      </c>
      <c r="BF21" s="110">
        <f t="shared" si="6"/>
        <v>63363334</v>
      </c>
      <c r="BG21" s="110" cm="1">
        <f t="array" ref="BG21">ROUND(AVERAGE(SMALL((AF21,AB21,X21,T21,P21,L21),{1;2;3;4})),0)</f>
        <v>69101541</v>
      </c>
      <c r="BH21" s="110">
        <f t="shared" si="33"/>
        <v>13129292.790000001</v>
      </c>
      <c r="BI21" s="110">
        <f t="shared" si="34"/>
        <v>82230834</v>
      </c>
      <c r="BJ21" s="110">
        <f t="shared" si="7"/>
        <v>82230834</v>
      </c>
      <c r="BK21" s="110"/>
      <c r="BL21" s="110"/>
      <c r="BM21" s="119"/>
      <c r="BN21" s="119">
        <f t="shared" si="35"/>
        <v>59426002</v>
      </c>
      <c r="BO21" s="119">
        <f t="shared" si="36"/>
        <v>11290940.380000001</v>
      </c>
      <c r="BP21" s="119">
        <f t="shared" si="37"/>
        <v>70716942</v>
      </c>
      <c r="BQ21" s="119">
        <f t="shared" si="8"/>
        <v>70716942</v>
      </c>
    </row>
    <row r="22" spans="1:69" s="66" customFormat="1" ht="58.25" customHeight="1" x14ac:dyDescent="0.35">
      <c r="A22" s="68"/>
      <c r="B22" s="231"/>
      <c r="C22" s="229"/>
      <c r="D22" s="143" t="s">
        <v>47</v>
      </c>
      <c r="E22" s="102" t="s">
        <v>8</v>
      </c>
      <c r="F22" s="102" t="s">
        <v>6</v>
      </c>
      <c r="G22" s="102">
        <v>10</v>
      </c>
      <c r="H22" s="102">
        <v>1</v>
      </c>
      <c r="I22" s="102" t="s">
        <v>142</v>
      </c>
      <c r="J22" s="102" t="s">
        <v>145</v>
      </c>
      <c r="K22" s="141" t="s">
        <v>147</v>
      </c>
      <c r="L22" s="102">
        <v>1333334</v>
      </c>
      <c r="M22" s="142">
        <f t="shared" si="9"/>
        <v>253333</v>
      </c>
      <c r="N22" s="102">
        <f t="shared" si="10"/>
        <v>1586667</v>
      </c>
      <c r="O22" s="102">
        <f t="shared" si="0"/>
        <v>15866670</v>
      </c>
      <c r="P22" s="102">
        <v>1322334</v>
      </c>
      <c r="Q22" s="142">
        <f t="shared" si="11"/>
        <v>251243</v>
      </c>
      <c r="R22" s="102">
        <f t="shared" si="12"/>
        <v>1573577</v>
      </c>
      <c r="S22" s="102">
        <f t="shared" si="13"/>
        <v>15735770</v>
      </c>
      <c r="T22" s="102">
        <v>1733334</v>
      </c>
      <c r="U22" s="142">
        <f t="shared" si="14"/>
        <v>329333</v>
      </c>
      <c r="V22" s="102">
        <f t="shared" si="15"/>
        <v>2062667</v>
      </c>
      <c r="W22" s="102">
        <f t="shared" si="16"/>
        <v>20626670</v>
      </c>
      <c r="X22" s="102">
        <v>1333334</v>
      </c>
      <c r="Y22" s="142">
        <f t="shared" si="17"/>
        <v>253333</v>
      </c>
      <c r="Z22" s="102">
        <f t="shared" si="18"/>
        <v>1586667</v>
      </c>
      <c r="AA22" s="102">
        <f t="shared" si="19"/>
        <v>15866670</v>
      </c>
      <c r="AB22" s="102">
        <v>2430000</v>
      </c>
      <c r="AC22" s="142">
        <f t="shared" si="20"/>
        <v>461700</v>
      </c>
      <c r="AD22" s="102">
        <f t="shared" si="21"/>
        <v>2891700</v>
      </c>
      <c r="AE22" s="102">
        <f t="shared" si="22"/>
        <v>28917000</v>
      </c>
      <c r="AF22" s="160">
        <f>AH22/1.19</f>
        <v>4219942.4000000004</v>
      </c>
      <c r="AG22" s="142">
        <f t="shared" si="23"/>
        <v>801789</v>
      </c>
      <c r="AH22" s="102">
        <f>AI22/10</f>
        <v>5021731.4560000002</v>
      </c>
      <c r="AI22" s="102">
        <v>50217314.560000002</v>
      </c>
      <c r="AJ22" s="102"/>
      <c r="AK22" s="102"/>
      <c r="AL22" s="102"/>
      <c r="AM22" s="102"/>
      <c r="AN22" s="105"/>
      <c r="AO22" s="102">
        <f t="shared" si="26"/>
        <v>6</v>
      </c>
      <c r="AP22" s="102">
        <f t="shared" si="27"/>
        <v>1041567</v>
      </c>
      <c r="AQ22" s="162">
        <f t="shared" si="1"/>
        <v>0.50511336798500128</v>
      </c>
      <c r="AR22" s="159" t="s">
        <v>161</v>
      </c>
      <c r="AS22" s="159"/>
      <c r="AT22" s="105"/>
      <c r="AU22" s="110">
        <f t="shared" si="2"/>
        <v>2062046</v>
      </c>
      <c r="AV22" s="110">
        <f t="shared" si="28"/>
        <v>391788.74</v>
      </c>
      <c r="AW22" s="110">
        <f t="shared" si="38"/>
        <v>2453835</v>
      </c>
      <c r="AX22" s="110">
        <f t="shared" si="3"/>
        <v>24538350</v>
      </c>
      <c r="AY22" s="110">
        <f t="shared" si="4"/>
        <v>1862812</v>
      </c>
      <c r="AZ22" s="110">
        <f t="shared" si="29"/>
        <v>353934.28</v>
      </c>
      <c r="BA22" s="110">
        <f t="shared" si="30"/>
        <v>2216746</v>
      </c>
      <c r="BB22" s="110">
        <f t="shared" si="5"/>
        <v>22167460</v>
      </c>
      <c r="BC22" s="110" cm="1">
        <f t="array" ref="BC22">ROUND(AVERAGE(SMALL((AF22,AB22,X22,T22,P22,L22),{1;2;3})),0)</f>
        <v>1329667</v>
      </c>
      <c r="BD22" s="110">
        <f t="shared" si="31"/>
        <v>252636.73</v>
      </c>
      <c r="BE22" s="110">
        <f t="shared" si="32"/>
        <v>1582304</v>
      </c>
      <c r="BF22" s="110">
        <f t="shared" si="6"/>
        <v>15823040</v>
      </c>
      <c r="BG22" s="110" cm="1">
        <f t="array" ref="BG22">ROUND(AVERAGE(SMALL((AF22,AB22,X22,T22,P22,L22),{1;2;3;4})),0)</f>
        <v>1430584</v>
      </c>
      <c r="BH22" s="110">
        <f t="shared" si="33"/>
        <v>271810.96000000002</v>
      </c>
      <c r="BI22" s="110">
        <f t="shared" si="34"/>
        <v>1702395</v>
      </c>
      <c r="BJ22" s="110">
        <f t="shared" si="7"/>
        <v>17023950</v>
      </c>
      <c r="BK22" s="110"/>
      <c r="BL22" s="110"/>
      <c r="BM22" s="119"/>
      <c r="BN22" s="119">
        <f t="shared" si="35"/>
        <v>1862812</v>
      </c>
      <c r="BO22" s="119">
        <f t="shared" si="36"/>
        <v>353934.28</v>
      </c>
      <c r="BP22" s="119">
        <f t="shared" si="37"/>
        <v>2216746</v>
      </c>
      <c r="BQ22" s="119">
        <f t="shared" si="8"/>
        <v>22167460</v>
      </c>
    </row>
    <row r="23" spans="1:69" s="66" customFormat="1" ht="24" customHeight="1" x14ac:dyDescent="0.35">
      <c r="A23" s="68"/>
      <c r="B23" s="226" t="s">
        <v>78</v>
      </c>
      <c r="C23" s="227"/>
      <c r="D23" s="227"/>
      <c r="E23" s="227"/>
      <c r="F23" s="227"/>
      <c r="G23" s="227"/>
      <c r="H23" s="232"/>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05"/>
      <c r="AO23" s="105"/>
      <c r="AP23" s="105"/>
      <c r="AQ23" s="105"/>
      <c r="AR23" s="102"/>
      <c r="AS23" s="102"/>
      <c r="AT23" s="105"/>
      <c r="AU23" s="67"/>
      <c r="AV23" s="67"/>
      <c r="AW23" s="67"/>
      <c r="AX23" s="67"/>
      <c r="AY23" s="67"/>
      <c r="AZ23" s="67"/>
      <c r="BA23" s="67"/>
      <c r="BB23" s="67"/>
      <c r="BC23" s="67"/>
      <c r="BD23" s="67"/>
      <c r="BE23" s="67"/>
      <c r="BF23" s="67"/>
      <c r="BG23" s="67"/>
      <c r="BH23" s="67"/>
      <c r="BI23" s="67"/>
      <c r="BJ23" s="67"/>
      <c r="BK23" s="67"/>
      <c r="BL23" s="67"/>
      <c r="BM23" s="120"/>
      <c r="BN23" s="119"/>
      <c r="BO23" s="120"/>
      <c r="BP23" s="120"/>
      <c r="BQ23" s="120"/>
    </row>
    <row r="24" spans="1:69" s="66" customFormat="1" ht="73.5" x14ac:dyDescent="0.35">
      <c r="A24" s="68"/>
      <c r="B24" s="140">
        <v>5</v>
      </c>
      <c r="C24" s="229" t="s">
        <v>50</v>
      </c>
      <c r="D24" s="229"/>
      <c r="E24" s="102" t="s">
        <v>8</v>
      </c>
      <c r="F24" s="102" t="s">
        <v>6</v>
      </c>
      <c r="G24" s="102">
        <v>1</v>
      </c>
      <c r="H24" s="102">
        <v>2</v>
      </c>
      <c r="I24" s="102" t="s">
        <v>141</v>
      </c>
      <c r="J24" s="102" t="s">
        <v>144</v>
      </c>
      <c r="K24" s="141" t="s">
        <v>151</v>
      </c>
      <c r="L24" s="102">
        <v>26397232</v>
      </c>
      <c r="M24" s="142">
        <f t="shared" si="9"/>
        <v>5015474</v>
      </c>
      <c r="N24" s="102">
        <f t="shared" si="10"/>
        <v>31412706</v>
      </c>
      <c r="O24" s="102">
        <f t="shared" ref="O24:O29" si="39">+N24*H24*G24</f>
        <v>62825412</v>
      </c>
      <c r="P24" s="102">
        <v>24669615</v>
      </c>
      <c r="Q24" s="142">
        <f t="shared" si="11"/>
        <v>4687227</v>
      </c>
      <c r="R24" s="102">
        <f>+Q24+P24</f>
        <v>29356842</v>
      </c>
      <c r="S24" s="102">
        <f t="shared" ref="S24:S28" si="40">+R24*$G24*$H24</f>
        <v>58713684</v>
      </c>
      <c r="T24" s="102">
        <v>28170390</v>
      </c>
      <c r="U24" s="142">
        <f t="shared" si="14"/>
        <v>5352374</v>
      </c>
      <c r="V24" s="102">
        <f>+U24+T24</f>
        <v>33522764</v>
      </c>
      <c r="W24" s="102">
        <f t="shared" ref="W24:W28" si="41">+V24*$G24*$H24</f>
        <v>67045528</v>
      </c>
      <c r="X24" s="102">
        <v>25539556</v>
      </c>
      <c r="Y24" s="142">
        <f t="shared" si="17"/>
        <v>4852516</v>
      </c>
      <c r="Z24" s="102">
        <f>+Y24+X24</f>
        <v>30392072</v>
      </c>
      <c r="AA24" s="102">
        <f t="shared" ref="AA24:AA28" si="42">+Z24*$G24*$H24</f>
        <v>60784144</v>
      </c>
      <c r="AB24" s="163">
        <v>8000000</v>
      </c>
      <c r="AC24" s="142">
        <f t="shared" ref="AC24:AC29" si="43">ROUND(AB24*19%,0)</f>
        <v>1520000</v>
      </c>
      <c r="AD24" s="102">
        <f>+AC24+AB24</f>
        <v>9520000</v>
      </c>
      <c r="AE24" s="102">
        <f t="shared" ref="AE24:AE27" si="44">+AD24*$G24*$H24</f>
        <v>19040000</v>
      </c>
      <c r="AF24" s="102">
        <v>22052477</v>
      </c>
      <c r="AG24" s="142">
        <f t="shared" ref="AG24:AG29" si="45">ROUND(AF24*19%,0)</f>
        <v>4189971</v>
      </c>
      <c r="AH24" s="102">
        <f>+AG24+AF24</f>
        <v>26242448</v>
      </c>
      <c r="AI24" s="102">
        <f t="shared" ref="AI24:AI28" si="46">+AH24*$G24*$H24</f>
        <v>52484896</v>
      </c>
      <c r="AJ24" s="102"/>
      <c r="AK24" s="102"/>
      <c r="AL24" s="102"/>
      <c r="AM24" s="102"/>
      <c r="AN24" s="105"/>
      <c r="AO24" s="102">
        <f t="shared" si="26"/>
        <v>6</v>
      </c>
      <c r="AP24" s="102">
        <f t="shared" si="27"/>
        <v>6729701</v>
      </c>
      <c r="AQ24" s="162">
        <f t="shared" ref="AQ24:AQ29" si="47">AP24/AU24</f>
        <v>0.29947656024541258</v>
      </c>
      <c r="AR24" s="159"/>
      <c r="AS24" s="159" t="s">
        <v>162</v>
      </c>
      <c r="AT24" s="105"/>
      <c r="AU24" s="110">
        <f t="shared" ref="AU24:AU29" si="48">ROUND(AVERAGE(L24,P24,T24,X24,AB24,AF24),0)</f>
        <v>22471545</v>
      </c>
      <c r="AV24" s="110">
        <f t="shared" ref="AV24:AV28" si="49">+AU24*$AW$3</f>
        <v>4269593.55</v>
      </c>
      <c r="AW24" s="110">
        <f t="shared" ref="AW24:AW28" si="50">ROUND(AU24*(1+$AW$3),0)</f>
        <v>26741139</v>
      </c>
      <c r="AX24" s="110">
        <f t="shared" ref="AX24:AX29" si="51">AW24*H24*G24</f>
        <v>53482278</v>
      </c>
      <c r="AY24" s="110">
        <f t="shared" ref="AY24:AY29" si="52">ROUND(GEOMEAN(L24,P24,T24,X24,AB24,AF24),0)</f>
        <v>20871118</v>
      </c>
      <c r="AZ24" s="110">
        <f t="shared" ref="AZ24:AZ28" si="53">+AY24*$AW$3</f>
        <v>3965512.42</v>
      </c>
      <c r="BA24" s="110">
        <f t="shared" ref="BA24:BA28" si="54">ROUND(AY24*(1+$AW$3),0)</f>
        <v>24836630</v>
      </c>
      <c r="BB24" s="110">
        <f t="shared" ref="BB24:BB29" si="55">BA24*H24*G24</f>
        <v>49673260</v>
      </c>
      <c r="BC24" s="110" cm="1">
        <f t="array" ref="BC24">ROUND(AVERAGE(SMALL((AF24,AB24,X24,T24,P24,L24),{1;2;3})),0)</f>
        <v>18240697</v>
      </c>
      <c r="BD24" s="110">
        <f t="shared" ref="BD24:BD28" si="56">BC24*$AW$3</f>
        <v>3465732.43</v>
      </c>
      <c r="BE24" s="110">
        <f t="shared" ref="BE24:BE28" si="57">ROUND(BC24*(1+$AW$3),0)</f>
        <v>21706429</v>
      </c>
      <c r="BF24" s="110">
        <f t="shared" ref="BF24:BF29" si="58">BE24*H24*G24</f>
        <v>43412858</v>
      </c>
      <c r="BG24" s="110" cm="1">
        <f t="array" ref="BG24">ROUND(AVERAGE(SMALL((AF24,AB24,X24,T24,P24,L24),{1;2;3;4})),0)</f>
        <v>20065412</v>
      </c>
      <c r="BH24" s="110">
        <f t="shared" ref="BH24:BH29" si="59">BG24*$AW$3</f>
        <v>3812428.2800000003</v>
      </c>
      <c r="BI24" s="110">
        <f t="shared" ref="BI24:BI29" si="60">ROUND(BG24*(1+$AW$3),0)</f>
        <v>23877840</v>
      </c>
      <c r="BJ24" s="110">
        <f t="shared" ref="BJ24:BJ29" si="61">BI24*H24*G24</f>
        <v>47755680</v>
      </c>
      <c r="BK24" s="110"/>
      <c r="BL24" s="110"/>
      <c r="BM24" s="119"/>
      <c r="BN24" s="119">
        <f t="shared" ref="BN24:BN29" si="62">+AY24</f>
        <v>20871118</v>
      </c>
      <c r="BO24" s="119">
        <f t="shared" ref="BO24:BO28" si="63">+BN24*$AW$3</f>
        <v>3965512.42</v>
      </c>
      <c r="BP24" s="119">
        <f t="shared" ref="BP24:BP28" si="64">ROUND(BN24*(1+$AW$3),0)</f>
        <v>24836630</v>
      </c>
      <c r="BQ24" s="119">
        <f t="shared" ref="BQ24:BQ29" si="65">BP24*H24*G24</f>
        <v>49673260</v>
      </c>
    </row>
    <row r="25" spans="1:69" s="66" customFormat="1" ht="31.5" x14ac:dyDescent="0.35">
      <c r="A25" s="68"/>
      <c r="B25" s="231">
        <v>6</v>
      </c>
      <c r="C25" s="229" t="s">
        <v>54</v>
      </c>
      <c r="D25" s="102" t="s">
        <v>55</v>
      </c>
      <c r="E25" s="102" t="s">
        <v>8</v>
      </c>
      <c r="F25" s="102" t="s">
        <v>6</v>
      </c>
      <c r="G25" s="102">
        <v>2</v>
      </c>
      <c r="H25" s="102">
        <v>12</v>
      </c>
      <c r="I25" s="102" t="s">
        <v>142</v>
      </c>
      <c r="J25" s="102" t="s">
        <v>145</v>
      </c>
      <c r="K25" s="141" t="s">
        <v>147</v>
      </c>
      <c r="L25" s="102">
        <v>6743759.5</v>
      </c>
      <c r="M25" s="142">
        <f t="shared" si="9"/>
        <v>1281314</v>
      </c>
      <c r="N25" s="102">
        <f t="shared" si="10"/>
        <v>8025074</v>
      </c>
      <c r="O25" s="102">
        <f t="shared" si="39"/>
        <v>192601776</v>
      </c>
      <c r="P25" s="102">
        <v>5208659</v>
      </c>
      <c r="Q25" s="142">
        <f t="shared" si="11"/>
        <v>989645</v>
      </c>
      <c r="R25" s="102">
        <f t="shared" ref="R25:R29" si="66">+Q25+P25</f>
        <v>6198304</v>
      </c>
      <c r="S25" s="102">
        <f t="shared" si="40"/>
        <v>148759296</v>
      </c>
      <c r="T25" s="102">
        <v>5895691</v>
      </c>
      <c r="U25" s="142">
        <f t="shared" si="14"/>
        <v>1120181</v>
      </c>
      <c r="V25" s="102">
        <f t="shared" ref="V25:V29" si="67">+U25+T25</f>
        <v>7015872</v>
      </c>
      <c r="W25" s="102">
        <f t="shared" si="41"/>
        <v>168380928</v>
      </c>
      <c r="X25" s="102">
        <v>5779228</v>
      </c>
      <c r="Y25" s="142">
        <f t="shared" si="17"/>
        <v>1098053</v>
      </c>
      <c r="Z25" s="102">
        <f t="shared" ref="Z25:Z29" si="68">+Y25+X25</f>
        <v>6877281</v>
      </c>
      <c r="AA25" s="102">
        <f t="shared" si="42"/>
        <v>165054744</v>
      </c>
      <c r="AB25" s="102">
        <v>14800000</v>
      </c>
      <c r="AC25" s="142">
        <f t="shared" si="43"/>
        <v>2812000</v>
      </c>
      <c r="AD25" s="102">
        <f t="shared" ref="AD25:AD28" si="69">+AC25+AB25</f>
        <v>17612000</v>
      </c>
      <c r="AE25" s="102">
        <f t="shared" si="44"/>
        <v>422688000</v>
      </c>
      <c r="AF25" s="102">
        <f>141233445/H25</f>
        <v>11769453.75</v>
      </c>
      <c r="AG25" s="142">
        <f t="shared" si="45"/>
        <v>2236196</v>
      </c>
      <c r="AH25" s="102">
        <f t="shared" ref="AH25:AH28" si="70">+AG25+AF25</f>
        <v>14005649.75</v>
      </c>
      <c r="AI25" s="102">
        <f t="shared" si="46"/>
        <v>336135594</v>
      </c>
      <c r="AJ25" s="102"/>
      <c r="AK25" s="102"/>
      <c r="AL25" s="102"/>
      <c r="AM25" s="102"/>
      <c r="AN25" s="105"/>
      <c r="AO25" s="102">
        <f t="shared" si="26"/>
        <v>6</v>
      </c>
      <c r="AP25" s="102">
        <f t="shared" si="27"/>
        <v>3614188</v>
      </c>
      <c r="AQ25" s="162">
        <f t="shared" si="47"/>
        <v>0.43200226819275622</v>
      </c>
      <c r="AR25" s="159"/>
      <c r="AS25" s="159"/>
      <c r="AT25" s="105"/>
      <c r="AU25" s="110">
        <f t="shared" si="48"/>
        <v>8366132</v>
      </c>
      <c r="AV25" s="110">
        <f t="shared" si="49"/>
        <v>1589565.08</v>
      </c>
      <c r="AW25" s="110">
        <f t="shared" si="50"/>
        <v>9955697</v>
      </c>
      <c r="AX25" s="110">
        <f t="shared" si="51"/>
        <v>238936728</v>
      </c>
      <c r="AY25" s="110">
        <f t="shared" si="52"/>
        <v>7700314</v>
      </c>
      <c r="AZ25" s="110">
        <f t="shared" si="53"/>
        <v>1463059.66</v>
      </c>
      <c r="BA25" s="110">
        <f t="shared" si="54"/>
        <v>9163374</v>
      </c>
      <c r="BB25" s="110">
        <f t="shared" si="55"/>
        <v>219920976</v>
      </c>
      <c r="BC25" s="110" cm="1">
        <f t="array" ref="BC25">ROUND(AVERAGE(SMALL((AF25,AB25,X25,T25,P25,L25),{1;2;3})),0)</f>
        <v>5627859</v>
      </c>
      <c r="BD25" s="110">
        <f t="shared" si="56"/>
        <v>1069293.21</v>
      </c>
      <c r="BE25" s="110">
        <f t="shared" si="57"/>
        <v>6697152</v>
      </c>
      <c r="BF25" s="110">
        <f t="shared" si="58"/>
        <v>160731648</v>
      </c>
      <c r="BG25" s="110" cm="1">
        <f t="array" ref="BG25">ROUND(AVERAGE(SMALL((AF25,AB25,X25,T25,P25,L25),{1;2;3;4})),0)</f>
        <v>5906834</v>
      </c>
      <c r="BH25" s="110">
        <f t="shared" si="59"/>
        <v>1122298.46</v>
      </c>
      <c r="BI25" s="110">
        <f t="shared" si="60"/>
        <v>7029132</v>
      </c>
      <c r="BJ25" s="110">
        <f t="shared" si="61"/>
        <v>168699168</v>
      </c>
      <c r="BK25" s="110"/>
      <c r="BL25" s="110"/>
      <c r="BM25" s="119"/>
      <c r="BN25" s="119">
        <f t="shared" si="62"/>
        <v>7700314</v>
      </c>
      <c r="BO25" s="119">
        <f t="shared" si="63"/>
        <v>1463059.66</v>
      </c>
      <c r="BP25" s="119">
        <f t="shared" si="64"/>
        <v>9163374</v>
      </c>
      <c r="BQ25" s="119">
        <f t="shared" si="65"/>
        <v>219920976</v>
      </c>
    </row>
    <row r="26" spans="1:69" s="66" customFormat="1" ht="31.5" x14ac:dyDescent="0.35">
      <c r="A26" s="68"/>
      <c r="B26" s="231"/>
      <c r="C26" s="229"/>
      <c r="D26" s="102" t="s">
        <v>58</v>
      </c>
      <c r="E26" s="102" t="s">
        <v>8</v>
      </c>
      <c r="F26" s="102" t="s">
        <v>6</v>
      </c>
      <c r="G26" s="102">
        <v>2</v>
      </c>
      <c r="H26" s="102">
        <v>12</v>
      </c>
      <c r="I26" s="102" t="s">
        <v>142</v>
      </c>
      <c r="J26" s="102" t="s">
        <v>145</v>
      </c>
      <c r="K26" s="141" t="s">
        <v>147</v>
      </c>
      <c r="L26" s="102">
        <v>9816560.5999999996</v>
      </c>
      <c r="M26" s="142">
        <f t="shared" si="9"/>
        <v>1865147</v>
      </c>
      <c r="N26" s="102">
        <f t="shared" si="10"/>
        <v>11681708</v>
      </c>
      <c r="O26" s="102">
        <f t="shared" si="39"/>
        <v>280360992</v>
      </c>
      <c r="P26" s="102">
        <v>9319077</v>
      </c>
      <c r="Q26" s="142">
        <f t="shared" si="11"/>
        <v>1770625</v>
      </c>
      <c r="R26" s="102">
        <f t="shared" si="66"/>
        <v>11089702</v>
      </c>
      <c r="S26" s="102">
        <f t="shared" si="40"/>
        <v>266152848</v>
      </c>
      <c r="T26" s="102">
        <v>8837838</v>
      </c>
      <c r="U26" s="142">
        <f t="shared" si="14"/>
        <v>1679189</v>
      </c>
      <c r="V26" s="102">
        <f t="shared" si="67"/>
        <v>10517027</v>
      </c>
      <c r="W26" s="102">
        <f t="shared" si="41"/>
        <v>252408648</v>
      </c>
      <c r="X26" s="102">
        <v>9271860</v>
      </c>
      <c r="Y26" s="142">
        <f t="shared" si="17"/>
        <v>1761653</v>
      </c>
      <c r="Z26" s="102">
        <f t="shared" si="68"/>
        <v>11033513</v>
      </c>
      <c r="AA26" s="102">
        <f t="shared" si="42"/>
        <v>264804312</v>
      </c>
      <c r="AB26" s="102">
        <v>14300000</v>
      </c>
      <c r="AC26" s="142">
        <f t="shared" si="43"/>
        <v>2717000</v>
      </c>
      <c r="AD26" s="102">
        <f t="shared" si="69"/>
        <v>17017000</v>
      </c>
      <c r="AE26" s="102">
        <f t="shared" si="44"/>
        <v>408408000</v>
      </c>
      <c r="AF26" s="102">
        <f>157502966/H26</f>
        <v>13125247.166666666</v>
      </c>
      <c r="AG26" s="142">
        <f t="shared" si="45"/>
        <v>2493797</v>
      </c>
      <c r="AH26" s="102">
        <f t="shared" si="70"/>
        <v>15619044.166666666</v>
      </c>
      <c r="AI26" s="102">
        <f t="shared" si="46"/>
        <v>374857060</v>
      </c>
      <c r="AJ26" s="102"/>
      <c r="AK26" s="102"/>
      <c r="AL26" s="102"/>
      <c r="AM26" s="102"/>
      <c r="AN26" s="105"/>
      <c r="AO26" s="102">
        <f t="shared" si="26"/>
        <v>6</v>
      </c>
      <c r="AP26" s="102">
        <f t="shared" si="27"/>
        <v>2121303</v>
      </c>
      <c r="AQ26" s="162">
        <f t="shared" si="47"/>
        <v>0.19681001778552165</v>
      </c>
      <c r="AR26" s="159"/>
      <c r="AS26" s="159"/>
      <c r="AT26" s="105"/>
      <c r="AU26" s="110">
        <f t="shared" si="48"/>
        <v>10778430</v>
      </c>
      <c r="AV26" s="110">
        <f t="shared" si="49"/>
        <v>2047901.7</v>
      </c>
      <c r="AW26" s="110">
        <f t="shared" si="50"/>
        <v>12826332</v>
      </c>
      <c r="AX26" s="110">
        <f t="shared" si="51"/>
        <v>307831968</v>
      </c>
      <c r="AY26" s="110">
        <f t="shared" si="52"/>
        <v>10585583</v>
      </c>
      <c r="AZ26" s="110">
        <f t="shared" si="53"/>
        <v>2011260.77</v>
      </c>
      <c r="BA26" s="110">
        <f t="shared" si="54"/>
        <v>12596844</v>
      </c>
      <c r="BB26" s="110">
        <f t="shared" si="55"/>
        <v>302324256</v>
      </c>
      <c r="BC26" s="110" cm="1">
        <f t="array" ref="BC26">ROUND(AVERAGE(SMALL((AF26,AB26,X26,T26,P26,L26),{1;2;3})),0)</f>
        <v>9142925</v>
      </c>
      <c r="BD26" s="110">
        <f t="shared" si="56"/>
        <v>1737155.75</v>
      </c>
      <c r="BE26" s="110">
        <f t="shared" si="57"/>
        <v>10880081</v>
      </c>
      <c r="BF26" s="110">
        <f t="shared" si="58"/>
        <v>261121944</v>
      </c>
      <c r="BG26" s="110" cm="1">
        <f t="array" ref="BG26">ROUND(AVERAGE(SMALL((AF26,AB26,X26,T26,P26,L26),{1;2;3;4})),0)</f>
        <v>9311334</v>
      </c>
      <c r="BH26" s="110">
        <f t="shared" si="59"/>
        <v>1769153.46</v>
      </c>
      <c r="BI26" s="110">
        <f t="shared" si="60"/>
        <v>11080487</v>
      </c>
      <c r="BJ26" s="110">
        <f t="shared" si="61"/>
        <v>265931688</v>
      </c>
      <c r="BK26" s="110"/>
      <c r="BL26" s="110"/>
      <c r="BM26" s="119"/>
      <c r="BN26" s="119">
        <f t="shared" si="62"/>
        <v>10585583</v>
      </c>
      <c r="BO26" s="119">
        <f t="shared" si="63"/>
        <v>2011260.77</v>
      </c>
      <c r="BP26" s="119">
        <f t="shared" si="64"/>
        <v>12596844</v>
      </c>
      <c r="BQ26" s="119">
        <f t="shared" si="65"/>
        <v>302324256</v>
      </c>
    </row>
    <row r="27" spans="1:69" s="66" customFormat="1" ht="31.5" x14ac:dyDescent="0.35">
      <c r="A27" s="68"/>
      <c r="B27" s="231"/>
      <c r="C27" s="229"/>
      <c r="D27" s="102" t="s">
        <v>79</v>
      </c>
      <c r="E27" s="102" t="s">
        <v>8</v>
      </c>
      <c r="F27" s="102" t="s">
        <v>6</v>
      </c>
      <c r="G27" s="102">
        <v>1</v>
      </c>
      <c r="H27" s="102">
        <v>12</v>
      </c>
      <c r="I27" s="102" t="s">
        <v>142</v>
      </c>
      <c r="J27" s="102" t="s">
        <v>145</v>
      </c>
      <c r="K27" s="141" t="s">
        <v>152</v>
      </c>
      <c r="L27" s="102">
        <v>3833896.6</v>
      </c>
      <c r="M27" s="142">
        <f t="shared" si="9"/>
        <v>728440</v>
      </c>
      <c r="N27" s="102">
        <f t="shared" si="10"/>
        <v>4562337</v>
      </c>
      <c r="O27" s="102">
        <f t="shared" si="39"/>
        <v>54748044</v>
      </c>
      <c r="P27" s="102">
        <v>2765418</v>
      </c>
      <c r="Q27" s="142">
        <f t="shared" si="11"/>
        <v>525429</v>
      </c>
      <c r="R27" s="102">
        <f t="shared" si="66"/>
        <v>3290847</v>
      </c>
      <c r="S27" s="102">
        <f t="shared" si="40"/>
        <v>39490164</v>
      </c>
      <c r="T27" s="102">
        <v>2809691</v>
      </c>
      <c r="U27" s="142">
        <f t="shared" si="14"/>
        <v>533841</v>
      </c>
      <c r="V27" s="102">
        <f t="shared" si="67"/>
        <v>3343532</v>
      </c>
      <c r="W27" s="102">
        <f t="shared" si="41"/>
        <v>40122384</v>
      </c>
      <c r="X27" s="102">
        <v>2850900</v>
      </c>
      <c r="Y27" s="142">
        <f t="shared" si="17"/>
        <v>541671</v>
      </c>
      <c r="Z27" s="102">
        <f t="shared" si="68"/>
        <v>3392571</v>
      </c>
      <c r="AA27" s="102">
        <f t="shared" si="42"/>
        <v>40710852</v>
      </c>
      <c r="AB27" s="102">
        <v>6300000</v>
      </c>
      <c r="AC27" s="142">
        <f t="shared" si="43"/>
        <v>1197000</v>
      </c>
      <c r="AD27" s="102">
        <f t="shared" si="69"/>
        <v>7497000</v>
      </c>
      <c r="AE27" s="102">
        <f t="shared" si="44"/>
        <v>89964000</v>
      </c>
      <c r="AF27" s="102">
        <f>67545202/H27</f>
        <v>5628766.833333333</v>
      </c>
      <c r="AG27" s="142">
        <f t="shared" si="45"/>
        <v>1069466</v>
      </c>
      <c r="AH27" s="102">
        <f t="shared" si="70"/>
        <v>6698232.833333333</v>
      </c>
      <c r="AI27" s="102">
        <f t="shared" si="46"/>
        <v>80378794</v>
      </c>
      <c r="AJ27" s="102"/>
      <c r="AK27" s="102"/>
      <c r="AL27" s="102"/>
      <c r="AM27" s="102"/>
      <c r="AN27" s="105"/>
      <c r="AO27" s="102">
        <f t="shared" si="26"/>
        <v>6</v>
      </c>
      <c r="AP27" s="102">
        <f t="shared" si="27"/>
        <v>1427468</v>
      </c>
      <c r="AQ27" s="162">
        <f t="shared" si="47"/>
        <v>0.35408346138915453</v>
      </c>
      <c r="AR27" s="159"/>
      <c r="AS27" s="159"/>
      <c r="AT27" s="105"/>
      <c r="AU27" s="110">
        <f t="shared" si="48"/>
        <v>4031445</v>
      </c>
      <c r="AV27" s="110">
        <f t="shared" si="49"/>
        <v>765974.55</v>
      </c>
      <c r="AW27" s="110">
        <f t="shared" si="50"/>
        <v>4797420</v>
      </c>
      <c r="AX27" s="110">
        <f t="shared" si="51"/>
        <v>57569040</v>
      </c>
      <c r="AY27" s="110">
        <f t="shared" si="52"/>
        <v>3800137</v>
      </c>
      <c r="AZ27" s="110">
        <f t="shared" si="53"/>
        <v>722026.03</v>
      </c>
      <c r="BA27" s="110">
        <f t="shared" si="54"/>
        <v>4522163</v>
      </c>
      <c r="BB27" s="110">
        <f t="shared" si="55"/>
        <v>54265956</v>
      </c>
      <c r="BC27" s="110" cm="1">
        <f t="array" ref="BC27">ROUND(AVERAGE(SMALL((AF27,AB27,X27,T27,P27,L27),{1;2;3})),0)</f>
        <v>2808670</v>
      </c>
      <c r="BD27" s="110">
        <f t="shared" si="56"/>
        <v>533647.30000000005</v>
      </c>
      <c r="BE27" s="110">
        <f t="shared" si="57"/>
        <v>3342317</v>
      </c>
      <c r="BF27" s="110">
        <f t="shared" si="58"/>
        <v>40107804</v>
      </c>
      <c r="BG27" s="110" cm="1">
        <f t="array" ref="BG27">ROUND(AVERAGE(SMALL((AF27,AB27,X27,T27,P27,L27),{1;2;3;4})),0)</f>
        <v>3064976</v>
      </c>
      <c r="BH27" s="110">
        <f t="shared" si="59"/>
        <v>582345.44000000006</v>
      </c>
      <c r="BI27" s="110">
        <f t="shared" si="60"/>
        <v>3647321</v>
      </c>
      <c r="BJ27" s="110">
        <f t="shared" si="61"/>
        <v>43767852</v>
      </c>
      <c r="BK27" s="110"/>
      <c r="BL27" s="110"/>
      <c r="BM27" s="119"/>
      <c r="BN27" s="119">
        <f t="shared" si="62"/>
        <v>3800137</v>
      </c>
      <c r="BO27" s="119">
        <f t="shared" si="63"/>
        <v>722026.03</v>
      </c>
      <c r="BP27" s="119">
        <f t="shared" si="64"/>
        <v>4522163</v>
      </c>
      <c r="BQ27" s="119">
        <f t="shared" si="65"/>
        <v>54265956</v>
      </c>
    </row>
    <row r="28" spans="1:69" s="66" customFormat="1" ht="55.75" customHeight="1" x14ac:dyDescent="0.35">
      <c r="A28" s="68"/>
      <c r="B28" s="231"/>
      <c r="C28" s="229"/>
      <c r="D28" s="102" t="s">
        <v>62</v>
      </c>
      <c r="E28" s="102" t="s">
        <v>8</v>
      </c>
      <c r="F28" s="102" t="s">
        <v>6</v>
      </c>
      <c r="G28" s="102">
        <v>1700</v>
      </c>
      <c r="H28" s="102">
        <v>12</v>
      </c>
      <c r="I28" s="102" t="s">
        <v>142</v>
      </c>
      <c r="J28" s="102" t="s">
        <v>145</v>
      </c>
      <c r="K28" s="141" t="s">
        <v>147</v>
      </c>
      <c r="L28" s="102">
        <v>4097.3999999999996</v>
      </c>
      <c r="M28" s="142">
        <f t="shared" si="9"/>
        <v>779</v>
      </c>
      <c r="N28" s="102">
        <f t="shared" si="10"/>
        <v>4876</v>
      </c>
      <c r="O28" s="102">
        <f t="shared" si="39"/>
        <v>99470400</v>
      </c>
      <c r="P28" s="102">
        <v>4143</v>
      </c>
      <c r="Q28" s="142">
        <f t="shared" si="11"/>
        <v>787</v>
      </c>
      <c r="R28" s="102">
        <f t="shared" si="66"/>
        <v>4930</v>
      </c>
      <c r="S28" s="102">
        <f t="shared" si="40"/>
        <v>100572000</v>
      </c>
      <c r="T28" s="102">
        <v>4062</v>
      </c>
      <c r="U28" s="142">
        <f t="shared" si="14"/>
        <v>772</v>
      </c>
      <c r="V28" s="102">
        <f t="shared" si="67"/>
        <v>4834</v>
      </c>
      <c r="W28" s="102">
        <f t="shared" si="41"/>
        <v>98613600</v>
      </c>
      <c r="X28" s="102">
        <v>4122</v>
      </c>
      <c r="Y28" s="142">
        <f t="shared" si="17"/>
        <v>783</v>
      </c>
      <c r="Z28" s="102">
        <f t="shared" si="68"/>
        <v>4905</v>
      </c>
      <c r="AA28" s="102">
        <f t="shared" si="42"/>
        <v>100062000</v>
      </c>
      <c r="AB28" s="160">
        <v>50000</v>
      </c>
      <c r="AC28" s="142">
        <f t="shared" si="43"/>
        <v>9500</v>
      </c>
      <c r="AD28" s="102">
        <f t="shared" si="69"/>
        <v>59500</v>
      </c>
      <c r="AE28" s="102">
        <f>+AD28*$G28*$H28</f>
        <v>1213800000</v>
      </c>
      <c r="AF28" s="163">
        <v>3272.4522573735371</v>
      </c>
      <c r="AG28" s="142">
        <f t="shared" si="45"/>
        <v>622</v>
      </c>
      <c r="AH28" s="102">
        <f t="shared" si="70"/>
        <v>3894.4522573735371</v>
      </c>
      <c r="AI28" s="102">
        <f t="shared" si="46"/>
        <v>79446826.050420165</v>
      </c>
      <c r="AJ28" s="102"/>
      <c r="AK28" s="102"/>
      <c r="AL28" s="102"/>
      <c r="AM28" s="102"/>
      <c r="AN28" s="105"/>
      <c r="AO28" s="102">
        <f t="shared" si="26"/>
        <v>6</v>
      </c>
      <c r="AP28" s="102">
        <f t="shared" si="27"/>
        <v>17168</v>
      </c>
      <c r="AQ28" s="162">
        <f t="shared" si="47"/>
        <v>1.4779614325068871</v>
      </c>
      <c r="AR28" s="159" t="s">
        <v>161</v>
      </c>
      <c r="AS28" s="159" t="s">
        <v>162</v>
      </c>
      <c r="AT28" s="105"/>
      <c r="AU28" s="110">
        <f t="shared" si="48"/>
        <v>11616</v>
      </c>
      <c r="AV28" s="110">
        <f t="shared" si="49"/>
        <v>2207.04</v>
      </c>
      <c r="AW28" s="110">
        <f t="shared" si="50"/>
        <v>13823</v>
      </c>
      <c r="AX28" s="110">
        <f t="shared" si="51"/>
        <v>281989200</v>
      </c>
      <c r="AY28" s="110">
        <f t="shared" si="52"/>
        <v>5997</v>
      </c>
      <c r="AZ28" s="110">
        <f t="shared" si="53"/>
        <v>1139.43</v>
      </c>
      <c r="BA28" s="110">
        <f t="shared" si="54"/>
        <v>7136</v>
      </c>
      <c r="BB28" s="110">
        <f t="shared" si="55"/>
        <v>145574400</v>
      </c>
      <c r="BC28" s="110" cm="1">
        <f t="array" ref="BC28">ROUND(AVERAGE(SMALL((AF28,AB28,X28,T28,P28,L28),{1;2;3})),0)</f>
        <v>3811</v>
      </c>
      <c r="BD28" s="110">
        <f t="shared" si="56"/>
        <v>724.09</v>
      </c>
      <c r="BE28" s="110">
        <f t="shared" si="57"/>
        <v>4535</v>
      </c>
      <c r="BF28" s="110">
        <f t="shared" si="58"/>
        <v>92514000</v>
      </c>
      <c r="BG28" s="110" cm="1">
        <f t="array" ref="BG28">ROUND(AVERAGE(SMALL((AF28,AB28,X28,T28,P28,L28),{1;2;3;4})),0)</f>
        <v>3888</v>
      </c>
      <c r="BH28" s="110">
        <f t="shared" si="59"/>
        <v>738.72</v>
      </c>
      <c r="BI28" s="110">
        <f t="shared" si="60"/>
        <v>4627</v>
      </c>
      <c r="BJ28" s="110">
        <f t="shared" si="61"/>
        <v>94390800</v>
      </c>
      <c r="BK28" s="110"/>
      <c r="BL28" s="110"/>
      <c r="BM28" s="119"/>
      <c r="BN28" s="119">
        <f t="shared" si="62"/>
        <v>5997</v>
      </c>
      <c r="BO28" s="119">
        <f t="shared" si="63"/>
        <v>1139.43</v>
      </c>
      <c r="BP28" s="119">
        <f t="shared" si="64"/>
        <v>7136</v>
      </c>
      <c r="BQ28" s="119">
        <f t="shared" si="65"/>
        <v>145574400</v>
      </c>
    </row>
    <row r="29" spans="1:69" s="66" customFormat="1" ht="89.4" customHeight="1" x14ac:dyDescent="0.35">
      <c r="A29" s="68"/>
      <c r="B29" s="140">
        <v>7</v>
      </c>
      <c r="C29" s="143" t="s">
        <v>67</v>
      </c>
      <c r="D29" s="143" t="s">
        <v>80</v>
      </c>
      <c r="E29" s="102" t="s">
        <v>8</v>
      </c>
      <c r="F29" s="102" t="s">
        <v>6</v>
      </c>
      <c r="G29" s="102">
        <v>150</v>
      </c>
      <c r="H29" s="102">
        <v>12</v>
      </c>
      <c r="I29" s="102" t="s">
        <v>142</v>
      </c>
      <c r="J29" s="102" t="s">
        <v>145</v>
      </c>
      <c r="K29" s="141" t="s">
        <v>152</v>
      </c>
      <c r="L29" s="102">
        <v>25906.78</v>
      </c>
      <c r="M29" s="142">
        <f t="shared" si="9"/>
        <v>4922</v>
      </c>
      <c r="N29" s="102">
        <f t="shared" si="10"/>
        <v>30829</v>
      </c>
      <c r="O29" s="102">
        <f t="shared" si="39"/>
        <v>55492200</v>
      </c>
      <c r="P29" s="102">
        <v>26195</v>
      </c>
      <c r="Q29" s="142">
        <f t="shared" si="11"/>
        <v>4977</v>
      </c>
      <c r="R29" s="102">
        <f t="shared" si="66"/>
        <v>31172</v>
      </c>
      <c r="S29" s="102">
        <f>+R29*$G29*$H29</f>
        <v>56109600</v>
      </c>
      <c r="T29" s="102">
        <v>25686</v>
      </c>
      <c r="U29" s="142">
        <f t="shared" si="14"/>
        <v>4880</v>
      </c>
      <c r="V29" s="102">
        <f t="shared" si="67"/>
        <v>30566</v>
      </c>
      <c r="W29" s="102">
        <f>+V29*$G29*$H29</f>
        <v>55018800</v>
      </c>
      <c r="X29" s="102">
        <v>26062</v>
      </c>
      <c r="Y29" s="142">
        <f t="shared" si="17"/>
        <v>4952</v>
      </c>
      <c r="Z29" s="102">
        <f t="shared" si="68"/>
        <v>31014</v>
      </c>
      <c r="AA29" s="102">
        <f>+Z29*$G29*$H29</f>
        <v>55825200</v>
      </c>
      <c r="AB29" s="102">
        <v>33000</v>
      </c>
      <c r="AC29" s="142">
        <f t="shared" si="43"/>
        <v>6270</v>
      </c>
      <c r="AD29" s="102">
        <f t="shared" ref="AD29" si="71">+AC29+AB29</f>
        <v>39270</v>
      </c>
      <c r="AE29" s="102">
        <f t="shared" ref="AE29" si="72">+AD29*$G29*$H29</f>
        <v>70686000</v>
      </c>
      <c r="AF29" s="160">
        <v>62661.580765639592</v>
      </c>
      <c r="AG29" s="142">
        <f t="shared" si="45"/>
        <v>11906</v>
      </c>
      <c r="AH29" s="102">
        <f t="shared" ref="AH29" si="73">+AG29+AF29</f>
        <v>74567.580765639592</v>
      </c>
      <c r="AI29" s="102">
        <f t="shared" ref="AI29" si="74">+AH29*$G29*$H29</f>
        <v>134221645.37815127</v>
      </c>
      <c r="AJ29" s="102"/>
      <c r="AK29" s="102"/>
      <c r="AL29" s="102"/>
      <c r="AM29" s="102"/>
      <c r="AN29" s="105"/>
      <c r="AO29" s="102">
        <f t="shared" si="26"/>
        <v>6</v>
      </c>
      <c r="AP29" s="102">
        <f t="shared" si="27"/>
        <v>13402</v>
      </c>
      <c r="AQ29" s="162">
        <f t="shared" si="47"/>
        <v>0.40304342595934078</v>
      </c>
      <c r="AR29" s="159" t="s">
        <v>161</v>
      </c>
      <c r="AS29" s="159"/>
      <c r="AT29" s="105"/>
      <c r="AU29" s="110">
        <f t="shared" si="48"/>
        <v>33252</v>
      </c>
      <c r="AV29" s="110">
        <f t="shared" ref="AV29" si="75">+AU29*$AW$3</f>
        <v>6317.88</v>
      </c>
      <c r="AW29" s="110">
        <f t="shared" ref="AW29" si="76">ROUND(AU29*(1+$AW$3),0)</f>
        <v>39570</v>
      </c>
      <c r="AX29" s="110">
        <f t="shared" si="51"/>
        <v>71226000</v>
      </c>
      <c r="AY29" s="110">
        <f t="shared" si="52"/>
        <v>31295</v>
      </c>
      <c r="AZ29" s="110">
        <f t="shared" ref="AZ29" si="77">+AY29*$AW$3</f>
        <v>5946.05</v>
      </c>
      <c r="BA29" s="110">
        <f t="shared" ref="BA29" si="78">ROUND(AY29*(1+$AW$3),0)</f>
        <v>37241</v>
      </c>
      <c r="BB29" s="110">
        <f t="shared" si="55"/>
        <v>67033800</v>
      </c>
      <c r="BC29" s="110" cm="1">
        <f t="array" ref="BC29">ROUND(AVERAGE(SMALL((AF29,AB29,X29,T29,P29,L29),{1;2;3})),0)</f>
        <v>25885</v>
      </c>
      <c r="BD29" s="110">
        <f t="shared" ref="BD29" si="79">BC29*$AW$3</f>
        <v>4918.1499999999996</v>
      </c>
      <c r="BE29" s="110">
        <f t="shared" ref="BE29" si="80">ROUND(BC29*(1+$AW$3),0)</f>
        <v>30803</v>
      </c>
      <c r="BF29" s="110">
        <f t="shared" si="58"/>
        <v>55445400</v>
      </c>
      <c r="BG29" s="110" cm="1">
        <f t="array" ref="BG29">ROUND(AVERAGE(SMALL((AF29,AB29,X29,T29,P29,L29),{1;2;3;4})),0)</f>
        <v>25962</v>
      </c>
      <c r="BH29" s="110">
        <f t="shared" si="59"/>
        <v>4932.78</v>
      </c>
      <c r="BI29" s="110">
        <f t="shared" si="60"/>
        <v>30895</v>
      </c>
      <c r="BJ29" s="110">
        <f t="shared" si="61"/>
        <v>55611000</v>
      </c>
      <c r="BK29" s="110"/>
      <c r="BL29" s="110"/>
      <c r="BM29" s="119"/>
      <c r="BN29" s="119">
        <f t="shared" si="62"/>
        <v>31295</v>
      </c>
      <c r="BO29" s="119">
        <f t="shared" ref="BO29" si="81">+BN29*$AW$3</f>
        <v>5946.05</v>
      </c>
      <c r="BP29" s="119">
        <f t="shared" ref="BP29" si="82">ROUND(BN29*(1+$AW$3),0)</f>
        <v>37241</v>
      </c>
      <c r="BQ29" s="119">
        <f t="shared" si="65"/>
        <v>67033800</v>
      </c>
    </row>
    <row r="30" spans="1:69" s="66" customFormat="1" ht="35.4" customHeight="1" x14ac:dyDescent="0.35">
      <c r="A30" s="68"/>
      <c r="B30" s="226" t="s">
        <v>81</v>
      </c>
      <c r="C30" s="227"/>
      <c r="D30" s="227"/>
      <c r="E30" s="227"/>
      <c r="F30" s="227"/>
      <c r="G30" s="227"/>
      <c r="H30" s="227"/>
      <c r="I30" s="151"/>
      <c r="J30" s="151"/>
      <c r="K30" s="151"/>
      <c r="L30" s="151"/>
      <c r="M30" s="151"/>
      <c r="N30" s="151"/>
      <c r="O30" s="151"/>
      <c r="P30" s="151"/>
      <c r="Q30" s="151"/>
      <c r="R30" s="151"/>
      <c r="S30" s="151"/>
      <c r="T30" s="151"/>
      <c r="U30" s="151"/>
      <c r="V30" s="151"/>
      <c r="W30" s="151"/>
      <c r="X30" s="151"/>
      <c r="Y30" s="151"/>
      <c r="Z30" s="151"/>
      <c r="AA30" s="151"/>
      <c r="AB30" s="151"/>
      <c r="AC30" s="151"/>
      <c r="AD30" s="151"/>
      <c r="AE30" s="151"/>
      <c r="AF30" s="151"/>
      <c r="AG30" s="151"/>
      <c r="AH30" s="151"/>
      <c r="AI30" s="151"/>
      <c r="AJ30" s="151"/>
      <c r="AK30" s="151"/>
      <c r="AL30" s="151"/>
      <c r="AM30" s="152"/>
      <c r="AN30" s="105"/>
      <c r="AO30" s="105"/>
      <c r="AP30" s="105"/>
      <c r="AQ30" s="105"/>
      <c r="AR30" s="102"/>
      <c r="AS30" s="102"/>
      <c r="AT30" s="105"/>
      <c r="AU30" s="67"/>
      <c r="AV30" s="67"/>
      <c r="AW30" s="67"/>
      <c r="AX30" s="67"/>
      <c r="AY30" s="67"/>
      <c r="AZ30" s="67"/>
      <c r="BA30" s="67"/>
      <c r="BB30" s="67"/>
      <c r="BC30" s="67"/>
      <c r="BD30" s="67"/>
      <c r="BE30" s="67"/>
      <c r="BF30" s="67"/>
      <c r="BG30" s="67"/>
      <c r="BH30" s="67"/>
      <c r="BI30" s="67"/>
      <c r="BJ30" s="67"/>
      <c r="BK30" s="67"/>
      <c r="BL30" s="67"/>
      <c r="BM30" s="120"/>
      <c r="BN30" s="119"/>
      <c r="BO30" s="120"/>
      <c r="BP30" s="120"/>
      <c r="BQ30" s="120"/>
    </row>
    <row r="31" spans="1:69" s="66" customFormat="1" ht="42" x14ac:dyDescent="0.35">
      <c r="A31" s="68"/>
      <c r="B31" s="140">
        <v>8</v>
      </c>
      <c r="C31" s="229" t="s">
        <v>91</v>
      </c>
      <c r="D31" s="229"/>
      <c r="E31" s="102" t="s">
        <v>8</v>
      </c>
      <c r="F31" s="102" t="s">
        <v>6</v>
      </c>
      <c r="G31" s="102">
        <v>1</v>
      </c>
      <c r="H31" s="102">
        <v>12</v>
      </c>
      <c r="I31" s="102" t="s">
        <v>142</v>
      </c>
      <c r="J31" s="102" t="s">
        <v>145</v>
      </c>
      <c r="K31" s="141" t="s">
        <v>147</v>
      </c>
      <c r="L31" s="102">
        <v>11882956.1</v>
      </c>
      <c r="M31" s="142">
        <f t="shared" si="9"/>
        <v>2257762</v>
      </c>
      <c r="N31" s="102">
        <f t="shared" si="10"/>
        <v>14140718</v>
      </c>
      <c r="O31" s="102">
        <f>+N31*H31*G31</f>
        <v>169688616</v>
      </c>
      <c r="P31" s="102">
        <v>13815133</v>
      </c>
      <c r="Q31" s="142">
        <f t="shared" si="11"/>
        <v>2624875</v>
      </c>
      <c r="R31" s="102">
        <f>+Q31+P31</f>
        <v>16440008</v>
      </c>
      <c r="S31" s="102">
        <f t="shared" ref="S31" si="83">+R31*$G31*$H31</f>
        <v>197280096</v>
      </c>
      <c r="T31" s="102">
        <v>11781450</v>
      </c>
      <c r="U31" s="142">
        <f t="shared" si="14"/>
        <v>2238476</v>
      </c>
      <c r="V31" s="102">
        <f>+U31+T31</f>
        <v>14019926</v>
      </c>
      <c r="W31" s="102">
        <f t="shared" ref="W31" si="84">+V31*$G31*$H31</f>
        <v>168239112</v>
      </c>
      <c r="X31" s="102">
        <v>11954222</v>
      </c>
      <c r="Y31" s="142">
        <f t="shared" si="17"/>
        <v>2271302</v>
      </c>
      <c r="Z31" s="102">
        <f>+Y31+X31</f>
        <v>14225524</v>
      </c>
      <c r="AA31" s="102">
        <f t="shared" ref="AA31" si="85">+Z31*$G31*$H31</f>
        <v>170706288</v>
      </c>
      <c r="AB31" s="73" t="s">
        <v>103</v>
      </c>
      <c r="AC31" s="73"/>
      <c r="AD31" s="73"/>
      <c r="AE31" s="73"/>
      <c r="AF31" s="160">
        <v>126665621</v>
      </c>
      <c r="AG31" s="142">
        <f t="shared" ref="AG31:AG32" si="86">ROUND(AF31*19%,0)</f>
        <v>24066468</v>
      </c>
      <c r="AH31" s="102">
        <f>+AG31+AF31</f>
        <v>150732089</v>
      </c>
      <c r="AI31" s="102">
        <f>+AH31*$G31</f>
        <v>150732089</v>
      </c>
      <c r="AJ31" s="102"/>
      <c r="AK31" s="102"/>
      <c r="AL31" s="102"/>
      <c r="AM31" s="102"/>
      <c r="AN31" s="105"/>
      <c r="AO31" s="102">
        <f t="shared" si="26"/>
        <v>5</v>
      </c>
      <c r="AP31" s="102">
        <f t="shared" si="27"/>
        <v>45729093</v>
      </c>
      <c r="AQ31" s="162">
        <f>AP31/AU31</f>
        <v>1.2983888131803758</v>
      </c>
      <c r="AR31" s="159" t="s">
        <v>161</v>
      </c>
      <c r="AS31" s="159"/>
      <c r="AT31" s="105"/>
      <c r="AU31" s="110">
        <f>ROUND(AVERAGE(L31,P31,T31,X31,AF31),0)</f>
        <v>35219876</v>
      </c>
      <c r="AV31" s="110">
        <f t="shared" ref="AV31:AV32" si="87">+AU31*$AW$3</f>
        <v>6691776.4400000004</v>
      </c>
      <c r="AW31" s="110">
        <f t="shared" ref="AW31:AW32" si="88">ROUND(AU31*(1+$AW$3),0)</f>
        <v>41911652</v>
      </c>
      <c r="AX31" s="110">
        <f>AW31*H31*G31</f>
        <v>502939824</v>
      </c>
      <c r="AY31" s="110">
        <f>ROUND(GEOMEAN(L31,P31,T31,X31,AB31,AF31),0)</f>
        <v>19648603</v>
      </c>
      <c r="AZ31" s="110">
        <f t="shared" ref="AZ31:AZ32" si="89">+AY31*$AW$3</f>
        <v>3733234.57</v>
      </c>
      <c r="BA31" s="110">
        <f t="shared" ref="BA31:BA32" si="90">ROUND(AY31*(1+$AW$3),0)</f>
        <v>23381838</v>
      </c>
      <c r="BB31" s="110">
        <f>BA31*H31*G31</f>
        <v>280582056</v>
      </c>
      <c r="BC31" s="110" cm="1">
        <f t="array" ref="BC31">ROUND(AVERAGE(SMALL((AF31,X31,T31,P31,L31),{1;2;3})),0)</f>
        <v>11872876</v>
      </c>
      <c r="BD31" s="110">
        <f t="shared" ref="BD31:BD32" si="91">BC31*$AW$3</f>
        <v>2255846.44</v>
      </c>
      <c r="BE31" s="110">
        <f t="shared" ref="BE31:BE32" si="92">ROUND(BC31*(1+$AW$3),0)</f>
        <v>14128722</v>
      </c>
      <c r="BF31" s="110">
        <f>BE31*H31*G31</f>
        <v>169544664</v>
      </c>
      <c r="BG31" s="110" cm="1">
        <f t="array" ref="BG31">ROUND(AVERAGE(SMALL((AF31,AB31,X31,T31,P31,L31),{1;2;3;4})),0)</f>
        <v>12358440</v>
      </c>
      <c r="BH31" s="110">
        <f t="shared" ref="BH31:BH32" si="93">BG31*$AW$3</f>
        <v>2348103.6</v>
      </c>
      <c r="BI31" s="110">
        <f t="shared" ref="BI31:BI32" si="94">ROUND(BG31*(1+$AW$3),0)</f>
        <v>14706544</v>
      </c>
      <c r="BJ31" s="110">
        <f>BI31*H31*G31</f>
        <v>176478528</v>
      </c>
      <c r="BK31" s="110"/>
      <c r="BL31" s="110"/>
      <c r="BM31" s="119"/>
      <c r="BN31" s="119">
        <f t="shared" ref="BN31:BN32" si="95">+AY31</f>
        <v>19648603</v>
      </c>
      <c r="BO31" s="119">
        <f t="shared" ref="BO31:BO32" si="96">+BN31*$AW$3</f>
        <v>3733234.57</v>
      </c>
      <c r="BP31" s="119">
        <f t="shared" ref="BP31:BP32" si="97">ROUND(BN31*(1+$AW$3),0)</f>
        <v>23381838</v>
      </c>
      <c r="BQ31" s="119">
        <f>BP31*H31*G31</f>
        <v>280582056</v>
      </c>
    </row>
    <row r="32" spans="1:69" s="66" customFormat="1" ht="47.5" customHeight="1" x14ac:dyDescent="0.35">
      <c r="A32" s="68"/>
      <c r="B32" s="71">
        <v>9</v>
      </c>
      <c r="C32" s="230" t="s">
        <v>90</v>
      </c>
      <c r="D32" s="230"/>
      <c r="E32" s="69" t="s">
        <v>8</v>
      </c>
      <c r="F32" s="69" t="s">
        <v>6</v>
      </c>
      <c r="G32" s="69">
        <v>1</v>
      </c>
      <c r="H32" s="69">
        <v>12</v>
      </c>
      <c r="I32" s="69" t="s">
        <v>142</v>
      </c>
      <c r="J32" s="69" t="s">
        <v>145</v>
      </c>
      <c r="K32" s="128" t="s">
        <v>152</v>
      </c>
      <c r="L32" s="73" t="s">
        <v>103</v>
      </c>
      <c r="M32" s="74"/>
      <c r="N32" s="73"/>
      <c r="O32" s="73"/>
      <c r="P32" s="73" t="s">
        <v>103</v>
      </c>
      <c r="Q32" s="74"/>
      <c r="R32" s="73"/>
      <c r="S32" s="73"/>
      <c r="T32" s="73" t="s">
        <v>103</v>
      </c>
      <c r="U32" s="74"/>
      <c r="V32" s="73"/>
      <c r="W32" s="73"/>
      <c r="X32" s="69">
        <f>Z32/1.19</f>
        <v>11711070.028011205</v>
      </c>
      <c r="Y32" s="142">
        <f t="shared" si="17"/>
        <v>2225103</v>
      </c>
      <c r="Z32" s="69">
        <f>AA32/$H$32</f>
        <v>13936173.333333334</v>
      </c>
      <c r="AA32" s="155">
        <v>167234080</v>
      </c>
      <c r="AB32" s="69">
        <f>AD32/1.19</f>
        <v>9803921.5686274506</v>
      </c>
      <c r="AC32" s="142">
        <f>ROUND(AB32*19%,0)</f>
        <v>1862745</v>
      </c>
      <c r="AD32" s="69">
        <f>AE32/$H$32</f>
        <v>11666666.666666666</v>
      </c>
      <c r="AE32" s="69">
        <v>140000000</v>
      </c>
      <c r="AF32" s="69">
        <f>AH32/1.19</f>
        <v>16289852.916666666</v>
      </c>
      <c r="AG32" s="142">
        <f t="shared" si="86"/>
        <v>3095072</v>
      </c>
      <c r="AH32" s="69">
        <f>195478235/12*1.19</f>
        <v>19384924.970833331</v>
      </c>
      <c r="AI32" s="69">
        <f>+AH32*$G32*$H32</f>
        <v>232619099.64999998</v>
      </c>
      <c r="AJ32" s="69">
        <f>AL32/1.19</f>
        <v>6857500</v>
      </c>
      <c r="AK32" s="70">
        <f>AJ32*0.19</f>
        <v>1302925</v>
      </c>
      <c r="AL32" s="69">
        <f>AM32/12</f>
        <v>8160425</v>
      </c>
      <c r="AM32" s="69">
        <v>97925100</v>
      </c>
      <c r="AN32" s="156"/>
      <c r="AO32" s="102">
        <f>COUNT(L32,P32,T32,X32,AB32,AF32,AJ32)</f>
        <v>4</v>
      </c>
      <c r="AP32" s="102">
        <f t="shared" si="27"/>
        <v>2721719</v>
      </c>
      <c r="AQ32" s="162">
        <f>AP32/AU32</f>
        <v>0.24375961996083323</v>
      </c>
      <c r="AR32" s="159"/>
      <c r="AS32" s="159"/>
      <c r="AT32" s="105"/>
      <c r="AU32" s="110">
        <f>ROUND(AVERAGE(X32,AB32,AF32,AJ32),0)</f>
        <v>11165586</v>
      </c>
      <c r="AV32" s="110">
        <f t="shared" si="87"/>
        <v>2121461.34</v>
      </c>
      <c r="AW32" s="110">
        <f t="shared" si="88"/>
        <v>13287047</v>
      </c>
      <c r="AX32" s="110">
        <f>AW32*H32*G32</f>
        <v>159444564</v>
      </c>
      <c r="AY32" s="110">
        <f>ROUND(GEOMEAN(X32,AB32,AF32,AJ32),0)</f>
        <v>10641916</v>
      </c>
      <c r="AZ32" s="110">
        <f t="shared" si="89"/>
        <v>2021964.04</v>
      </c>
      <c r="BA32" s="110">
        <f t="shared" si="90"/>
        <v>12663880</v>
      </c>
      <c r="BB32" s="110">
        <f>BA32*H32*G32</f>
        <v>151966560</v>
      </c>
      <c r="BC32" s="110" cm="1">
        <f t="array" ref="BC32">ROUND(AVERAGE(SMALL((X32,AB32,AF32,AJ32),{1;2;3})),0)</f>
        <v>9457497</v>
      </c>
      <c r="BD32" s="110">
        <f t="shared" si="91"/>
        <v>1796924.43</v>
      </c>
      <c r="BE32" s="110">
        <f t="shared" si="92"/>
        <v>11254421</v>
      </c>
      <c r="BF32" s="110">
        <f>BE32*H32*G32</f>
        <v>135053052</v>
      </c>
      <c r="BG32" s="110" cm="1">
        <f t="array" ref="BG32">ROUND(AVERAGE(SMALL((X32,AB32,AF32,AJ32),{1;2;3;4})),0)</f>
        <v>11165586</v>
      </c>
      <c r="BH32" s="110">
        <f t="shared" si="93"/>
        <v>2121461.34</v>
      </c>
      <c r="BI32" s="110">
        <f t="shared" si="94"/>
        <v>13287047</v>
      </c>
      <c r="BJ32" s="110">
        <f>BI32*H32*G32</f>
        <v>159444564</v>
      </c>
      <c r="BK32" s="110"/>
      <c r="BL32" s="110"/>
      <c r="BM32" s="119"/>
      <c r="BN32" s="119">
        <f t="shared" si="95"/>
        <v>10641916</v>
      </c>
      <c r="BO32" s="119">
        <f t="shared" si="96"/>
        <v>2021964.04</v>
      </c>
      <c r="BP32" s="119">
        <f t="shared" si="97"/>
        <v>12663880</v>
      </c>
      <c r="BQ32" s="119">
        <f>BP32*H32*G32</f>
        <v>151966560</v>
      </c>
    </row>
    <row r="33" spans="2:69" ht="30.5" customHeight="1" x14ac:dyDescent="0.35">
      <c r="B33" s="12"/>
      <c r="C33" s="13"/>
      <c r="D33" s="13"/>
      <c r="E33" s="13"/>
      <c r="F33" s="13"/>
      <c r="G33" s="13"/>
      <c r="H33" s="13"/>
      <c r="I33" s="13"/>
      <c r="J33" s="137"/>
      <c r="K33" s="139" t="s">
        <v>153</v>
      </c>
      <c r="L33" s="138"/>
      <c r="M33" s="13"/>
      <c r="N33" s="1" t="s">
        <v>14</v>
      </c>
      <c r="O33" s="17">
        <f>SUM(O17:O32)</f>
        <v>1607879649</v>
      </c>
      <c r="P33" s="13"/>
      <c r="Q33" s="13"/>
      <c r="R33" s="1" t="s">
        <v>14</v>
      </c>
      <c r="S33" s="17">
        <f>SUM(S17:S31)</f>
        <v>1637361285</v>
      </c>
      <c r="T33" s="13"/>
      <c r="U33" s="13"/>
      <c r="V33" s="65" t="s">
        <v>14</v>
      </c>
      <c r="W33" s="17">
        <f>SUM(W17:W32)</f>
        <v>1605997565</v>
      </c>
      <c r="X33" s="13"/>
      <c r="Y33" s="13"/>
      <c r="Z33" s="65" t="s">
        <v>14</v>
      </c>
      <c r="AA33" s="17">
        <f>SUM(AA17:AA32)</f>
        <v>1782584029</v>
      </c>
      <c r="AB33" s="13"/>
      <c r="AC33" s="13"/>
      <c r="AD33" s="65" t="s">
        <v>14</v>
      </c>
      <c r="AE33" s="17">
        <f>SUM(AE17:AE32)</f>
        <v>2880332000</v>
      </c>
      <c r="AF33" s="13"/>
      <c r="AG33" s="13"/>
      <c r="AH33" s="65" t="s">
        <v>14</v>
      </c>
      <c r="AI33" s="108">
        <f>SUM(AI17:AI32)</f>
        <v>3484042171.6385717</v>
      </c>
      <c r="AJ33" s="13"/>
      <c r="AK33" s="13"/>
      <c r="AL33" s="13"/>
      <c r="AM33" s="107"/>
      <c r="AN33" s="156"/>
      <c r="AO33" s="156"/>
      <c r="AP33" s="156"/>
      <c r="AQ33" s="156"/>
      <c r="AR33" s="156"/>
      <c r="AS33" s="156"/>
      <c r="AT33" s="115"/>
      <c r="AU33" s="111"/>
      <c r="AV33" s="111"/>
      <c r="AW33" s="111"/>
      <c r="AX33" s="111">
        <f>SUM(AX17:AX32)</f>
        <v>2595996100</v>
      </c>
      <c r="AY33" s="111"/>
      <c r="AZ33" s="111"/>
      <c r="BA33" s="111"/>
      <c r="BB33" s="111">
        <f>SUM(BB17:BB32)</f>
        <v>2009521300</v>
      </c>
      <c r="BC33" s="111"/>
      <c r="BD33" s="111"/>
      <c r="BE33" s="111"/>
      <c r="BF33" s="111">
        <f>SUM(BF17:BF32)</f>
        <v>1562498804</v>
      </c>
      <c r="BG33" s="111"/>
      <c r="BH33" s="111"/>
      <c r="BI33" s="111"/>
      <c r="BJ33" s="111">
        <f>SUM(BJ17:BJ32)</f>
        <v>1659615460</v>
      </c>
      <c r="BK33" s="111"/>
      <c r="BL33" s="111"/>
      <c r="BM33" s="121"/>
      <c r="BN33" s="121"/>
      <c r="BO33" s="121"/>
      <c r="BP33" s="121"/>
      <c r="BQ33" s="121">
        <f>SUM(BQ17:BQ32)</f>
        <v>2009521300</v>
      </c>
    </row>
    <row r="34" spans="2:69" x14ac:dyDescent="0.35">
      <c r="K34" s="130"/>
      <c r="O34" s="9"/>
      <c r="S34" s="150"/>
      <c r="W34" s="9"/>
      <c r="AA34" s="9"/>
      <c r="AE34" s="9"/>
      <c r="AI34" s="106"/>
      <c r="AU34" s="112"/>
      <c r="AV34" s="112"/>
      <c r="AW34" s="112"/>
      <c r="AX34" s="112"/>
      <c r="AY34" s="112"/>
      <c r="AZ34" s="112"/>
      <c r="BA34" s="112"/>
      <c r="BB34" s="112"/>
      <c r="BC34" s="112"/>
      <c r="BD34" s="112"/>
      <c r="BE34" s="112"/>
      <c r="BF34" s="112"/>
      <c r="BG34" s="112"/>
      <c r="BH34" s="112"/>
      <c r="BI34" s="112"/>
      <c r="BJ34" s="112"/>
      <c r="BK34" s="112"/>
      <c r="BL34" s="112"/>
      <c r="BM34" s="122"/>
      <c r="BN34" s="122"/>
      <c r="BO34" s="122"/>
      <c r="BP34" s="122"/>
      <c r="BQ34" s="122"/>
    </row>
    <row r="35" spans="2:69" x14ac:dyDescent="0.35">
      <c r="O35" s="165">
        <f>O33+AX32</f>
        <v>1767324213</v>
      </c>
      <c r="S35" s="165">
        <f>S33+BB32</f>
        <v>1789327845</v>
      </c>
      <c r="W35" s="165">
        <f>W33+BF32</f>
        <v>1741050617</v>
      </c>
      <c r="AD35" s="8"/>
      <c r="AE35" s="165"/>
      <c r="AF35" s="8"/>
      <c r="AG35" s="8"/>
      <c r="AH35" s="8"/>
      <c r="AI35" s="98"/>
    </row>
  </sheetData>
  <sheetProtection formatColumns="0" selectLockedCells="1" selectUnlockedCells="1"/>
  <mergeCells count="54">
    <mergeCell ref="B30:H30"/>
    <mergeCell ref="AO14:AS14"/>
    <mergeCell ref="C31:D31"/>
    <mergeCell ref="C32:D32"/>
    <mergeCell ref="C24:D24"/>
    <mergeCell ref="B25:B28"/>
    <mergeCell ref="C25:C28"/>
    <mergeCell ref="C17:D17"/>
    <mergeCell ref="C18:D18"/>
    <mergeCell ref="C19:D19"/>
    <mergeCell ref="B20:B22"/>
    <mergeCell ref="C20:C22"/>
    <mergeCell ref="B23:H23"/>
    <mergeCell ref="AJ14:AM14"/>
    <mergeCell ref="BC14:BF14"/>
    <mergeCell ref="BN14:BQ14"/>
    <mergeCell ref="BQ15:BQ16"/>
    <mergeCell ref="AY15:AY16"/>
    <mergeCell ref="AZ15:AZ16"/>
    <mergeCell ref="BA15:BA16"/>
    <mergeCell ref="BB15:BB16"/>
    <mergeCell ref="BC15:BC16"/>
    <mergeCell ref="BD15:BD16"/>
    <mergeCell ref="BE15:BE16"/>
    <mergeCell ref="BF15:BF16"/>
    <mergeCell ref="BN15:BN16"/>
    <mergeCell ref="BO15:BO16"/>
    <mergeCell ref="BP15:BP16"/>
    <mergeCell ref="BG14:BJ14"/>
    <mergeCell ref="BG15:BG16"/>
    <mergeCell ref="AU14:AX14"/>
    <mergeCell ref="AY14:BB14"/>
    <mergeCell ref="C15:D15"/>
    <mergeCell ref="AU15:AU16"/>
    <mergeCell ref="AV15:AV16"/>
    <mergeCell ref="AW15:AW16"/>
    <mergeCell ref="AX15:AX16"/>
    <mergeCell ref="B16:H16"/>
    <mergeCell ref="BH15:BH16"/>
    <mergeCell ref="BI15:BI16"/>
    <mergeCell ref="BJ15:BJ16"/>
    <mergeCell ref="AF14:AI14"/>
    <mergeCell ref="B2:O5"/>
    <mergeCell ref="AU3:AV3"/>
    <mergeCell ref="AW3:BQ3"/>
    <mergeCell ref="B8:B9"/>
    <mergeCell ref="C8:O9"/>
    <mergeCell ref="B11:B12"/>
    <mergeCell ref="C11:O12"/>
    <mergeCell ref="L14:O14"/>
    <mergeCell ref="P14:S14"/>
    <mergeCell ref="T14:W14"/>
    <mergeCell ref="X14:AA14"/>
    <mergeCell ref="AB14:AE14"/>
  </mergeCells>
  <pageMargins left="0.7" right="0.7" top="0.75" bottom="0.75" header="0.3" footer="0.3"/>
  <pageSetup orientation="portrait" r:id="rId1"/>
  <headerFooter>
    <oddFooter>&amp;L_x000D_&amp;1#&amp;"Aptos"&amp;10&amp;K000000 Informacion publica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Q36"/>
  <sheetViews>
    <sheetView tabSelected="1" topLeftCell="K20" zoomScale="50" zoomScaleNormal="50" workbookViewId="0">
      <selection activeCell="V26" sqref="V26"/>
    </sheetView>
  </sheetViews>
  <sheetFormatPr baseColWidth="10" defaultColWidth="11.453125" defaultRowHeight="14.5" x14ac:dyDescent="0.35"/>
  <cols>
    <col min="1" max="1" width="2.36328125" style="4" customWidth="1"/>
    <col min="2" max="2" width="7.453125" style="4" customWidth="1"/>
    <col min="3" max="3" width="16" style="4" customWidth="1"/>
    <col min="4" max="4" width="23.81640625" style="4" customWidth="1"/>
    <col min="5" max="5" width="30.453125" style="4" customWidth="1"/>
    <col min="6" max="6" width="10.453125" style="4" customWidth="1"/>
    <col min="7" max="10" width="8.81640625" style="4" customWidth="1"/>
    <col min="11" max="11" width="30" style="133" customWidth="1"/>
    <col min="12" max="12" width="13.453125" style="4" customWidth="1"/>
    <col min="13" max="13" width="16.1796875" style="4" customWidth="1"/>
    <col min="14" max="14" width="18.36328125" style="4" customWidth="1"/>
    <col min="15" max="15" width="22.1796875" style="4" customWidth="1"/>
    <col min="16" max="16" width="18.453125" style="4" customWidth="1"/>
    <col min="17" max="17" width="14.08984375" style="4" customWidth="1"/>
    <col min="18" max="18" width="17.90625" style="4" customWidth="1"/>
    <col min="19" max="19" width="18.36328125" style="4" customWidth="1"/>
    <col min="20" max="20" width="18.453125" style="4" customWidth="1"/>
    <col min="21" max="21" width="14.08984375" style="4" customWidth="1"/>
    <col min="22" max="22" width="17.90625" style="4" customWidth="1"/>
    <col min="23" max="23" width="18.36328125" style="4" customWidth="1"/>
    <col min="24" max="24" width="18.453125" style="4" customWidth="1"/>
    <col min="25" max="25" width="14.08984375" style="4" customWidth="1"/>
    <col min="26" max="26" width="17.90625" style="4" customWidth="1"/>
    <col min="27" max="27" width="18.36328125" style="4" customWidth="1"/>
    <col min="28" max="28" width="18.453125" style="4" customWidth="1"/>
    <col min="29" max="29" width="14.08984375" style="4" customWidth="1"/>
    <col min="30" max="30" width="17.90625" style="4" customWidth="1"/>
    <col min="31" max="31" width="18.36328125" style="4" customWidth="1"/>
    <col min="32" max="32" width="20.54296875" style="4" customWidth="1"/>
    <col min="33" max="33" width="14.81640625" style="4" customWidth="1"/>
    <col min="34" max="34" width="18.54296875" style="4" customWidth="1"/>
    <col min="35" max="35" width="19.08984375" style="6" customWidth="1"/>
    <col min="36" max="39" width="19.08984375" customWidth="1"/>
    <col min="40" max="40" width="5.6328125" customWidth="1"/>
    <col min="41" max="43" width="19.08984375" customWidth="1"/>
    <col min="44" max="44" width="26.6328125" customWidth="1"/>
    <col min="45" max="45" width="25.08984375" customWidth="1"/>
    <col min="46" max="46" width="16" style="113" customWidth="1"/>
    <col min="47" max="49" width="15" style="7" customWidth="1"/>
    <col min="50" max="50" width="18.1796875" style="7" customWidth="1"/>
    <col min="51" max="53" width="15" style="7" customWidth="1"/>
    <col min="54" max="54" width="18.453125" style="7" customWidth="1"/>
    <col min="55" max="57" width="15" style="7" customWidth="1"/>
    <col min="58" max="58" width="19.08984375" style="7" customWidth="1"/>
    <col min="59" max="59" width="18.453125" style="7" customWidth="1"/>
    <col min="60" max="61" width="12.6328125" style="7" customWidth="1"/>
    <col min="62" max="62" width="16.90625" style="7" customWidth="1"/>
    <col min="63" max="64" width="12.6328125" style="7" customWidth="1"/>
    <col min="65" max="65" width="2.54296875" style="116" customWidth="1"/>
    <col min="66" max="68" width="15" style="116" customWidth="1"/>
    <col min="69" max="69" width="17" style="116" customWidth="1"/>
    <col min="70" max="70" width="20.54296875" style="4" customWidth="1"/>
    <col min="71" max="16384" width="11.453125" style="4"/>
  </cols>
  <sheetData>
    <row r="1" spans="1:69" x14ac:dyDescent="0.35">
      <c r="B1" s="8"/>
      <c r="C1" s="8"/>
      <c r="D1" s="8"/>
      <c r="E1" s="8"/>
      <c r="F1" s="8"/>
      <c r="G1" s="8"/>
      <c r="H1" s="8"/>
      <c r="I1" s="8"/>
      <c r="J1" s="8"/>
      <c r="K1" s="129"/>
      <c r="L1" s="8"/>
      <c r="M1" s="8"/>
      <c r="N1" s="8"/>
      <c r="O1" s="8"/>
      <c r="P1" s="8"/>
      <c r="Q1" s="8"/>
      <c r="R1" s="8"/>
      <c r="S1" s="8"/>
      <c r="T1" s="8"/>
      <c r="U1" s="8"/>
      <c r="V1" s="8"/>
      <c r="W1" s="8"/>
      <c r="X1" s="8"/>
      <c r="Y1" s="8"/>
      <c r="Z1" s="8"/>
      <c r="AA1" s="8"/>
      <c r="AB1" s="8"/>
      <c r="AC1" s="8"/>
      <c r="AD1" s="8"/>
      <c r="AE1" s="8"/>
      <c r="AF1" s="8"/>
      <c r="AG1" s="8"/>
      <c r="AH1" s="8"/>
      <c r="AI1" s="98"/>
      <c r="AT1" s="113" t="e" cm="1">
        <f t="array" ref="AT1">+B:ANAR34AJ:ANAR3AJ:AN</f>
        <v>#NAME?</v>
      </c>
    </row>
    <row r="2" spans="1:69" x14ac:dyDescent="0.35">
      <c r="A2" s="6"/>
      <c r="B2" s="201" t="s">
        <v>130</v>
      </c>
      <c r="C2" s="201"/>
      <c r="D2" s="201"/>
      <c r="E2" s="201"/>
      <c r="F2" s="201"/>
      <c r="G2" s="201"/>
      <c r="H2" s="201"/>
      <c r="I2" s="201"/>
      <c r="J2" s="201"/>
      <c r="K2" s="201"/>
      <c r="L2" s="201"/>
      <c r="M2" s="201"/>
      <c r="N2" s="201"/>
      <c r="O2" s="201"/>
      <c r="P2" s="7"/>
      <c r="T2" s="7"/>
      <c r="X2" s="7"/>
      <c r="AB2" s="7"/>
      <c r="AF2" s="7"/>
      <c r="BN2" s="134"/>
    </row>
    <row r="3" spans="1:69" x14ac:dyDescent="0.35">
      <c r="A3" s="6"/>
      <c r="B3" s="201"/>
      <c r="C3" s="201"/>
      <c r="D3" s="201"/>
      <c r="E3" s="201"/>
      <c r="F3" s="201"/>
      <c r="G3" s="201"/>
      <c r="H3" s="201"/>
      <c r="I3" s="201"/>
      <c r="J3" s="201"/>
      <c r="K3" s="201"/>
      <c r="L3" s="201"/>
      <c r="M3" s="201"/>
      <c r="N3" s="201"/>
      <c r="O3" s="201"/>
      <c r="P3" s="7"/>
      <c r="T3" s="7"/>
      <c r="X3" s="7"/>
      <c r="AB3" s="7"/>
      <c r="AF3" s="7"/>
      <c r="AU3" s="202" t="s">
        <v>133</v>
      </c>
      <c r="AV3" s="203"/>
      <c r="AW3" s="204">
        <v>0.19</v>
      </c>
      <c r="AX3" s="205"/>
      <c r="AY3" s="205"/>
      <c r="AZ3" s="205"/>
      <c r="BA3" s="205"/>
      <c r="BB3" s="205"/>
      <c r="BC3" s="205"/>
      <c r="BD3" s="205"/>
      <c r="BE3" s="205"/>
      <c r="BF3" s="205"/>
      <c r="BG3" s="205"/>
      <c r="BH3" s="205"/>
      <c r="BI3" s="205"/>
      <c r="BJ3" s="205"/>
      <c r="BK3" s="205"/>
      <c r="BL3" s="205"/>
      <c r="BM3" s="205"/>
      <c r="BN3" s="205"/>
      <c r="BO3" s="205"/>
      <c r="BP3" s="205"/>
      <c r="BQ3" s="205"/>
    </row>
    <row r="4" spans="1:69" x14ac:dyDescent="0.35">
      <c r="A4" s="6"/>
      <c r="B4" s="201"/>
      <c r="C4" s="201"/>
      <c r="D4" s="201"/>
      <c r="E4" s="201"/>
      <c r="F4" s="201"/>
      <c r="G4" s="201"/>
      <c r="H4" s="201"/>
      <c r="I4" s="201"/>
      <c r="J4" s="201"/>
      <c r="K4" s="201"/>
      <c r="L4" s="201"/>
      <c r="M4" s="201"/>
      <c r="N4" s="201"/>
      <c r="O4" s="201"/>
      <c r="P4" s="7"/>
      <c r="T4" s="7"/>
      <c r="X4" s="7"/>
      <c r="AB4" s="7"/>
      <c r="AF4" s="7"/>
      <c r="BN4" s="134"/>
      <c r="BO4" s="135"/>
      <c r="BP4" s="120"/>
    </row>
    <row r="5" spans="1:69" x14ac:dyDescent="0.35">
      <c r="A5" s="6"/>
      <c r="B5" s="201"/>
      <c r="C5" s="201"/>
      <c r="D5" s="201"/>
      <c r="E5" s="201"/>
      <c r="F5" s="201"/>
      <c r="G5" s="201"/>
      <c r="H5" s="201"/>
      <c r="I5" s="201"/>
      <c r="J5" s="201"/>
      <c r="K5" s="201"/>
      <c r="L5" s="201"/>
      <c r="M5" s="201"/>
      <c r="N5" s="201"/>
      <c r="O5" s="201"/>
      <c r="P5" s="7"/>
      <c r="T5" s="7"/>
      <c r="X5" s="7"/>
      <c r="AB5" s="7"/>
      <c r="AF5" s="7"/>
      <c r="BN5" s="120"/>
      <c r="BO5" s="120"/>
      <c r="BP5" s="134"/>
      <c r="BQ5" s="120"/>
    </row>
    <row r="6" spans="1:69" ht="14.5" customHeight="1" x14ac:dyDescent="0.35">
      <c r="B6" s="9"/>
      <c r="C6" s="9"/>
      <c r="D6" s="9"/>
      <c r="E6" s="9"/>
      <c r="F6" s="9"/>
      <c r="G6" s="9"/>
      <c r="H6" s="9"/>
      <c r="I6" s="9"/>
      <c r="J6" s="9"/>
      <c r="K6" s="130"/>
      <c r="L6" s="9"/>
      <c r="M6" s="9"/>
      <c r="N6" s="9"/>
      <c r="O6" s="9"/>
      <c r="P6" s="9"/>
      <c r="Q6" s="9"/>
      <c r="R6" s="9"/>
      <c r="S6" s="9"/>
      <c r="T6" s="9"/>
      <c r="U6" s="9"/>
      <c r="V6" s="9"/>
      <c r="W6" s="9"/>
      <c r="X6" s="9"/>
      <c r="Y6" s="9"/>
      <c r="Z6" s="9"/>
      <c r="AA6" s="9"/>
      <c r="AB6" s="9"/>
      <c r="AC6" s="9"/>
      <c r="AD6" s="9"/>
      <c r="AE6" s="9"/>
      <c r="AF6" s="9"/>
      <c r="AG6" s="9"/>
      <c r="AH6" s="9"/>
      <c r="AI6" s="106"/>
    </row>
    <row r="7" spans="1:69" ht="14.5" customHeight="1" x14ac:dyDescent="0.35">
      <c r="B7" s="8"/>
      <c r="C7" s="8"/>
      <c r="D7" s="8"/>
      <c r="E7" s="8"/>
      <c r="F7" s="8"/>
      <c r="G7" s="8"/>
      <c r="H7" s="8"/>
      <c r="I7" s="8"/>
      <c r="J7" s="8"/>
      <c r="K7" s="129"/>
      <c r="L7" s="8"/>
      <c r="M7" s="8"/>
      <c r="N7" s="8"/>
      <c r="O7" s="8"/>
      <c r="P7" s="8"/>
      <c r="Q7" s="8"/>
      <c r="R7" s="8"/>
      <c r="S7" s="8"/>
      <c r="T7" s="8"/>
      <c r="U7" s="8"/>
      <c r="V7" s="8"/>
      <c r="W7" s="8"/>
      <c r="X7" s="8"/>
      <c r="Y7" s="8"/>
      <c r="Z7" s="8"/>
      <c r="AA7" s="8"/>
      <c r="AB7" s="8"/>
      <c r="AC7" s="8"/>
      <c r="AD7" s="8"/>
      <c r="AE7" s="8"/>
      <c r="AF7" s="8"/>
      <c r="AG7" s="8"/>
      <c r="AH7" s="8"/>
      <c r="AI7" s="98"/>
    </row>
    <row r="8" spans="1:69" ht="16.5" customHeight="1" x14ac:dyDescent="0.35">
      <c r="A8" s="6"/>
      <c r="B8" s="206" t="s">
        <v>3</v>
      </c>
      <c r="C8" s="207" t="s">
        <v>83</v>
      </c>
      <c r="D8" s="208"/>
      <c r="E8" s="208"/>
      <c r="F8" s="208"/>
      <c r="G8" s="208"/>
      <c r="H8" s="208"/>
      <c r="I8" s="208"/>
      <c r="J8" s="208"/>
      <c r="K8" s="208"/>
      <c r="L8" s="208"/>
      <c r="M8" s="208"/>
      <c r="N8" s="208"/>
      <c r="O8" s="209"/>
      <c r="P8" s="7"/>
      <c r="T8" s="7"/>
      <c r="X8" s="7"/>
      <c r="AB8" s="7"/>
      <c r="AF8" s="7"/>
    </row>
    <row r="9" spans="1:69" ht="15" customHeight="1" x14ac:dyDescent="0.35">
      <c r="A9" s="6"/>
      <c r="B9" s="206"/>
      <c r="C9" s="210"/>
      <c r="D9" s="211"/>
      <c r="E9" s="211"/>
      <c r="F9" s="211"/>
      <c r="G9" s="211"/>
      <c r="H9" s="211"/>
      <c r="I9" s="211"/>
      <c r="J9" s="211"/>
      <c r="K9" s="211"/>
      <c r="L9" s="211"/>
      <c r="M9" s="211"/>
      <c r="N9" s="211"/>
      <c r="O9" s="212"/>
      <c r="P9" s="7"/>
      <c r="T9" s="7"/>
      <c r="X9" s="7"/>
      <c r="AB9" s="7"/>
      <c r="AF9" s="7"/>
    </row>
    <row r="10" spans="1:69" ht="15" customHeight="1" x14ac:dyDescent="0.35">
      <c r="B10" s="14"/>
      <c r="C10" s="9"/>
      <c r="D10" s="9"/>
      <c r="E10" s="9"/>
      <c r="F10" s="9"/>
      <c r="G10" s="9"/>
      <c r="H10" s="9"/>
      <c r="I10" s="9"/>
      <c r="J10" s="9"/>
      <c r="K10" s="130"/>
      <c r="L10" s="9"/>
      <c r="M10" s="9"/>
      <c r="N10" s="9"/>
      <c r="O10" s="9"/>
      <c r="P10" s="9"/>
      <c r="Q10" s="9"/>
      <c r="R10" s="9"/>
      <c r="S10" s="9"/>
      <c r="T10" s="9"/>
      <c r="U10" s="9"/>
      <c r="V10" s="9"/>
      <c r="W10" s="9"/>
      <c r="X10" s="9"/>
      <c r="Y10" s="9"/>
      <c r="Z10" s="9"/>
      <c r="AA10" s="9"/>
      <c r="AB10" s="9"/>
      <c r="AC10" s="9"/>
      <c r="AD10" s="9"/>
      <c r="AE10" s="9"/>
      <c r="AF10" s="9"/>
      <c r="AG10" s="9"/>
      <c r="AH10" s="9"/>
      <c r="AI10" s="106"/>
    </row>
    <row r="11" spans="1:69" ht="66" customHeight="1" x14ac:dyDescent="0.35">
      <c r="B11" s="206" t="s">
        <v>10</v>
      </c>
      <c r="C11" s="213" t="s">
        <v>82</v>
      </c>
      <c r="D11" s="214"/>
      <c r="E11" s="214"/>
      <c r="F11" s="214"/>
      <c r="G11" s="214"/>
      <c r="H11" s="214"/>
      <c r="I11" s="214"/>
      <c r="J11" s="214"/>
      <c r="K11" s="214"/>
      <c r="L11" s="214"/>
      <c r="M11" s="214"/>
      <c r="N11" s="214"/>
      <c r="O11" s="215"/>
    </row>
    <row r="12" spans="1:69" ht="61.5" customHeight="1" x14ac:dyDescent="0.35">
      <c r="B12" s="206"/>
      <c r="C12" s="216"/>
      <c r="D12" s="217"/>
      <c r="E12" s="217"/>
      <c r="F12" s="217"/>
      <c r="G12" s="217"/>
      <c r="H12" s="217"/>
      <c r="I12" s="217"/>
      <c r="J12" s="217"/>
      <c r="K12" s="217"/>
      <c r="L12" s="217"/>
      <c r="M12" s="217"/>
      <c r="N12" s="217"/>
      <c r="O12" s="218"/>
    </row>
    <row r="13" spans="1:69" s="166" customFormat="1" ht="50.4" customHeight="1" x14ac:dyDescent="0.35">
      <c r="A13" s="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168"/>
      <c r="AU13" s="169"/>
      <c r="AV13" s="169"/>
      <c r="AW13" s="169"/>
      <c r="AX13" s="169"/>
      <c r="AY13" s="169"/>
      <c r="AZ13" s="169"/>
      <c r="BA13" s="169"/>
      <c r="BB13" s="169"/>
      <c r="BC13" s="169"/>
      <c r="BD13" s="169"/>
      <c r="BE13" s="169"/>
      <c r="BF13" s="169"/>
      <c r="BG13" s="169"/>
      <c r="BH13" s="169"/>
      <c r="BI13" s="169"/>
      <c r="BJ13" s="169"/>
      <c r="BK13" s="169"/>
      <c r="BL13" s="169"/>
      <c r="BM13" s="169"/>
      <c r="BN13" s="170"/>
      <c r="BO13" s="169"/>
      <c r="BP13" s="169"/>
      <c r="BQ13" s="169"/>
    </row>
    <row r="14" spans="1:69" ht="14.4" customHeight="1" x14ac:dyDescent="0.35">
      <c r="B14" s="6"/>
      <c r="C14" s="6"/>
      <c r="D14" s="6"/>
      <c r="E14" s="6"/>
      <c r="F14" s="6"/>
      <c r="G14" s="6"/>
      <c r="H14" s="6"/>
      <c r="I14"/>
      <c r="J14" t="s">
        <v>154</v>
      </c>
      <c r="K14" s="131"/>
      <c r="L14" s="236" t="s">
        <v>124</v>
      </c>
      <c r="M14" s="237"/>
      <c r="N14" s="237"/>
      <c r="O14" s="238"/>
      <c r="P14" s="236" t="s">
        <v>125</v>
      </c>
      <c r="Q14" s="237"/>
      <c r="R14" s="237"/>
      <c r="S14" s="238"/>
      <c r="T14" s="236" t="s">
        <v>126</v>
      </c>
      <c r="U14" s="237"/>
      <c r="V14" s="237"/>
      <c r="W14" s="238"/>
      <c r="X14" s="236" t="s">
        <v>127</v>
      </c>
      <c r="Y14" s="237"/>
      <c r="Z14" s="237"/>
      <c r="AA14" s="238"/>
      <c r="AB14" s="236" t="s">
        <v>128</v>
      </c>
      <c r="AC14" s="237"/>
      <c r="AD14" s="237"/>
      <c r="AE14" s="238"/>
      <c r="AF14" s="236" t="s">
        <v>129</v>
      </c>
      <c r="AG14" s="237"/>
      <c r="AH14" s="237"/>
      <c r="AI14" s="238"/>
      <c r="AJ14" s="236" t="s">
        <v>131</v>
      </c>
      <c r="AK14" s="237"/>
      <c r="AL14" s="237"/>
      <c r="AM14" s="237"/>
      <c r="AN14" s="105"/>
      <c r="AO14" s="228" t="s">
        <v>166</v>
      </c>
      <c r="AP14" s="228"/>
      <c r="AQ14" s="228"/>
      <c r="AR14" s="228"/>
      <c r="AS14" s="105"/>
      <c r="AT14" s="100"/>
      <c r="AU14" s="219" t="s">
        <v>132</v>
      </c>
      <c r="AV14" s="219"/>
      <c r="AW14" s="219"/>
      <c r="AX14" s="219"/>
      <c r="AY14" s="219" t="s">
        <v>101</v>
      </c>
      <c r="AZ14" s="219"/>
      <c r="BA14" s="219"/>
      <c r="BB14" s="219"/>
      <c r="BC14" s="219" t="s">
        <v>138</v>
      </c>
      <c r="BD14" s="219"/>
      <c r="BE14" s="219"/>
      <c r="BF14" s="219"/>
      <c r="BG14" s="219" t="s">
        <v>157</v>
      </c>
      <c r="BH14" s="219"/>
      <c r="BI14" s="219"/>
      <c r="BJ14" s="219"/>
      <c r="BK14" s="157"/>
      <c r="BL14" s="157"/>
      <c r="BN14" s="224" t="s">
        <v>139</v>
      </c>
      <c r="BO14" s="225"/>
      <c r="BP14" s="225"/>
      <c r="BQ14" s="235"/>
    </row>
    <row r="15" spans="1:69" s="5" customFormat="1" ht="64.75" customHeight="1" x14ac:dyDescent="0.35">
      <c r="A15" s="10"/>
      <c r="B15" s="1" t="s">
        <v>0</v>
      </c>
      <c r="C15" s="220" t="s">
        <v>4</v>
      </c>
      <c r="D15" s="220"/>
      <c r="E15" s="1" t="s">
        <v>5</v>
      </c>
      <c r="F15" s="1" t="s">
        <v>1</v>
      </c>
      <c r="G15" s="1" t="s">
        <v>2</v>
      </c>
      <c r="H15" s="1" t="s">
        <v>7</v>
      </c>
      <c r="I15" s="1" t="s">
        <v>140</v>
      </c>
      <c r="J15" s="1" t="s">
        <v>143</v>
      </c>
      <c r="K15" s="132" t="s">
        <v>146</v>
      </c>
      <c r="L15" s="171" t="s">
        <v>11</v>
      </c>
      <c r="M15" s="171" t="s">
        <v>12</v>
      </c>
      <c r="N15" s="171" t="s">
        <v>13</v>
      </c>
      <c r="O15" s="171" t="s">
        <v>84</v>
      </c>
      <c r="P15" s="171" t="s">
        <v>11</v>
      </c>
      <c r="Q15" s="171" t="s">
        <v>12</v>
      </c>
      <c r="R15" s="171" t="s">
        <v>13</v>
      </c>
      <c r="S15" s="171" t="s">
        <v>85</v>
      </c>
      <c r="T15" s="171" t="s">
        <v>11</v>
      </c>
      <c r="U15" s="171" t="s">
        <v>12</v>
      </c>
      <c r="V15" s="171" t="s">
        <v>13</v>
      </c>
      <c r="W15" s="171" t="s">
        <v>86</v>
      </c>
      <c r="X15" s="171" t="s">
        <v>11</v>
      </c>
      <c r="Y15" s="171" t="s">
        <v>12</v>
      </c>
      <c r="Z15" s="171" t="s">
        <v>13</v>
      </c>
      <c r="AA15" s="171" t="s">
        <v>87</v>
      </c>
      <c r="AB15" s="171" t="s">
        <v>11</v>
      </c>
      <c r="AC15" s="171" t="s">
        <v>12</v>
      </c>
      <c r="AD15" s="171" t="s">
        <v>13</v>
      </c>
      <c r="AE15" s="171" t="s">
        <v>89</v>
      </c>
      <c r="AF15" s="171" t="s">
        <v>11</v>
      </c>
      <c r="AG15" s="171" t="s">
        <v>12</v>
      </c>
      <c r="AH15" s="171" t="s">
        <v>13</v>
      </c>
      <c r="AI15" s="171" t="s">
        <v>88</v>
      </c>
      <c r="AJ15" s="171" t="s">
        <v>11</v>
      </c>
      <c r="AK15" s="171" t="s">
        <v>12</v>
      </c>
      <c r="AL15" s="171" t="s">
        <v>13</v>
      </c>
      <c r="AM15" s="171" t="s">
        <v>104</v>
      </c>
      <c r="AN15" s="105"/>
      <c r="AO15" s="1" t="s">
        <v>158</v>
      </c>
      <c r="AP15" s="1" t="s">
        <v>156</v>
      </c>
      <c r="AQ15" s="161" t="s">
        <v>155</v>
      </c>
      <c r="AR15" s="1" t="s">
        <v>159</v>
      </c>
      <c r="AS15" s="1" t="s">
        <v>160</v>
      </c>
      <c r="AT15" s="100"/>
      <c r="AU15" s="197" t="s">
        <v>134</v>
      </c>
      <c r="AV15" s="197" t="s">
        <v>135</v>
      </c>
      <c r="AW15" s="197" t="s">
        <v>136</v>
      </c>
      <c r="AX15" s="197" t="s">
        <v>137</v>
      </c>
      <c r="AY15" s="172" t="s">
        <v>134</v>
      </c>
      <c r="AZ15" s="172" t="s">
        <v>135</v>
      </c>
      <c r="BA15" s="172" t="s">
        <v>136</v>
      </c>
      <c r="BB15" s="172" t="s">
        <v>137</v>
      </c>
      <c r="BC15" s="197" t="s">
        <v>134</v>
      </c>
      <c r="BD15" s="197" t="s">
        <v>135</v>
      </c>
      <c r="BE15" s="197" t="s">
        <v>136</v>
      </c>
      <c r="BF15" s="197" t="s">
        <v>137</v>
      </c>
      <c r="BG15" s="197" t="s">
        <v>134</v>
      </c>
      <c r="BH15" s="197" t="s">
        <v>135</v>
      </c>
      <c r="BI15" s="197" t="s">
        <v>136</v>
      </c>
      <c r="BJ15" s="197" t="s">
        <v>137</v>
      </c>
      <c r="BK15" s="158"/>
      <c r="BL15" s="158"/>
      <c r="BM15" s="101"/>
      <c r="BN15" s="233" t="s">
        <v>134</v>
      </c>
      <c r="BO15" s="233" t="s">
        <v>135</v>
      </c>
      <c r="BP15" s="233" t="s">
        <v>136</v>
      </c>
      <c r="BQ15" s="233" t="s">
        <v>137</v>
      </c>
    </row>
    <row r="16" spans="1:69" ht="26.5" customHeight="1" x14ac:dyDescent="0.35">
      <c r="A16" s="6"/>
      <c r="B16" s="221" t="s">
        <v>15</v>
      </c>
      <c r="C16" s="222"/>
      <c r="D16" s="222"/>
      <c r="E16" s="222"/>
      <c r="F16" s="222"/>
      <c r="G16" s="222"/>
      <c r="H16" s="223"/>
      <c r="I16" s="154"/>
      <c r="J16" s="154"/>
      <c r="K16" s="154"/>
      <c r="L16" s="154"/>
      <c r="M16" s="154"/>
      <c r="N16" s="154"/>
      <c r="O16" s="154"/>
      <c r="P16" s="154"/>
      <c r="Q16" s="154"/>
      <c r="R16" s="154"/>
      <c r="S16" s="154"/>
      <c r="T16" s="154"/>
      <c r="U16" s="154"/>
      <c r="V16" s="154"/>
      <c r="W16" s="154"/>
      <c r="X16" s="154"/>
      <c r="Y16" s="154"/>
      <c r="Z16" s="154"/>
      <c r="AA16" s="154"/>
      <c r="AB16" s="154"/>
      <c r="AC16" s="154"/>
      <c r="AD16" s="154"/>
      <c r="AE16" s="154"/>
      <c r="AF16" s="154"/>
      <c r="AG16" s="154"/>
      <c r="AH16" s="154"/>
      <c r="AI16" s="154"/>
      <c r="AJ16" s="154"/>
      <c r="AK16" s="154"/>
      <c r="AL16" s="154"/>
      <c r="AM16" s="1"/>
      <c r="AN16" s="105"/>
      <c r="AO16" s="1"/>
      <c r="AP16" s="1"/>
      <c r="AQ16" s="161"/>
      <c r="AR16" s="1"/>
      <c r="AS16" s="1"/>
      <c r="AT16" s="100"/>
      <c r="AU16" s="197"/>
      <c r="AV16" s="197"/>
      <c r="AW16" s="197"/>
      <c r="AX16" s="197"/>
      <c r="AY16" s="172"/>
      <c r="AZ16" s="172"/>
      <c r="BA16" s="172"/>
      <c r="BB16" s="172"/>
      <c r="BC16" s="197"/>
      <c r="BD16" s="197"/>
      <c r="BE16" s="197"/>
      <c r="BF16" s="197"/>
      <c r="BG16" s="197"/>
      <c r="BH16" s="197"/>
      <c r="BI16" s="197"/>
      <c r="BJ16" s="197"/>
      <c r="BK16" s="158"/>
      <c r="BL16" s="158"/>
      <c r="BM16" s="101"/>
      <c r="BN16" s="234"/>
      <c r="BO16" s="234"/>
      <c r="BP16" s="234"/>
      <c r="BQ16" s="234"/>
    </row>
    <row r="17" spans="1:69" s="66" customFormat="1" ht="54.75" customHeight="1" x14ac:dyDescent="0.35">
      <c r="A17" s="68"/>
      <c r="B17" s="140">
        <v>1</v>
      </c>
      <c r="C17" s="229" t="s">
        <v>27</v>
      </c>
      <c r="D17" s="229"/>
      <c r="E17" s="102" t="s">
        <v>8</v>
      </c>
      <c r="F17" s="102" t="s">
        <v>6</v>
      </c>
      <c r="G17" s="102">
        <v>1</v>
      </c>
      <c r="H17" s="102">
        <v>12</v>
      </c>
      <c r="I17" s="102" t="s">
        <v>141</v>
      </c>
      <c r="J17" s="102" t="s">
        <v>144</v>
      </c>
      <c r="K17" s="141" t="s">
        <v>163</v>
      </c>
      <c r="L17" s="102">
        <v>28865002</v>
      </c>
      <c r="M17" s="142">
        <f>ROUND(L17*19%,0)</f>
        <v>5484350</v>
      </c>
      <c r="N17" s="102">
        <f>ROUND(+M17+L17,0)</f>
        <v>34349352</v>
      </c>
      <c r="O17" s="102">
        <f t="shared" ref="O17:O22" si="0">+N17*H17*G17</f>
        <v>412192224</v>
      </c>
      <c r="P17" s="102">
        <v>29586073</v>
      </c>
      <c r="Q17" s="142">
        <f>ROUND(P17*19%,0)</f>
        <v>5621354</v>
      </c>
      <c r="R17" s="102">
        <f>+Q17+P17</f>
        <v>35207427</v>
      </c>
      <c r="S17" s="102">
        <f>+R17*$G17*$H17</f>
        <v>422489124</v>
      </c>
      <c r="T17" s="102">
        <v>26618459</v>
      </c>
      <c r="U17" s="142">
        <f>ROUND(T17*19%,0)</f>
        <v>5057507</v>
      </c>
      <c r="V17" s="102">
        <f>+U17+T17</f>
        <v>31675966</v>
      </c>
      <c r="W17" s="102">
        <f>+V17*$G17*$H17</f>
        <v>380111592</v>
      </c>
      <c r="X17" s="102">
        <v>29038196</v>
      </c>
      <c r="Y17" s="142">
        <f>ROUND(X17*19%,0)</f>
        <v>5517257</v>
      </c>
      <c r="Z17" s="102">
        <f>+Y17+X17</f>
        <v>34555453</v>
      </c>
      <c r="AA17" s="102">
        <f>+Z17*$G17*$H17</f>
        <v>414665436</v>
      </c>
      <c r="AB17" s="102">
        <v>21000000</v>
      </c>
      <c r="AC17" s="142">
        <f>ROUND(AB17*19%,0)</f>
        <v>3990000</v>
      </c>
      <c r="AD17" s="102">
        <f>+AC17+AB17</f>
        <v>24990000</v>
      </c>
      <c r="AE17" s="102">
        <f t="shared" ref="AE17:AE22" si="1">+AD17*$G17*$H17</f>
        <v>299880000</v>
      </c>
      <c r="AF17" s="102">
        <v>42375920</v>
      </c>
      <c r="AG17" s="142">
        <f>ROUND(AF17*19%,0)</f>
        <v>8051425</v>
      </c>
      <c r="AH17" s="102">
        <f>+AG17+AF17</f>
        <v>50427345</v>
      </c>
      <c r="AI17" s="102">
        <f>+AH17*$G17*$H17</f>
        <v>605128140</v>
      </c>
      <c r="AJ17" s="102"/>
      <c r="AK17" s="102"/>
      <c r="AL17" s="102"/>
      <c r="AM17" s="102"/>
      <c r="AN17" s="105"/>
      <c r="AO17" s="102">
        <f>COUNT(L17,P17,T17,X17,AB17,AF17)</f>
        <v>6</v>
      </c>
      <c r="AP17" s="102">
        <f>ROUND(_xlfn.STDEV.P(L17,P17,T17,X17,AB17,AF17),0)</f>
        <v>6415184</v>
      </c>
      <c r="AQ17" s="162">
        <f t="shared" ref="AQ17:AQ22" si="2">AP17/AU17</f>
        <v>0.21687126917742866</v>
      </c>
      <c r="AR17" s="159"/>
      <c r="AS17" s="159"/>
      <c r="AT17" s="105"/>
      <c r="AU17" s="110">
        <f t="shared" ref="AU17:AU22" si="3">ROUND(AVERAGE(L17,P17,T17,X17,AB17,AF17),0)</f>
        <v>29580608</v>
      </c>
      <c r="AV17" s="110">
        <f>+AU17*$AW$3</f>
        <v>5620315.5200000005</v>
      </c>
      <c r="AW17" s="110">
        <f>ROUND(AU17*(1+$AW$3),0)</f>
        <v>35200924</v>
      </c>
      <c r="AX17" s="110">
        <f t="shared" ref="AX17:AX22" si="4">AW17*H17*G17</f>
        <v>422411088</v>
      </c>
      <c r="AY17" s="110">
        <f t="shared" ref="AY17:AY22" si="5">ROUND(GEOMEAN(L17,P17,T17,X17,AB17,AF17),0)</f>
        <v>28939542</v>
      </c>
      <c r="AZ17" s="110">
        <f>+AY17*$AW$3</f>
        <v>5498512.9800000004</v>
      </c>
      <c r="BA17" s="110">
        <f>ROUND(AY17*(1+$AW$3),0)</f>
        <v>34438055</v>
      </c>
      <c r="BB17" s="110">
        <f t="shared" ref="BB17:BB22" si="6">BA17*H17*G17</f>
        <v>413256660</v>
      </c>
      <c r="BC17" s="110" cm="1">
        <f t="array" ref="BC17">ROUND(AVERAGE(SMALL((AF17,AB17,X17,T17,P17,L17),{1;2;3})),0)</f>
        <v>25494487</v>
      </c>
      <c r="BD17" s="110">
        <f>BC17*$AW$3</f>
        <v>4843952.53</v>
      </c>
      <c r="BE17" s="110">
        <f>ROUND(BC17*(1+$AW$3),0)</f>
        <v>30338440</v>
      </c>
      <c r="BF17" s="110">
        <f t="shared" ref="BF17:BF22" si="7">BE17*H17*G17</f>
        <v>364061280</v>
      </c>
      <c r="BG17" s="110" cm="1">
        <f t="array" ref="BG17">ROUND(AVERAGE(SMALL((AF17,AB17,X17,T17,P17,L17),{1;2;3;4})),0)</f>
        <v>26380414</v>
      </c>
      <c r="BH17" s="110">
        <f>BG17*$AW$3</f>
        <v>5012278.66</v>
      </c>
      <c r="BI17" s="110">
        <f>ROUND(BG17*(1+$AW$3),0)</f>
        <v>31392693</v>
      </c>
      <c r="BJ17" s="110">
        <f t="shared" ref="BJ17:BJ22" si="8">BI17*H17*G17</f>
        <v>376712316</v>
      </c>
      <c r="BK17" s="110"/>
      <c r="BL17" s="110"/>
      <c r="BM17" s="119"/>
      <c r="BN17" s="119">
        <f t="shared" ref="BN17:BN22" si="9">+AY17</f>
        <v>28939542</v>
      </c>
      <c r="BO17" s="119">
        <f>+BN17*$AW$3</f>
        <v>5498512.9800000004</v>
      </c>
      <c r="BP17" s="119">
        <f>ROUND(BN17*(1+$AW$3),0)</f>
        <v>34438055</v>
      </c>
      <c r="BQ17" s="119">
        <f t="shared" ref="BQ17:BQ22" si="10">BP17*H17*G17</f>
        <v>413256660</v>
      </c>
    </row>
    <row r="18" spans="1:69" s="66" customFormat="1" ht="73.5" x14ac:dyDescent="0.35">
      <c r="A18" s="68"/>
      <c r="B18" s="140">
        <v>2</v>
      </c>
      <c r="C18" s="229" t="s">
        <v>33</v>
      </c>
      <c r="D18" s="229"/>
      <c r="E18" s="102" t="s">
        <v>8</v>
      </c>
      <c r="F18" s="102" t="s">
        <v>6</v>
      </c>
      <c r="G18" s="102">
        <v>1</v>
      </c>
      <c r="H18" s="102">
        <v>12</v>
      </c>
      <c r="I18" s="102" t="s">
        <v>141</v>
      </c>
      <c r="J18" s="102" t="s">
        <v>144</v>
      </c>
      <c r="K18" s="141" t="s">
        <v>164</v>
      </c>
      <c r="L18" s="102">
        <v>4749884.33</v>
      </c>
      <c r="M18" s="142">
        <f t="shared" ref="M18:M22" si="11">ROUND(L18*19%,0)</f>
        <v>902478</v>
      </c>
      <c r="N18" s="102">
        <f t="shared" ref="N18:N22" si="12">ROUND(+M18+L18,0)</f>
        <v>5652362</v>
      </c>
      <c r="O18" s="102">
        <f t="shared" si="0"/>
        <v>67828344</v>
      </c>
      <c r="P18" s="102">
        <v>4149884</v>
      </c>
      <c r="Q18" s="142">
        <f t="shared" ref="Q18:Q22" si="13">ROUND(P18*19%,0)</f>
        <v>788478</v>
      </c>
      <c r="R18" s="102">
        <f t="shared" ref="R18:R22" si="14">+Q18+P18</f>
        <v>4938362</v>
      </c>
      <c r="S18" s="102">
        <f t="shared" ref="S18:S22" si="15">+R18*$G18*$H18</f>
        <v>59260344</v>
      </c>
      <c r="T18" s="102">
        <v>5349884</v>
      </c>
      <c r="U18" s="142">
        <f t="shared" ref="U18:U22" si="16">ROUND(T18*19%,0)</f>
        <v>1016478</v>
      </c>
      <c r="V18" s="102">
        <f t="shared" ref="V18:V22" si="17">+U18+T18</f>
        <v>6366362</v>
      </c>
      <c r="W18" s="102">
        <f t="shared" ref="W18:W22" si="18">+V18*$G18*$H18</f>
        <v>76396344</v>
      </c>
      <c r="X18" s="102">
        <v>4349884</v>
      </c>
      <c r="Y18" s="142">
        <f t="shared" ref="Y18:Y22" si="19">ROUND(X18*19%,0)</f>
        <v>826478</v>
      </c>
      <c r="Z18" s="102">
        <f t="shared" ref="Z18:Z22" si="20">+Y18+X18</f>
        <v>5176362</v>
      </c>
      <c r="AA18" s="102">
        <f t="shared" ref="AA18:AA22" si="21">+Z18*$G18*$H18</f>
        <v>62116344</v>
      </c>
      <c r="AB18" s="102">
        <v>3700000</v>
      </c>
      <c r="AC18" s="142">
        <f t="shared" ref="AC18:AC22" si="22">ROUND(AB18*19%,0)</f>
        <v>703000</v>
      </c>
      <c r="AD18" s="102">
        <f t="shared" ref="AD18:AD22" si="23">+AC18+AB18</f>
        <v>4403000</v>
      </c>
      <c r="AE18" s="102">
        <f t="shared" si="1"/>
        <v>52836000</v>
      </c>
      <c r="AF18" s="160"/>
      <c r="AG18" s="142">
        <f t="shared" ref="AG18:AG22" si="24">ROUND(AF18*19%,0)</f>
        <v>0</v>
      </c>
      <c r="AH18" s="102">
        <f t="shared" ref="AH18:AH21" si="25">+AG18+AF18</f>
        <v>0</v>
      </c>
      <c r="AI18" s="102">
        <f t="shared" ref="AI18:AI21" si="26">+AH18*$G18*$H18</f>
        <v>0</v>
      </c>
      <c r="AJ18" s="102"/>
      <c r="AK18" s="102"/>
      <c r="AL18" s="102"/>
      <c r="AM18" s="102"/>
      <c r="AN18" s="105"/>
      <c r="AO18" s="102">
        <f t="shared" ref="AO18:AO22" si="27">COUNT(L18,P18,T18,X18,AB18,AF18)</f>
        <v>5</v>
      </c>
      <c r="AP18" s="102">
        <f t="shared" ref="AP18:AP22" si="28">ROUND(_xlfn.STDEV.P(L18,P18,T18,X18,AB18,AF18),0)</f>
        <v>558896</v>
      </c>
      <c r="AQ18" s="162">
        <f t="shared" si="2"/>
        <v>0.12531561756781026</v>
      </c>
      <c r="AR18" s="159" t="s">
        <v>167</v>
      </c>
      <c r="AS18" s="164"/>
      <c r="AT18" s="105"/>
      <c r="AU18" s="110">
        <f t="shared" si="3"/>
        <v>4459907</v>
      </c>
      <c r="AV18" s="110">
        <f t="shared" ref="AV18:AV22" si="29">+AU18*$AW$3</f>
        <v>847382.33</v>
      </c>
      <c r="AW18" s="110">
        <f>ROUND(AU18*(1+$AW$3),0)</f>
        <v>5307289</v>
      </c>
      <c r="AX18" s="110">
        <f t="shared" si="4"/>
        <v>63687468</v>
      </c>
      <c r="AY18" s="110">
        <f t="shared" si="5"/>
        <v>4425359</v>
      </c>
      <c r="AZ18" s="110">
        <f t="shared" ref="AZ18:AZ22" si="30">+AY18*$AW$3</f>
        <v>840818.21</v>
      </c>
      <c r="BA18" s="110">
        <f t="shared" ref="BA18:BA22" si="31">ROUND(AY18*(1+$AW$3),0)</f>
        <v>5266177</v>
      </c>
      <c r="BB18" s="110">
        <f t="shared" si="6"/>
        <v>63194124</v>
      </c>
      <c r="BC18" s="110" cm="1">
        <f t="array" ref="BC18">ROUND(AVERAGE(SMALL((AF18,AB18,X18,T18,P18,L18),{1;2;3})),0)</f>
        <v>4066589</v>
      </c>
      <c r="BD18" s="110">
        <f t="shared" ref="BD18:BD22" si="32">BC18*$AW$3</f>
        <v>772651.91</v>
      </c>
      <c r="BE18" s="110">
        <f t="shared" ref="BE18:BE22" si="33">ROUND(BC18*(1+$AW$3),0)</f>
        <v>4839241</v>
      </c>
      <c r="BF18" s="110">
        <f t="shared" si="7"/>
        <v>58070892</v>
      </c>
      <c r="BG18" s="110" cm="1">
        <f t="array" ref="BG18">ROUND(AVERAGE(SMALL((AF18,AB18,X18,T18,P18,L18),{1;2;3;4})),0)</f>
        <v>4237413</v>
      </c>
      <c r="BH18" s="110">
        <f t="shared" ref="BH18:BH32" si="34">BG18*$AW$3</f>
        <v>805108.47</v>
      </c>
      <c r="BI18" s="110">
        <f t="shared" ref="BI18:BI22" si="35">ROUND(BG18*(1+$AW$3),0)</f>
        <v>5042521</v>
      </c>
      <c r="BJ18" s="110">
        <f t="shared" si="8"/>
        <v>60510252</v>
      </c>
      <c r="BK18" s="110"/>
      <c r="BL18" s="110"/>
      <c r="BM18" s="119"/>
      <c r="BN18" s="119">
        <f t="shared" si="9"/>
        <v>4425359</v>
      </c>
      <c r="BO18" s="119">
        <f t="shared" ref="BO18:BO22" si="36">+BN18*$AW$3</f>
        <v>840818.21</v>
      </c>
      <c r="BP18" s="119">
        <f t="shared" ref="BP18:BP22" si="37">ROUND(BN18*(1+$AW$3),0)</f>
        <v>5266177</v>
      </c>
      <c r="BQ18" s="119">
        <f t="shared" si="10"/>
        <v>63194124</v>
      </c>
    </row>
    <row r="19" spans="1:69" s="66" customFormat="1" ht="82" customHeight="1" x14ac:dyDescent="0.35">
      <c r="A19" s="68"/>
      <c r="B19" s="140">
        <v>3</v>
      </c>
      <c r="C19" s="229" t="s">
        <v>92</v>
      </c>
      <c r="D19" s="229"/>
      <c r="E19" s="102" t="s">
        <v>8</v>
      </c>
      <c r="F19" s="102" t="s">
        <v>6</v>
      </c>
      <c r="G19" s="102">
        <v>1</v>
      </c>
      <c r="H19" s="102">
        <v>12</v>
      </c>
      <c r="I19" s="102" t="s">
        <v>141</v>
      </c>
      <c r="J19" s="102" t="s">
        <v>144</v>
      </c>
      <c r="K19" s="141" t="s">
        <v>165</v>
      </c>
      <c r="L19" s="102">
        <v>3262413.25</v>
      </c>
      <c r="M19" s="142">
        <f t="shared" si="11"/>
        <v>619859</v>
      </c>
      <c r="N19" s="102">
        <f t="shared" si="12"/>
        <v>3882272</v>
      </c>
      <c r="O19" s="102">
        <f t="shared" si="0"/>
        <v>46587264</v>
      </c>
      <c r="P19" s="102">
        <v>3862413</v>
      </c>
      <c r="Q19" s="142">
        <f t="shared" si="13"/>
        <v>733858</v>
      </c>
      <c r="R19" s="102">
        <f t="shared" si="14"/>
        <v>4596271</v>
      </c>
      <c r="S19" s="102">
        <f t="shared" si="15"/>
        <v>55155252</v>
      </c>
      <c r="T19" s="102">
        <v>4262413</v>
      </c>
      <c r="U19" s="142">
        <f t="shared" si="16"/>
        <v>809858</v>
      </c>
      <c r="V19" s="102">
        <f t="shared" si="17"/>
        <v>5072271</v>
      </c>
      <c r="W19" s="102">
        <f t="shared" si="18"/>
        <v>60867252</v>
      </c>
      <c r="X19" s="102">
        <v>3262413</v>
      </c>
      <c r="Y19" s="142">
        <f t="shared" si="19"/>
        <v>619858</v>
      </c>
      <c r="Z19" s="102">
        <f t="shared" si="20"/>
        <v>3882271</v>
      </c>
      <c r="AA19" s="102">
        <f t="shared" si="21"/>
        <v>46587252</v>
      </c>
      <c r="AB19" s="102">
        <v>3600000</v>
      </c>
      <c r="AC19" s="142">
        <f t="shared" si="22"/>
        <v>684000</v>
      </c>
      <c r="AD19" s="102">
        <f t="shared" si="23"/>
        <v>4284000</v>
      </c>
      <c r="AE19" s="102">
        <f t="shared" si="1"/>
        <v>51408000</v>
      </c>
      <c r="AF19" s="160"/>
      <c r="AG19" s="142">
        <f t="shared" si="24"/>
        <v>0</v>
      </c>
      <c r="AH19" s="102">
        <f t="shared" si="25"/>
        <v>0</v>
      </c>
      <c r="AI19" s="102">
        <f t="shared" si="26"/>
        <v>0</v>
      </c>
      <c r="AJ19" s="102"/>
      <c r="AK19" s="102"/>
      <c r="AL19" s="102"/>
      <c r="AM19" s="102"/>
      <c r="AN19" s="105"/>
      <c r="AO19" s="102">
        <f t="shared" si="27"/>
        <v>5</v>
      </c>
      <c r="AP19" s="102">
        <f t="shared" si="28"/>
        <v>380294</v>
      </c>
      <c r="AQ19" s="162">
        <f t="shared" si="2"/>
        <v>0.10419213519163381</v>
      </c>
      <c r="AR19" s="159" t="s">
        <v>167</v>
      </c>
      <c r="AS19" s="159"/>
      <c r="AT19" s="105"/>
      <c r="AU19" s="110">
        <f t="shared" si="3"/>
        <v>3649930</v>
      </c>
      <c r="AV19" s="110">
        <f t="shared" si="29"/>
        <v>693486.7</v>
      </c>
      <c r="AW19" s="110">
        <f t="shared" ref="AW19:AW22" si="38">ROUND(AU19*(1+$AW$3),0)</f>
        <v>4343417</v>
      </c>
      <c r="AX19" s="110">
        <f t="shared" si="4"/>
        <v>52121004</v>
      </c>
      <c r="AY19" s="110">
        <f t="shared" si="5"/>
        <v>3630604</v>
      </c>
      <c r="AZ19" s="110">
        <f t="shared" si="30"/>
        <v>689814.76</v>
      </c>
      <c r="BA19" s="110">
        <f t="shared" si="31"/>
        <v>4320419</v>
      </c>
      <c r="BB19" s="110">
        <f t="shared" si="6"/>
        <v>51845028</v>
      </c>
      <c r="BC19" s="110" cm="1">
        <f t="array" ref="BC19">ROUND(AVERAGE(SMALL((AF19,AB19,X19,T19,P19,L19),{1;2;3})),0)</f>
        <v>3374942</v>
      </c>
      <c r="BD19" s="110">
        <f t="shared" si="32"/>
        <v>641238.98</v>
      </c>
      <c r="BE19" s="110">
        <f t="shared" si="33"/>
        <v>4016181</v>
      </c>
      <c r="BF19" s="110">
        <f t="shared" si="7"/>
        <v>48194172</v>
      </c>
      <c r="BG19" s="110" cm="1">
        <f t="array" ref="BG19">ROUND(AVERAGE(SMALL((AF19,AB19,X19,T19,P19,L19),{1;2;3;4})),0)</f>
        <v>3496810</v>
      </c>
      <c r="BH19" s="110">
        <f t="shared" si="34"/>
        <v>664393.9</v>
      </c>
      <c r="BI19" s="110">
        <f t="shared" si="35"/>
        <v>4161204</v>
      </c>
      <c r="BJ19" s="110">
        <f t="shared" si="8"/>
        <v>49934448</v>
      </c>
      <c r="BK19" s="110"/>
      <c r="BL19" s="110"/>
      <c r="BM19" s="119"/>
      <c r="BN19" s="119">
        <f t="shared" si="9"/>
        <v>3630604</v>
      </c>
      <c r="BO19" s="119">
        <f t="shared" si="36"/>
        <v>689814.76</v>
      </c>
      <c r="BP19" s="119">
        <f t="shared" si="37"/>
        <v>4320419</v>
      </c>
      <c r="BQ19" s="119">
        <f t="shared" si="10"/>
        <v>51845028</v>
      </c>
    </row>
    <row r="20" spans="1:69" s="66" customFormat="1" ht="58.25" customHeight="1" x14ac:dyDescent="0.35">
      <c r="A20" s="68"/>
      <c r="B20" s="231">
        <v>4</v>
      </c>
      <c r="C20" s="229" t="s">
        <v>40</v>
      </c>
      <c r="D20" s="143" t="s">
        <v>42</v>
      </c>
      <c r="E20" s="102" t="s">
        <v>8</v>
      </c>
      <c r="F20" s="102" t="s">
        <v>6</v>
      </c>
      <c r="G20" s="102">
        <v>1</v>
      </c>
      <c r="H20" s="102">
        <v>1</v>
      </c>
      <c r="I20" s="102" t="s">
        <v>142</v>
      </c>
      <c r="J20" s="102" t="s">
        <v>145</v>
      </c>
      <c r="K20" s="141" t="s">
        <v>152</v>
      </c>
      <c r="L20" s="163"/>
      <c r="M20" s="142">
        <f t="shared" si="11"/>
        <v>0</v>
      </c>
      <c r="N20" s="102">
        <f t="shared" si="12"/>
        <v>0</v>
      </c>
      <c r="O20" s="102">
        <f t="shared" si="0"/>
        <v>0</v>
      </c>
      <c r="P20" s="102">
        <v>66226700</v>
      </c>
      <c r="Q20" s="142">
        <f t="shared" si="13"/>
        <v>12583073</v>
      </c>
      <c r="R20" s="102">
        <f t="shared" si="14"/>
        <v>78809773</v>
      </c>
      <c r="S20" s="102">
        <f t="shared" si="15"/>
        <v>78809773</v>
      </c>
      <c r="T20" s="102">
        <v>66666700</v>
      </c>
      <c r="U20" s="142">
        <f t="shared" si="16"/>
        <v>12666673</v>
      </c>
      <c r="V20" s="102">
        <f t="shared" si="17"/>
        <v>79333373</v>
      </c>
      <c r="W20" s="102">
        <f t="shared" si="18"/>
        <v>79333373</v>
      </c>
      <c r="X20" s="102">
        <v>66666700</v>
      </c>
      <c r="Y20" s="142">
        <f t="shared" si="19"/>
        <v>12666673</v>
      </c>
      <c r="Z20" s="102">
        <f t="shared" si="20"/>
        <v>79333373</v>
      </c>
      <c r="AA20" s="102">
        <f t="shared" si="21"/>
        <v>79333373</v>
      </c>
      <c r="AB20" s="102">
        <v>63000000</v>
      </c>
      <c r="AC20" s="142">
        <f t="shared" si="22"/>
        <v>11970000</v>
      </c>
      <c r="AD20" s="102">
        <f t="shared" si="23"/>
        <v>74970000</v>
      </c>
      <c r="AE20" s="102">
        <f t="shared" si="1"/>
        <v>74970000</v>
      </c>
      <c r="AF20" s="160"/>
      <c r="AG20" s="142">
        <f t="shared" si="24"/>
        <v>0</v>
      </c>
      <c r="AH20" s="102">
        <f t="shared" si="25"/>
        <v>0</v>
      </c>
      <c r="AI20" s="102">
        <f t="shared" si="26"/>
        <v>0</v>
      </c>
      <c r="AJ20" s="102"/>
      <c r="AK20" s="102"/>
      <c r="AL20" s="102"/>
      <c r="AM20" s="102"/>
      <c r="AN20" s="105"/>
      <c r="AO20" s="102">
        <f t="shared" si="27"/>
        <v>4</v>
      </c>
      <c r="AP20" s="102">
        <f t="shared" si="28"/>
        <v>1534767</v>
      </c>
      <c r="AQ20" s="162">
        <f t="shared" si="2"/>
        <v>2.3381572447603426E-2</v>
      </c>
      <c r="AR20" s="159" t="s">
        <v>167</v>
      </c>
      <c r="AS20" s="159" t="s">
        <v>168</v>
      </c>
      <c r="AT20" s="105"/>
      <c r="AU20" s="110">
        <f t="shared" si="3"/>
        <v>65640025</v>
      </c>
      <c r="AV20" s="110">
        <f t="shared" si="29"/>
        <v>12471604.75</v>
      </c>
      <c r="AW20" s="110">
        <f t="shared" si="38"/>
        <v>78111630</v>
      </c>
      <c r="AX20" s="110">
        <f t="shared" si="4"/>
        <v>78111630</v>
      </c>
      <c r="AY20" s="110">
        <f t="shared" si="5"/>
        <v>65621763</v>
      </c>
      <c r="AZ20" s="110">
        <f t="shared" si="30"/>
        <v>12468134.970000001</v>
      </c>
      <c r="BA20" s="110">
        <f t="shared" si="31"/>
        <v>78089898</v>
      </c>
      <c r="BB20" s="110">
        <f t="shared" si="6"/>
        <v>78089898</v>
      </c>
      <c r="BC20" s="110" cm="1">
        <f t="array" ref="BC20">ROUND(AVERAGE(SMALL((AF20,AB20,X20,T20,P20,L20),{1;2;3})),0)</f>
        <v>65297800</v>
      </c>
      <c r="BD20" s="110">
        <f t="shared" si="32"/>
        <v>12406582</v>
      </c>
      <c r="BE20" s="110">
        <f t="shared" si="33"/>
        <v>77704382</v>
      </c>
      <c r="BF20" s="110">
        <f t="shared" si="7"/>
        <v>77704382</v>
      </c>
      <c r="BG20" s="110" cm="1">
        <f t="array" ref="BG20">ROUND(AVERAGE(SMALL((AF20,AB20,X20,T20,P20,L20),{1;2;3;4})),0)</f>
        <v>65640025</v>
      </c>
      <c r="BH20" s="110">
        <f t="shared" si="34"/>
        <v>12471604.75</v>
      </c>
      <c r="BI20" s="110">
        <f t="shared" si="35"/>
        <v>78111630</v>
      </c>
      <c r="BJ20" s="110">
        <f t="shared" si="8"/>
        <v>78111630</v>
      </c>
      <c r="BK20" s="110"/>
      <c r="BL20" s="110"/>
      <c r="BM20" s="119"/>
      <c r="BN20" s="119">
        <f t="shared" si="9"/>
        <v>65621763</v>
      </c>
      <c r="BO20" s="119">
        <f t="shared" si="36"/>
        <v>12468134.970000001</v>
      </c>
      <c r="BP20" s="119">
        <f t="shared" si="37"/>
        <v>78089898</v>
      </c>
      <c r="BQ20" s="119">
        <f t="shared" si="10"/>
        <v>78089898</v>
      </c>
    </row>
    <row r="21" spans="1:69" s="66" customFormat="1" ht="58.25" customHeight="1" x14ac:dyDescent="0.35">
      <c r="A21" s="68"/>
      <c r="B21" s="231"/>
      <c r="C21" s="229"/>
      <c r="D21" s="143" t="s">
        <v>45</v>
      </c>
      <c r="E21" s="102" t="s">
        <v>8</v>
      </c>
      <c r="F21" s="102" t="s">
        <v>6</v>
      </c>
      <c r="G21" s="102">
        <v>1</v>
      </c>
      <c r="H21" s="102">
        <v>1</v>
      </c>
      <c r="I21" s="102" t="s">
        <v>142</v>
      </c>
      <c r="J21" s="102" t="s">
        <v>145</v>
      </c>
      <c r="K21" s="141" t="s">
        <v>152</v>
      </c>
      <c r="L21" s="102">
        <v>116666667</v>
      </c>
      <c r="M21" s="142">
        <f t="shared" si="11"/>
        <v>22166667</v>
      </c>
      <c r="N21" s="102">
        <f t="shared" si="12"/>
        <v>138833334</v>
      </c>
      <c r="O21" s="102">
        <f t="shared" si="0"/>
        <v>138833334</v>
      </c>
      <c r="P21" s="102">
        <v>116666667</v>
      </c>
      <c r="Q21" s="142">
        <f t="shared" si="13"/>
        <v>22166667</v>
      </c>
      <c r="R21" s="102">
        <f t="shared" si="14"/>
        <v>138833334</v>
      </c>
      <c r="S21" s="102">
        <f t="shared" si="15"/>
        <v>138833334</v>
      </c>
      <c r="T21" s="102">
        <v>116666667</v>
      </c>
      <c r="U21" s="142">
        <f t="shared" si="16"/>
        <v>22166667</v>
      </c>
      <c r="V21" s="102">
        <f t="shared" si="17"/>
        <v>138833334</v>
      </c>
      <c r="W21" s="102">
        <f t="shared" si="18"/>
        <v>138833334</v>
      </c>
      <c r="X21" s="102">
        <v>116666667</v>
      </c>
      <c r="Y21" s="142">
        <f t="shared" si="19"/>
        <v>22166667</v>
      </c>
      <c r="Z21" s="102">
        <f t="shared" si="20"/>
        <v>138833334</v>
      </c>
      <c r="AA21" s="102">
        <f t="shared" si="21"/>
        <v>138833334</v>
      </c>
      <c r="AB21" s="163"/>
      <c r="AC21" s="142">
        <f t="shared" si="22"/>
        <v>0</v>
      </c>
      <c r="AD21" s="102">
        <f t="shared" si="23"/>
        <v>0</v>
      </c>
      <c r="AE21" s="102">
        <f t="shared" si="1"/>
        <v>0</v>
      </c>
      <c r="AF21" s="160"/>
      <c r="AG21" s="142">
        <f t="shared" si="24"/>
        <v>0</v>
      </c>
      <c r="AH21" s="102">
        <f t="shared" si="25"/>
        <v>0</v>
      </c>
      <c r="AI21" s="102">
        <f t="shared" si="26"/>
        <v>0</v>
      </c>
      <c r="AJ21" s="102"/>
      <c r="AK21" s="102"/>
      <c r="AL21" s="102"/>
      <c r="AM21" s="102"/>
      <c r="AN21" s="105"/>
      <c r="AO21" s="102">
        <f t="shared" si="27"/>
        <v>4</v>
      </c>
      <c r="AP21" s="102">
        <f t="shared" si="28"/>
        <v>0</v>
      </c>
      <c r="AQ21" s="162">
        <f t="shared" si="2"/>
        <v>0</v>
      </c>
      <c r="AR21" s="159" t="s">
        <v>167</v>
      </c>
      <c r="AS21" s="159" t="s">
        <v>168</v>
      </c>
      <c r="AT21" s="105"/>
      <c r="AU21" s="110">
        <f t="shared" si="3"/>
        <v>116666667</v>
      </c>
      <c r="AV21" s="110">
        <f t="shared" si="29"/>
        <v>22166666.73</v>
      </c>
      <c r="AW21" s="110">
        <f t="shared" si="38"/>
        <v>138833334</v>
      </c>
      <c r="AX21" s="110">
        <f t="shared" si="4"/>
        <v>138833334</v>
      </c>
      <c r="AY21" s="110">
        <f t="shared" si="5"/>
        <v>116666667</v>
      </c>
      <c r="AZ21" s="110">
        <f t="shared" si="30"/>
        <v>22166666.73</v>
      </c>
      <c r="BA21" s="110">
        <f t="shared" si="31"/>
        <v>138833334</v>
      </c>
      <c r="BB21" s="110">
        <f t="shared" si="6"/>
        <v>138833334</v>
      </c>
      <c r="BC21" s="110" cm="1">
        <f t="array" ref="BC21">ROUND(AVERAGE(SMALL((AF21,AB21,X21,T21,P21,L21),{1;2;3})),0)</f>
        <v>116666667</v>
      </c>
      <c r="BD21" s="110">
        <f t="shared" si="32"/>
        <v>22166666.73</v>
      </c>
      <c r="BE21" s="110">
        <f t="shared" si="33"/>
        <v>138833334</v>
      </c>
      <c r="BF21" s="110">
        <f t="shared" si="7"/>
        <v>138833334</v>
      </c>
      <c r="BG21" s="110" cm="1">
        <f t="array" ref="BG21">ROUND(AVERAGE(SMALL((AF21,AB21,X21,T21,P21,L21),{1;2;3;4})),0)</f>
        <v>116666667</v>
      </c>
      <c r="BH21" s="110">
        <f t="shared" si="34"/>
        <v>22166666.73</v>
      </c>
      <c r="BI21" s="110">
        <f t="shared" si="35"/>
        <v>138833334</v>
      </c>
      <c r="BJ21" s="110">
        <f t="shared" si="8"/>
        <v>138833334</v>
      </c>
      <c r="BK21" s="110"/>
      <c r="BL21" s="110"/>
      <c r="BM21" s="119"/>
      <c r="BN21" s="119">
        <f t="shared" si="9"/>
        <v>116666667</v>
      </c>
      <c r="BO21" s="119">
        <f t="shared" si="36"/>
        <v>22166666.73</v>
      </c>
      <c r="BP21" s="119">
        <f t="shared" si="37"/>
        <v>138833334</v>
      </c>
      <c r="BQ21" s="119">
        <f t="shared" si="10"/>
        <v>138833334</v>
      </c>
    </row>
    <row r="22" spans="1:69" s="66" customFormat="1" ht="58.25" customHeight="1" x14ac:dyDescent="0.35">
      <c r="A22" s="68"/>
      <c r="B22" s="231"/>
      <c r="C22" s="229"/>
      <c r="D22" s="143" t="s">
        <v>47</v>
      </c>
      <c r="E22" s="102" t="s">
        <v>8</v>
      </c>
      <c r="F22" s="102" t="s">
        <v>6</v>
      </c>
      <c r="G22" s="102">
        <v>10</v>
      </c>
      <c r="H22" s="102">
        <v>1</v>
      </c>
      <c r="I22" s="102" t="s">
        <v>142</v>
      </c>
      <c r="J22" s="102" t="s">
        <v>145</v>
      </c>
      <c r="K22" s="141" t="s">
        <v>147</v>
      </c>
      <c r="L22" s="102">
        <v>1333334</v>
      </c>
      <c r="M22" s="142">
        <f t="shared" si="11"/>
        <v>253333</v>
      </c>
      <c r="N22" s="102">
        <f t="shared" si="12"/>
        <v>1586667</v>
      </c>
      <c r="O22" s="102">
        <f t="shared" si="0"/>
        <v>15866670</v>
      </c>
      <c r="P22" s="102">
        <v>1322334</v>
      </c>
      <c r="Q22" s="142">
        <f t="shared" si="13"/>
        <v>251243</v>
      </c>
      <c r="R22" s="102">
        <f t="shared" si="14"/>
        <v>1573577</v>
      </c>
      <c r="S22" s="102">
        <f t="shared" si="15"/>
        <v>15735770</v>
      </c>
      <c r="T22" s="102">
        <v>1733334</v>
      </c>
      <c r="U22" s="142">
        <f t="shared" si="16"/>
        <v>329333</v>
      </c>
      <c r="V22" s="102">
        <f t="shared" si="17"/>
        <v>2062667</v>
      </c>
      <c r="W22" s="102">
        <f t="shared" si="18"/>
        <v>20626670</v>
      </c>
      <c r="X22" s="102">
        <v>1333334</v>
      </c>
      <c r="Y22" s="142">
        <f t="shared" si="19"/>
        <v>253333</v>
      </c>
      <c r="Z22" s="102">
        <f t="shared" si="20"/>
        <v>1586667</v>
      </c>
      <c r="AA22" s="102">
        <f t="shared" si="21"/>
        <v>15866670</v>
      </c>
      <c r="AB22" s="102">
        <v>2430000</v>
      </c>
      <c r="AC22" s="142">
        <f t="shared" si="22"/>
        <v>461700</v>
      </c>
      <c r="AD22" s="102">
        <f t="shared" si="23"/>
        <v>2891700</v>
      </c>
      <c r="AE22" s="102">
        <f t="shared" si="1"/>
        <v>28917000</v>
      </c>
      <c r="AF22" s="160"/>
      <c r="AG22" s="142">
        <f t="shared" si="24"/>
        <v>0</v>
      </c>
      <c r="AH22" s="102">
        <f>AI22/10</f>
        <v>5021731.4560000002</v>
      </c>
      <c r="AI22" s="102">
        <v>50217314.560000002</v>
      </c>
      <c r="AJ22" s="102"/>
      <c r="AK22" s="102"/>
      <c r="AL22" s="102"/>
      <c r="AM22" s="102"/>
      <c r="AN22" s="105"/>
      <c r="AO22" s="102">
        <f t="shared" si="27"/>
        <v>5</v>
      </c>
      <c r="AP22" s="102">
        <f t="shared" si="28"/>
        <v>429268</v>
      </c>
      <c r="AQ22" s="162">
        <f t="shared" si="2"/>
        <v>0.26327917093691561</v>
      </c>
      <c r="AR22" s="159" t="s">
        <v>167</v>
      </c>
      <c r="AS22" s="159"/>
      <c r="AT22" s="105"/>
      <c r="AU22" s="110">
        <f t="shared" si="3"/>
        <v>1630467</v>
      </c>
      <c r="AV22" s="110">
        <f t="shared" si="29"/>
        <v>309788.73</v>
      </c>
      <c r="AW22" s="110">
        <f t="shared" si="38"/>
        <v>1940256</v>
      </c>
      <c r="AX22" s="110">
        <f t="shared" si="4"/>
        <v>19402560</v>
      </c>
      <c r="AY22" s="110">
        <f t="shared" si="5"/>
        <v>1581763</v>
      </c>
      <c r="AZ22" s="110">
        <f t="shared" si="30"/>
        <v>300534.97000000003</v>
      </c>
      <c r="BA22" s="110">
        <f t="shared" si="31"/>
        <v>1882298</v>
      </c>
      <c r="BB22" s="110">
        <f t="shared" si="6"/>
        <v>18822980</v>
      </c>
      <c r="BC22" s="110" cm="1">
        <f t="array" ref="BC22">ROUND(AVERAGE(SMALL((AF22,AB22,X22,T22,P22,L22),{1;2;3})),0)</f>
        <v>1329667</v>
      </c>
      <c r="BD22" s="110">
        <f t="shared" si="32"/>
        <v>252636.73</v>
      </c>
      <c r="BE22" s="110">
        <f t="shared" si="33"/>
        <v>1582304</v>
      </c>
      <c r="BF22" s="110">
        <f t="shared" si="7"/>
        <v>15823040</v>
      </c>
      <c r="BG22" s="110" cm="1">
        <f t="array" ref="BG22">ROUND(AVERAGE(SMALL((AF22,AB22,X22,T22,P22,L22),{1;2;3;4})),0)</f>
        <v>1430584</v>
      </c>
      <c r="BH22" s="110">
        <f t="shared" si="34"/>
        <v>271810.96000000002</v>
      </c>
      <c r="BI22" s="110">
        <f t="shared" si="35"/>
        <v>1702395</v>
      </c>
      <c r="BJ22" s="110">
        <f t="shared" si="8"/>
        <v>17023950</v>
      </c>
      <c r="BK22" s="110"/>
      <c r="BL22" s="110"/>
      <c r="BM22" s="119"/>
      <c r="BN22" s="119">
        <f t="shared" si="9"/>
        <v>1581763</v>
      </c>
      <c r="BO22" s="119">
        <f t="shared" si="36"/>
        <v>300534.97000000003</v>
      </c>
      <c r="BP22" s="119">
        <f t="shared" si="37"/>
        <v>1882298</v>
      </c>
      <c r="BQ22" s="119">
        <f t="shared" si="10"/>
        <v>18822980</v>
      </c>
    </row>
    <row r="23" spans="1:69" s="66" customFormat="1" ht="24" customHeight="1" x14ac:dyDescent="0.35">
      <c r="A23" s="68"/>
      <c r="B23" s="221" t="s">
        <v>78</v>
      </c>
      <c r="C23" s="222"/>
      <c r="D23" s="222"/>
      <c r="E23" s="222"/>
      <c r="F23" s="222"/>
      <c r="G23" s="222"/>
      <c r="H23" s="22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153"/>
      <c r="AG23" s="153"/>
      <c r="AH23" s="153"/>
      <c r="AI23" s="153"/>
      <c r="AJ23" s="153"/>
      <c r="AK23" s="153"/>
      <c r="AL23" s="153"/>
      <c r="AM23" s="153"/>
      <c r="AN23" s="105"/>
      <c r="AO23" s="105"/>
      <c r="AP23" s="105"/>
      <c r="AQ23" s="105"/>
      <c r="AR23" s="102"/>
      <c r="AS23" s="102"/>
      <c r="AT23" s="105"/>
      <c r="AU23" s="67"/>
      <c r="AV23" s="67"/>
      <c r="AW23" s="67"/>
      <c r="AX23" s="67"/>
      <c r="AY23" s="67"/>
      <c r="AZ23" s="67"/>
      <c r="BA23" s="67"/>
      <c r="BB23" s="67"/>
      <c r="BC23" s="67"/>
      <c r="BD23" s="67"/>
      <c r="BE23" s="67"/>
      <c r="BF23" s="67"/>
      <c r="BG23" s="67"/>
      <c r="BH23" s="67"/>
      <c r="BI23" s="67"/>
      <c r="BJ23" s="67"/>
      <c r="BK23" s="67"/>
      <c r="BL23" s="67"/>
      <c r="BM23" s="120"/>
      <c r="BN23" s="119"/>
      <c r="BO23" s="120"/>
      <c r="BP23" s="120"/>
      <c r="BQ23" s="120"/>
    </row>
    <row r="24" spans="1:69" s="66" customFormat="1" ht="73.5" x14ac:dyDescent="0.35">
      <c r="A24" s="68"/>
      <c r="B24" s="140">
        <v>5</v>
      </c>
      <c r="C24" s="229" t="s">
        <v>50</v>
      </c>
      <c r="D24" s="229"/>
      <c r="E24" s="102" t="s">
        <v>8</v>
      </c>
      <c r="F24" s="102" t="s">
        <v>6</v>
      </c>
      <c r="G24" s="102">
        <v>1</v>
      </c>
      <c r="H24" s="102">
        <v>2</v>
      </c>
      <c r="I24" s="102" t="s">
        <v>141</v>
      </c>
      <c r="J24" s="102" t="s">
        <v>144</v>
      </c>
      <c r="K24" s="141" t="s">
        <v>151</v>
      </c>
      <c r="L24" s="102">
        <v>26397232</v>
      </c>
      <c r="M24" s="142">
        <f t="shared" ref="M24:M29" si="39">ROUND(L24*19%,0)</f>
        <v>5015474</v>
      </c>
      <c r="N24" s="102">
        <f t="shared" ref="N24:N29" si="40">ROUND(+M24+L24,0)</f>
        <v>31412706</v>
      </c>
      <c r="O24" s="102">
        <f t="shared" ref="O24:O29" si="41">+N24*H24*G24</f>
        <v>62825412</v>
      </c>
      <c r="P24" s="102">
        <v>24669615</v>
      </c>
      <c r="Q24" s="142">
        <f t="shared" ref="Q24:Q29" si="42">ROUND(P24*19%,0)</f>
        <v>4687227</v>
      </c>
      <c r="R24" s="102">
        <f>+Q24+P24</f>
        <v>29356842</v>
      </c>
      <c r="S24" s="102">
        <f t="shared" ref="S24:S28" si="43">+R24*$G24*$H24</f>
        <v>58713684</v>
      </c>
      <c r="T24" s="102">
        <v>28170390</v>
      </c>
      <c r="U24" s="142">
        <f t="shared" ref="U24:U29" si="44">ROUND(T24*19%,0)</f>
        <v>5352374</v>
      </c>
      <c r="V24" s="102">
        <f>+U24+T24</f>
        <v>33522764</v>
      </c>
      <c r="W24" s="102">
        <f t="shared" ref="W24:W28" si="45">+V24*$G24*$H24</f>
        <v>67045528</v>
      </c>
      <c r="X24" s="102">
        <v>25539556</v>
      </c>
      <c r="Y24" s="142">
        <f t="shared" ref="Y24:Y29" si="46">ROUND(X24*19%,0)</f>
        <v>4852516</v>
      </c>
      <c r="Z24" s="102">
        <f>+Y24+X24</f>
        <v>30392072</v>
      </c>
      <c r="AA24" s="102">
        <f t="shared" ref="AA24:AA28" si="47">+Z24*$G24*$H24</f>
        <v>60784144</v>
      </c>
      <c r="AB24" s="163"/>
      <c r="AC24" s="142">
        <f t="shared" ref="AC24:AC29" si="48">ROUND(AB24*19%,0)</f>
        <v>0</v>
      </c>
      <c r="AD24" s="102">
        <f>+AC24+AB24</f>
        <v>0</v>
      </c>
      <c r="AE24" s="102">
        <f t="shared" ref="AE24:AE27" si="49">+AD24*$G24*$H24</f>
        <v>0</v>
      </c>
      <c r="AF24" s="102">
        <v>22052477</v>
      </c>
      <c r="AG24" s="142">
        <f t="shared" ref="AG24:AG29" si="50">ROUND(AF24*19%,0)</f>
        <v>4189971</v>
      </c>
      <c r="AH24" s="102">
        <f>+AG24+AF24</f>
        <v>26242448</v>
      </c>
      <c r="AI24" s="102">
        <f t="shared" ref="AI24:AI29" si="51">+AH24*$G24*$H24</f>
        <v>52484896</v>
      </c>
      <c r="AJ24" s="102"/>
      <c r="AK24" s="102"/>
      <c r="AL24" s="102"/>
      <c r="AM24" s="102"/>
      <c r="AN24" s="105"/>
      <c r="AO24" s="102">
        <f t="shared" ref="AO24:AO29" si="52">COUNT(L24,P24,T24,X24,AB24,AF24)</f>
        <v>5</v>
      </c>
      <c r="AP24" s="102">
        <f t="shared" ref="AP24:AP29" si="53">ROUND(_xlfn.STDEV.P(L24,P24,T24,X24,AB24,AF24),0)</f>
        <v>2021017</v>
      </c>
      <c r="AQ24" s="162">
        <f t="shared" ref="AQ24:AQ29" si="54">AP24/AU24</f>
        <v>7.9674707581302018E-2</v>
      </c>
      <c r="AR24" s="159"/>
      <c r="AS24" s="159" t="s">
        <v>168</v>
      </c>
      <c r="AT24" s="105"/>
      <c r="AU24" s="110">
        <f t="shared" ref="AU24:AU29" si="55">ROUND(AVERAGE(L24,P24,T24,X24,AB24,AF24),0)</f>
        <v>25365854</v>
      </c>
      <c r="AV24" s="110">
        <f t="shared" ref="AV24:AV29" si="56">+AU24*$AW$3</f>
        <v>4819512.26</v>
      </c>
      <c r="AW24" s="110">
        <f t="shared" ref="AW24:AW29" si="57">ROUND(AU24*(1+$AW$3),0)</f>
        <v>30185366</v>
      </c>
      <c r="AX24" s="110">
        <f t="shared" ref="AX24:AX29" si="58">AW24*H24*G24</f>
        <v>60370732</v>
      </c>
      <c r="AY24" s="110">
        <f t="shared" ref="AY24:AY29" si="59">ROUND(GEOMEAN(L24,P24,T24,X24,AB24,AF24),0)</f>
        <v>25283481</v>
      </c>
      <c r="AZ24" s="110">
        <f t="shared" ref="AZ24:AZ29" si="60">+AY24*$AW$3</f>
        <v>4803861.3899999997</v>
      </c>
      <c r="BA24" s="110">
        <f t="shared" ref="BA24:BA29" si="61">ROUND(AY24*(1+$AW$3),0)</f>
        <v>30087342</v>
      </c>
      <c r="BB24" s="110">
        <f t="shared" ref="BB24:BB29" si="62">BA24*H24*G24</f>
        <v>60174684</v>
      </c>
      <c r="BC24" s="110" cm="1">
        <f t="array" ref="BC24">ROUND(AVERAGE(SMALL((AF24,AB24,X24,T24,P24,L24),{1;2;3})),0)</f>
        <v>24087216</v>
      </c>
      <c r="BD24" s="110">
        <f t="shared" ref="BD24:BD29" si="63">BC24*$AW$3</f>
        <v>4576571.04</v>
      </c>
      <c r="BE24" s="110">
        <f t="shared" ref="BE24:BE29" si="64">ROUND(BC24*(1+$AW$3),0)</f>
        <v>28663787</v>
      </c>
      <c r="BF24" s="110">
        <f t="shared" ref="BF24:BF29" si="65">BE24*H24*G24</f>
        <v>57327574</v>
      </c>
      <c r="BG24" s="110" cm="1">
        <f t="array" ref="BG24">ROUND(AVERAGE(SMALL((AF24,AB24,X24,T24,P24,L24),{1;2;3;4})),0)</f>
        <v>24664720</v>
      </c>
      <c r="BH24" s="110">
        <f t="shared" si="34"/>
        <v>4686296.8</v>
      </c>
      <c r="BI24" s="110">
        <f t="shared" ref="BI24:BI29" si="66">ROUND(BG24*(1+$AW$3),0)</f>
        <v>29351017</v>
      </c>
      <c r="BJ24" s="110">
        <f t="shared" ref="BJ24:BJ29" si="67">BI24*H24*G24</f>
        <v>58702034</v>
      </c>
      <c r="BK24" s="110"/>
      <c r="BL24" s="110"/>
      <c r="BM24" s="119"/>
      <c r="BN24" s="119">
        <f t="shared" ref="BN24:BN29" si="68">+AY24</f>
        <v>25283481</v>
      </c>
      <c r="BO24" s="119">
        <f t="shared" ref="BO24:BO29" si="69">+BN24*$AW$3</f>
        <v>4803861.3899999997</v>
      </c>
      <c r="BP24" s="119">
        <f t="shared" ref="BP24:BP29" si="70">ROUND(BN24*(1+$AW$3),0)</f>
        <v>30087342</v>
      </c>
      <c r="BQ24" s="119">
        <f t="shared" ref="BQ24:BQ29" si="71">BP24*H24*G24</f>
        <v>60174684</v>
      </c>
    </row>
    <row r="25" spans="1:69" s="66" customFormat="1" ht="31.5" x14ac:dyDescent="0.35">
      <c r="A25" s="68"/>
      <c r="B25" s="231">
        <v>6</v>
      </c>
      <c r="C25" s="229" t="s">
        <v>54</v>
      </c>
      <c r="D25" s="102" t="s">
        <v>55</v>
      </c>
      <c r="E25" s="102" t="s">
        <v>8</v>
      </c>
      <c r="F25" s="102" t="s">
        <v>6</v>
      </c>
      <c r="G25" s="102">
        <v>2</v>
      </c>
      <c r="H25" s="102">
        <v>12</v>
      </c>
      <c r="I25" s="102" t="s">
        <v>142</v>
      </c>
      <c r="J25" s="102" t="s">
        <v>145</v>
      </c>
      <c r="K25" s="141" t="s">
        <v>147</v>
      </c>
      <c r="L25" s="102">
        <v>6743759.5</v>
      </c>
      <c r="M25" s="142">
        <f t="shared" si="39"/>
        <v>1281314</v>
      </c>
      <c r="N25" s="102">
        <f t="shared" si="40"/>
        <v>8025074</v>
      </c>
      <c r="O25" s="102">
        <f t="shared" si="41"/>
        <v>192601776</v>
      </c>
      <c r="P25" s="102">
        <v>5208659</v>
      </c>
      <c r="Q25" s="142">
        <f t="shared" si="42"/>
        <v>989645</v>
      </c>
      <c r="R25" s="102">
        <f t="shared" ref="R25:R29" si="72">+Q25+P25</f>
        <v>6198304</v>
      </c>
      <c r="S25" s="102">
        <f t="shared" si="43"/>
        <v>148759296</v>
      </c>
      <c r="T25" s="102">
        <v>5895691</v>
      </c>
      <c r="U25" s="142">
        <f t="shared" si="44"/>
        <v>1120181</v>
      </c>
      <c r="V25" s="102">
        <f t="shared" ref="V25:V29" si="73">+U25+T25</f>
        <v>7015872</v>
      </c>
      <c r="W25" s="102">
        <f t="shared" si="45"/>
        <v>168380928</v>
      </c>
      <c r="X25" s="102">
        <v>5779228</v>
      </c>
      <c r="Y25" s="142">
        <f t="shared" si="46"/>
        <v>1098053</v>
      </c>
      <c r="Z25" s="102">
        <f t="shared" ref="Z25:Z29" si="74">+Y25+X25</f>
        <v>6877281</v>
      </c>
      <c r="AA25" s="102">
        <f t="shared" si="47"/>
        <v>165054744</v>
      </c>
      <c r="AB25" s="102">
        <v>14800000</v>
      </c>
      <c r="AC25" s="142">
        <f t="shared" si="48"/>
        <v>2812000</v>
      </c>
      <c r="AD25" s="102">
        <f t="shared" ref="AD25:AD29" si="75">+AC25+AB25</f>
        <v>17612000</v>
      </c>
      <c r="AE25" s="102">
        <f t="shared" si="49"/>
        <v>422688000</v>
      </c>
      <c r="AF25" s="102">
        <f>141233445/H25</f>
        <v>11769453.75</v>
      </c>
      <c r="AG25" s="142">
        <f t="shared" si="50"/>
        <v>2236196</v>
      </c>
      <c r="AH25" s="102">
        <f t="shared" ref="AH25:AH29" si="76">+AG25+AF25</f>
        <v>14005649.75</v>
      </c>
      <c r="AI25" s="102">
        <f t="shared" si="51"/>
        <v>336135594</v>
      </c>
      <c r="AJ25" s="102"/>
      <c r="AK25" s="102"/>
      <c r="AL25" s="102"/>
      <c r="AM25" s="102"/>
      <c r="AN25" s="105"/>
      <c r="AO25" s="102">
        <f t="shared" si="52"/>
        <v>6</v>
      </c>
      <c r="AP25" s="102">
        <f t="shared" si="53"/>
        <v>3614188</v>
      </c>
      <c r="AQ25" s="162">
        <f t="shared" si="54"/>
        <v>0.43200226819275622</v>
      </c>
      <c r="AR25" s="159"/>
      <c r="AS25" s="159"/>
      <c r="AT25" s="105"/>
      <c r="AU25" s="110">
        <f t="shared" si="55"/>
        <v>8366132</v>
      </c>
      <c r="AV25" s="110">
        <f t="shared" si="56"/>
        <v>1589565.08</v>
      </c>
      <c r="AW25" s="110">
        <f t="shared" si="57"/>
        <v>9955697</v>
      </c>
      <c r="AX25" s="110">
        <f t="shared" si="58"/>
        <v>238936728</v>
      </c>
      <c r="AY25" s="110">
        <f t="shared" si="59"/>
        <v>7700314</v>
      </c>
      <c r="AZ25" s="110">
        <f t="shared" si="60"/>
        <v>1463059.66</v>
      </c>
      <c r="BA25" s="110">
        <f t="shared" si="61"/>
        <v>9163374</v>
      </c>
      <c r="BB25" s="110">
        <f t="shared" si="62"/>
        <v>219920976</v>
      </c>
      <c r="BC25" s="110" cm="1">
        <f t="array" ref="BC25">ROUND(AVERAGE(SMALL((AF25,AB25,X25,T25,P25,L25),{1;2;3})),0)</f>
        <v>5627859</v>
      </c>
      <c r="BD25" s="110">
        <f t="shared" si="63"/>
        <v>1069293.21</v>
      </c>
      <c r="BE25" s="110">
        <f t="shared" si="64"/>
        <v>6697152</v>
      </c>
      <c r="BF25" s="110">
        <f t="shared" si="65"/>
        <v>160731648</v>
      </c>
      <c r="BG25" s="110" cm="1">
        <f t="array" ref="BG25">ROUND(AVERAGE(SMALL((AF25,AB25,X25,T25,P25,L25),{1;2;3;4})),0)</f>
        <v>5906834</v>
      </c>
      <c r="BH25" s="110">
        <f t="shared" si="34"/>
        <v>1122298.46</v>
      </c>
      <c r="BI25" s="110">
        <f t="shared" si="66"/>
        <v>7029132</v>
      </c>
      <c r="BJ25" s="110">
        <f t="shared" si="67"/>
        <v>168699168</v>
      </c>
      <c r="BK25" s="110"/>
      <c r="BL25" s="110"/>
      <c r="BM25" s="119"/>
      <c r="BN25" s="119">
        <f t="shared" si="68"/>
        <v>7700314</v>
      </c>
      <c r="BO25" s="119">
        <f t="shared" si="69"/>
        <v>1463059.66</v>
      </c>
      <c r="BP25" s="119">
        <f t="shared" si="70"/>
        <v>9163374</v>
      </c>
      <c r="BQ25" s="119">
        <f t="shared" si="71"/>
        <v>219920976</v>
      </c>
    </row>
    <row r="26" spans="1:69" s="66" customFormat="1" ht="31.5" x14ac:dyDescent="0.35">
      <c r="A26" s="68"/>
      <c r="B26" s="231"/>
      <c r="C26" s="229"/>
      <c r="D26" s="102" t="s">
        <v>58</v>
      </c>
      <c r="E26" s="102" t="s">
        <v>8</v>
      </c>
      <c r="F26" s="102" t="s">
        <v>6</v>
      </c>
      <c r="G26" s="102">
        <v>2</v>
      </c>
      <c r="H26" s="102">
        <v>12</v>
      </c>
      <c r="I26" s="102" t="s">
        <v>142</v>
      </c>
      <c r="J26" s="102" t="s">
        <v>145</v>
      </c>
      <c r="K26" s="141" t="s">
        <v>147</v>
      </c>
      <c r="L26" s="102">
        <v>9816560.5999999996</v>
      </c>
      <c r="M26" s="142">
        <f t="shared" si="39"/>
        <v>1865147</v>
      </c>
      <c r="N26" s="102">
        <f t="shared" si="40"/>
        <v>11681708</v>
      </c>
      <c r="O26" s="102">
        <f t="shared" si="41"/>
        <v>280360992</v>
      </c>
      <c r="P26" s="102">
        <v>9319077</v>
      </c>
      <c r="Q26" s="142">
        <f t="shared" si="42"/>
        <v>1770625</v>
      </c>
      <c r="R26" s="102">
        <f t="shared" si="72"/>
        <v>11089702</v>
      </c>
      <c r="S26" s="102">
        <f t="shared" si="43"/>
        <v>266152848</v>
      </c>
      <c r="T26" s="102">
        <v>8837838</v>
      </c>
      <c r="U26" s="142">
        <f t="shared" si="44"/>
        <v>1679189</v>
      </c>
      <c r="V26" s="102">
        <f t="shared" si="73"/>
        <v>10517027</v>
      </c>
      <c r="W26" s="102">
        <f t="shared" si="45"/>
        <v>252408648</v>
      </c>
      <c r="X26" s="102">
        <v>9271860</v>
      </c>
      <c r="Y26" s="142">
        <f t="shared" si="46"/>
        <v>1761653</v>
      </c>
      <c r="Z26" s="102">
        <f t="shared" si="74"/>
        <v>11033513</v>
      </c>
      <c r="AA26" s="102">
        <f t="shared" si="47"/>
        <v>264804312</v>
      </c>
      <c r="AB26" s="102">
        <v>14300000</v>
      </c>
      <c r="AC26" s="142">
        <f t="shared" si="48"/>
        <v>2717000</v>
      </c>
      <c r="AD26" s="102">
        <f t="shared" si="75"/>
        <v>17017000</v>
      </c>
      <c r="AE26" s="102">
        <f t="shared" si="49"/>
        <v>408408000</v>
      </c>
      <c r="AF26" s="102">
        <f>157502966/H26</f>
        <v>13125247.166666666</v>
      </c>
      <c r="AG26" s="142">
        <f t="shared" si="50"/>
        <v>2493797</v>
      </c>
      <c r="AH26" s="102">
        <f t="shared" si="76"/>
        <v>15619044.166666666</v>
      </c>
      <c r="AI26" s="102">
        <f t="shared" si="51"/>
        <v>374857060</v>
      </c>
      <c r="AJ26" s="102"/>
      <c r="AK26" s="102"/>
      <c r="AL26" s="102"/>
      <c r="AM26" s="102"/>
      <c r="AN26" s="105"/>
      <c r="AO26" s="102">
        <f t="shared" si="52"/>
        <v>6</v>
      </c>
      <c r="AP26" s="102">
        <f t="shared" si="53"/>
        <v>2121303</v>
      </c>
      <c r="AQ26" s="162">
        <f t="shared" si="54"/>
        <v>0.19681001778552165</v>
      </c>
      <c r="AR26" s="159"/>
      <c r="AS26" s="159"/>
      <c r="AT26" s="105"/>
      <c r="AU26" s="110">
        <f t="shared" si="55"/>
        <v>10778430</v>
      </c>
      <c r="AV26" s="110">
        <f t="shared" si="56"/>
        <v>2047901.7</v>
      </c>
      <c r="AW26" s="110">
        <f t="shared" si="57"/>
        <v>12826332</v>
      </c>
      <c r="AX26" s="110">
        <f t="shared" si="58"/>
        <v>307831968</v>
      </c>
      <c r="AY26" s="110">
        <f t="shared" si="59"/>
        <v>10585583</v>
      </c>
      <c r="AZ26" s="110">
        <f t="shared" si="60"/>
        <v>2011260.77</v>
      </c>
      <c r="BA26" s="110">
        <f t="shared" si="61"/>
        <v>12596844</v>
      </c>
      <c r="BB26" s="110">
        <f t="shared" si="62"/>
        <v>302324256</v>
      </c>
      <c r="BC26" s="110" cm="1">
        <f t="array" ref="BC26">ROUND(AVERAGE(SMALL((AF26,AB26,X26,T26,P26,L26),{1;2;3})),0)</f>
        <v>9142925</v>
      </c>
      <c r="BD26" s="110">
        <f t="shared" si="63"/>
        <v>1737155.75</v>
      </c>
      <c r="BE26" s="110">
        <f t="shared" si="64"/>
        <v>10880081</v>
      </c>
      <c r="BF26" s="110">
        <f t="shared" si="65"/>
        <v>261121944</v>
      </c>
      <c r="BG26" s="110" cm="1">
        <f t="array" ref="BG26">ROUND(AVERAGE(SMALL((AF26,AB26,X26,T26,P26,L26),{1;2;3;4})),0)</f>
        <v>9311334</v>
      </c>
      <c r="BH26" s="110">
        <f t="shared" si="34"/>
        <v>1769153.46</v>
      </c>
      <c r="BI26" s="110">
        <f t="shared" si="66"/>
        <v>11080487</v>
      </c>
      <c r="BJ26" s="110">
        <f t="shared" si="67"/>
        <v>265931688</v>
      </c>
      <c r="BK26" s="110"/>
      <c r="BL26" s="110"/>
      <c r="BM26" s="119"/>
      <c r="BN26" s="119">
        <f t="shared" si="68"/>
        <v>10585583</v>
      </c>
      <c r="BO26" s="119">
        <f t="shared" si="69"/>
        <v>2011260.77</v>
      </c>
      <c r="BP26" s="119">
        <f t="shared" si="70"/>
        <v>12596844</v>
      </c>
      <c r="BQ26" s="119">
        <f t="shared" si="71"/>
        <v>302324256</v>
      </c>
    </row>
    <row r="27" spans="1:69" s="66" customFormat="1" ht="31.5" x14ac:dyDescent="0.35">
      <c r="A27" s="68"/>
      <c r="B27" s="231"/>
      <c r="C27" s="229"/>
      <c r="D27" s="102" t="s">
        <v>79</v>
      </c>
      <c r="E27" s="102" t="s">
        <v>8</v>
      </c>
      <c r="F27" s="102" t="s">
        <v>6</v>
      </c>
      <c r="G27" s="102">
        <v>1</v>
      </c>
      <c r="H27" s="102">
        <v>12</v>
      </c>
      <c r="I27" s="102" t="s">
        <v>142</v>
      </c>
      <c r="J27" s="102" t="s">
        <v>145</v>
      </c>
      <c r="K27" s="141" t="s">
        <v>152</v>
      </c>
      <c r="L27" s="102">
        <v>3833896.6</v>
      </c>
      <c r="M27" s="142">
        <f t="shared" si="39"/>
        <v>728440</v>
      </c>
      <c r="N27" s="102">
        <f t="shared" si="40"/>
        <v>4562337</v>
      </c>
      <c r="O27" s="102">
        <f t="shared" si="41"/>
        <v>54748044</v>
      </c>
      <c r="P27" s="102">
        <v>2765418</v>
      </c>
      <c r="Q27" s="142">
        <f t="shared" si="42"/>
        <v>525429</v>
      </c>
      <c r="R27" s="102">
        <f t="shared" si="72"/>
        <v>3290847</v>
      </c>
      <c r="S27" s="102">
        <f t="shared" si="43"/>
        <v>39490164</v>
      </c>
      <c r="T27" s="102">
        <v>2809691</v>
      </c>
      <c r="U27" s="142">
        <f t="shared" si="44"/>
        <v>533841</v>
      </c>
      <c r="V27" s="102">
        <f t="shared" si="73"/>
        <v>3343532</v>
      </c>
      <c r="W27" s="102">
        <f t="shared" si="45"/>
        <v>40122384</v>
      </c>
      <c r="X27" s="102">
        <v>2850900</v>
      </c>
      <c r="Y27" s="142">
        <f t="shared" si="46"/>
        <v>541671</v>
      </c>
      <c r="Z27" s="102">
        <f t="shared" si="74"/>
        <v>3392571</v>
      </c>
      <c r="AA27" s="102">
        <f t="shared" si="47"/>
        <v>40710852</v>
      </c>
      <c r="AB27" s="102">
        <v>6300000</v>
      </c>
      <c r="AC27" s="142">
        <f t="shared" si="48"/>
        <v>1197000</v>
      </c>
      <c r="AD27" s="102">
        <f t="shared" si="75"/>
        <v>7497000</v>
      </c>
      <c r="AE27" s="102">
        <f t="shared" si="49"/>
        <v>89964000</v>
      </c>
      <c r="AF27" s="102">
        <f>67545202/H27</f>
        <v>5628766.833333333</v>
      </c>
      <c r="AG27" s="142">
        <f t="shared" si="50"/>
        <v>1069466</v>
      </c>
      <c r="AH27" s="102">
        <f t="shared" si="76"/>
        <v>6698232.833333333</v>
      </c>
      <c r="AI27" s="102">
        <f t="shared" si="51"/>
        <v>80378794</v>
      </c>
      <c r="AJ27" s="102"/>
      <c r="AK27" s="102"/>
      <c r="AL27" s="102"/>
      <c r="AM27" s="102"/>
      <c r="AN27" s="105"/>
      <c r="AO27" s="102">
        <f t="shared" si="52"/>
        <v>6</v>
      </c>
      <c r="AP27" s="102">
        <f t="shared" si="53"/>
        <v>1427468</v>
      </c>
      <c r="AQ27" s="162">
        <f t="shared" si="54"/>
        <v>0.35408346138915453</v>
      </c>
      <c r="AR27" s="159"/>
      <c r="AS27" s="159"/>
      <c r="AT27" s="105"/>
      <c r="AU27" s="110">
        <f t="shared" si="55"/>
        <v>4031445</v>
      </c>
      <c r="AV27" s="110">
        <f t="shared" si="56"/>
        <v>765974.55</v>
      </c>
      <c r="AW27" s="110">
        <f t="shared" si="57"/>
        <v>4797420</v>
      </c>
      <c r="AX27" s="110">
        <f t="shared" si="58"/>
        <v>57569040</v>
      </c>
      <c r="AY27" s="110">
        <f t="shared" si="59"/>
        <v>3800137</v>
      </c>
      <c r="AZ27" s="110">
        <f t="shared" si="60"/>
        <v>722026.03</v>
      </c>
      <c r="BA27" s="110">
        <f t="shared" si="61"/>
        <v>4522163</v>
      </c>
      <c r="BB27" s="110">
        <f t="shared" si="62"/>
        <v>54265956</v>
      </c>
      <c r="BC27" s="110" cm="1">
        <f t="array" ref="BC27">ROUND(AVERAGE(SMALL((AF27,AB27,X27,T27,P27,L27),{1;2;3})),0)</f>
        <v>2808670</v>
      </c>
      <c r="BD27" s="110">
        <f t="shared" si="63"/>
        <v>533647.30000000005</v>
      </c>
      <c r="BE27" s="110">
        <f t="shared" si="64"/>
        <v>3342317</v>
      </c>
      <c r="BF27" s="110">
        <f t="shared" si="65"/>
        <v>40107804</v>
      </c>
      <c r="BG27" s="110" cm="1">
        <f t="array" ref="BG27">ROUND(AVERAGE(SMALL((AF27,AB27,X27,T27,P27,L27),{1;2;3;4})),0)</f>
        <v>3064976</v>
      </c>
      <c r="BH27" s="110">
        <f t="shared" si="34"/>
        <v>582345.44000000006</v>
      </c>
      <c r="BI27" s="110">
        <f t="shared" si="66"/>
        <v>3647321</v>
      </c>
      <c r="BJ27" s="110">
        <f t="shared" si="67"/>
        <v>43767852</v>
      </c>
      <c r="BK27" s="110"/>
      <c r="BL27" s="110"/>
      <c r="BM27" s="119"/>
      <c r="BN27" s="119">
        <f t="shared" si="68"/>
        <v>3800137</v>
      </c>
      <c r="BO27" s="119">
        <f t="shared" si="69"/>
        <v>722026.03</v>
      </c>
      <c r="BP27" s="119">
        <f t="shared" si="70"/>
        <v>4522163</v>
      </c>
      <c r="BQ27" s="119">
        <f t="shared" si="71"/>
        <v>54265956</v>
      </c>
    </row>
    <row r="28" spans="1:69" s="66" customFormat="1" ht="55.75" customHeight="1" x14ac:dyDescent="0.35">
      <c r="A28" s="68"/>
      <c r="B28" s="231"/>
      <c r="C28" s="229"/>
      <c r="D28" s="102" t="s">
        <v>62</v>
      </c>
      <c r="E28" s="102" t="s">
        <v>8</v>
      </c>
      <c r="F28" s="102" t="s">
        <v>6</v>
      </c>
      <c r="G28" s="102">
        <v>1700</v>
      </c>
      <c r="H28" s="102">
        <v>12</v>
      </c>
      <c r="I28" s="102" t="s">
        <v>142</v>
      </c>
      <c r="J28" s="102" t="s">
        <v>145</v>
      </c>
      <c r="K28" s="141" t="s">
        <v>147</v>
      </c>
      <c r="L28" s="102">
        <v>4097.3999999999996</v>
      </c>
      <c r="M28" s="142">
        <f t="shared" si="39"/>
        <v>779</v>
      </c>
      <c r="N28" s="102">
        <f t="shared" si="40"/>
        <v>4876</v>
      </c>
      <c r="O28" s="102">
        <f t="shared" si="41"/>
        <v>99470400</v>
      </c>
      <c r="P28" s="155">
        <v>4143</v>
      </c>
      <c r="Q28" s="142">
        <f t="shared" si="42"/>
        <v>787</v>
      </c>
      <c r="R28" s="102">
        <f t="shared" si="72"/>
        <v>4930</v>
      </c>
      <c r="S28" s="102">
        <f t="shared" si="43"/>
        <v>100572000</v>
      </c>
      <c r="T28" s="102">
        <v>4062</v>
      </c>
      <c r="U28" s="142">
        <f t="shared" si="44"/>
        <v>772</v>
      </c>
      <c r="V28" s="102">
        <f t="shared" si="73"/>
        <v>4834</v>
      </c>
      <c r="W28" s="102">
        <f t="shared" si="45"/>
        <v>98613600</v>
      </c>
      <c r="X28" s="102">
        <v>4122</v>
      </c>
      <c r="Y28" s="142">
        <f t="shared" si="46"/>
        <v>783</v>
      </c>
      <c r="Z28" s="102">
        <f t="shared" si="74"/>
        <v>4905</v>
      </c>
      <c r="AA28" s="102">
        <f t="shared" si="47"/>
        <v>100062000</v>
      </c>
      <c r="AB28" s="160"/>
      <c r="AC28" s="142">
        <f t="shared" si="48"/>
        <v>0</v>
      </c>
      <c r="AD28" s="102">
        <f t="shared" si="75"/>
        <v>0</v>
      </c>
      <c r="AE28" s="102">
        <f>+AD28*$G28*$H28</f>
        <v>0</v>
      </c>
      <c r="AF28" s="163"/>
      <c r="AG28" s="142">
        <f t="shared" si="50"/>
        <v>0</v>
      </c>
      <c r="AH28" s="102">
        <f t="shared" si="76"/>
        <v>0</v>
      </c>
      <c r="AI28" s="102">
        <f t="shared" si="51"/>
        <v>0</v>
      </c>
      <c r="AJ28" s="102"/>
      <c r="AK28" s="102"/>
      <c r="AL28" s="102"/>
      <c r="AM28" s="102"/>
      <c r="AN28" s="105"/>
      <c r="AO28" s="102">
        <f t="shared" si="52"/>
        <v>4</v>
      </c>
      <c r="AP28" s="102">
        <f t="shared" si="53"/>
        <v>30</v>
      </c>
      <c r="AQ28" s="162">
        <f t="shared" si="54"/>
        <v>7.306380905991232E-3</v>
      </c>
      <c r="AR28" s="159" t="s">
        <v>167</v>
      </c>
      <c r="AS28" s="159"/>
      <c r="AT28" s="105"/>
      <c r="AU28" s="110">
        <f t="shared" si="55"/>
        <v>4106</v>
      </c>
      <c r="AV28" s="110">
        <f t="shared" si="56"/>
        <v>780.14</v>
      </c>
      <c r="AW28" s="110">
        <f t="shared" si="57"/>
        <v>4886</v>
      </c>
      <c r="AX28" s="110">
        <f t="shared" si="58"/>
        <v>99674400</v>
      </c>
      <c r="AY28" s="110">
        <f t="shared" si="59"/>
        <v>4106</v>
      </c>
      <c r="AZ28" s="110">
        <f t="shared" si="60"/>
        <v>780.14</v>
      </c>
      <c r="BA28" s="110">
        <f t="shared" si="61"/>
        <v>4886</v>
      </c>
      <c r="BB28" s="110">
        <f t="shared" si="62"/>
        <v>99674400</v>
      </c>
      <c r="BC28" s="110" cm="1">
        <f t="array" ref="BC28">ROUND(AVERAGE(SMALL((AF28,AB28,X28,T28,P28,L28),{1;2;3})),0)</f>
        <v>4094</v>
      </c>
      <c r="BD28" s="110">
        <f t="shared" si="63"/>
        <v>777.86</v>
      </c>
      <c r="BE28" s="110">
        <f t="shared" si="64"/>
        <v>4872</v>
      </c>
      <c r="BF28" s="110">
        <f t="shared" si="65"/>
        <v>99388800</v>
      </c>
      <c r="BG28" s="110" cm="1">
        <f t="array" ref="BG28">ROUND(AVERAGE(SMALL((AF28,AB28,X28,T28,P28,L28),{1;2;3;4})),0)</f>
        <v>4106</v>
      </c>
      <c r="BH28" s="110">
        <f t="shared" si="34"/>
        <v>780.14</v>
      </c>
      <c r="BI28" s="110">
        <f t="shared" si="66"/>
        <v>4886</v>
      </c>
      <c r="BJ28" s="110">
        <f t="shared" si="67"/>
        <v>99674400</v>
      </c>
      <c r="BK28" s="110"/>
      <c r="BL28" s="110"/>
      <c r="BM28" s="119"/>
      <c r="BN28" s="119">
        <f t="shared" si="68"/>
        <v>4106</v>
      </c>
      <c r="BO28" s="119">
        <f t="shared" si="69"/>
        <v>780.14</v>
      </c>
      <c r="BP28" s="119">
        <f t="shared" si="70"/>
        <v>4886</v>
      </c>
      <c r="BQ28" s="119">
        <f t="shared" si="71"/>
        <v>99674400</v>
      </c>
    </row>
    <row r="29" spans="1:69" s="66" customFormat="1" ht="42" x14ac:dyDescent="0.35">
      <c r="A29" s="68"/>
      <c r="B29" s="140">
        <v>7</v>
      </c>
      <c r="C29" s="143" t="s">
        <v>67</v>
      </c>
      <c r="D29" s="143" t="s">
        <v>80</v>
      </c>
      <c r="E29" s="102" t="s">
        <v>8</v>
      </c>
      <c r="F29" s="102" t="s">
        <v>6</v>
      </c>
      <c r="G29" s="102">
        <v>150</v>
      </c>
      <c r="H29" s="102">
        <v>12</v>
      </c>
      <c r="I29" s="102" t="s">
        <v>142</v>
      </c>
      <c r="J29" s="102" t="s">
        <v>145</v>
      </c>
      <c r="K29" s="141" t="s">
        <v>152</v>
      </c>
      <c r="L29" s="102">
        <v>25906.78</v>
      </c>
      <c r="M29" s="142">
        <f t="shared" si="39"/>
        <v>4922</v>
      </c>
      <c r="N29" s="102">
        <f t="shared" si="40"/>
        <v>30829</v>
      </c>
      <c r="O29" s="102">
        <f t="shared" si="41"/>
        <v>55492200</v>
      </c>
      <c r="P29" s="102">
        <v>26195</v>
      </c>
      <c r="Q29" s="142">
        <f t="shared" si="42"/>
        <v>4977</v>
      </c>
      <c r="R29" s="102">
        <f t="shared" si="72"/>
        <v>31172</v>
      </c>
      <c r="S29" s="102">
        <f>+R29*$G29*$H29</f>
        <v>56109600</v>
      </c>
      <c r="T29" s="102">
        <v>25686</v>
      </c>
      <c r="U29" s="142">
        <f t="shared" si="44"/>
        <v>4880</v>
      </c>
      <c r="V29" s="102">
        <f t="shared" si="73"/>
        <v>30566</v>
      </c>
      <c r="W29" s="102">
        <f>+V29*$G29*$H29</f>
        <v>55018800</v>
      </c>
      <c r="X29" s="102">
        <v>26062</v>
      </c>
      <c r="Y29" s="142">
        <f t="shared" si="46"/>
        <v>4952</v>
      </c>
      <c r="Z29" s="102">
        <f t="shared" si="74"/>
        <v>31014</v>
      </c>
      <c r="AA29" s="102">
        <f>+Z29*$G29*$H29</f>
        <v>55825200</v>
      </c>
      <c r="AB29" s="102">
        <v>33000</v>
      </c>
      <c r="AC29" s="142">
        <f t="shared" si="48"/>
        <v>6270</v>
      </c>
      <c r="AD29" s="102">
        <f t="shared" si="75"/>
        <v>39270</v>
      </c>
      <c r="AE29" s="102">
        <f t="shared" ref="AE29" si="77">+AD29*$G29*$H29</f>
        <v>70686000</v>
      </c>
      <c r="AF29" s="160"/>
      <c r="AG29" s="142">
        <f t="shared" si="50"/>
        <v>0</v>
      </c>
      <c r="AH29" s="102">
        <f t="shared" si="76"/>
        <v>0</v>
      </c>
      <c r="AI29" s="102">
        <f t="shared" si="51"/>
        <v>0</v>
      </c>
      <c r="AJ29" s="102"/>
      <c r="AK29" s="102"/>
      <c r="AL29" s="102"/>
      <c r="AM29" s="102"/>
      <c r="AN29" s="105"/>
      <c r="AO29" s="102">
        <f t="shared" si="52"/>
        <v>5</v>
      </c>
      <c r="AP29" s="102">
        <f t="shared" si="53"/>
        <v>2820</v>
      </c>
      <c r="AQ29" s="162">
        <f t="shared" si="54"/>
        <v>0.103032517354768</v>
      </c>
      <c r="AR29" s="159" t="s">
        <v>167</v>
      </c>
      <c r="AS29" s="159"/>
      <c r="AT29" s="105"/>
      <c r="AU29" s="110">
        <f t="shared" si="55"/>
        <v>27370</v>
      </c>
      <c r="AV29" s="110">
        <f t="shared" si="56"/>
        <v>5200.3</v>
      </c>
      <c r="AW29" s="110">
        <f t="shared" si="57"/>
        <v>32570</v>
      </c>
      <c r="AX29" s="110">
        <f t="shared" si="58"/>
        <v>58626000</v>
      </c>
      <c r="AY29" s="110">
        <f t="shared" si="59"/>
        <v>27238</v>
      </c>
      <c r="AZ29" s="110">
        <f t="shared" si="60"/>
        <v>5175.22</v>
      </c>
      <c r="BA29" s="110">
        <f t="shared" si="61"/>
        <v>32413</v>
      </c>
      <c r="BB29" s="110">
        <f t="shared" si="62"/>
        <v>58343400</v>
      </c>
      <c r="BC29" s="110" cm="1">
        <f t="array" ref="BC29">ROUND(AVERAGE(SMALL((AF29,AB29,X29,T29,P29,L29),{1;2;3})),0)</f>
        <v>25885</v>
      </c>
      <c r="BD29" s="110">
        <f t="shared" si="63"/>
        <v>4918.1499999999996</v>
      </c>
      <c r="BE29" s="110">
        <f t="shared" si="64"/>
        <v>30803</v>
      </c>
      <c r="BF29" s="110">
        <f t="shared" si="65"/>
        <v>55445400</v>
      </c>
      <c r="BG29" s="110" cm="1">
        <f t="array" ref="BG29">ROUND(AVERAGE(SMALL((AF29,AB29,X29,T29,P29,L29),{1;2;3;4})),0)</f>
        <v>25962</v>
      </c>
      <c r="BH29" s="110">
        <f t="shared" si="34"/>
        <v>4932.78</v>
      </c>
      <c r="BI29" s="110">
        <f t="shared" si="66"/>
        <v>30895</v>
      </c>
      <c r="BJ29" s="110">
        <f t="shared" si="67"/>
        <v>55611000</v>
      </c>
      <c r="BK29" s="110"/>
      <c r="BL29" s="110"/>
      <c r="BM29" s="119"/>
      <c r="BN29" s="119">
        <f t="shared" si="68"/>
        <v>27238</v>
      </c>
      <c r="BO29" s="119">
        <f t="shared" si="69"/>
        <v>5175.22</v>
      </c>
      <c r="BP29" s="119">
        <f t="shared" si="70"/>
        <v>32413</v>
      </c>
      <c r="BQ29" s="119">
        <f t="shared" si="71"/>
        <v>58343400</v>
      </c>
    </row>
    <row r="30" spans="1:69" s="66" customFormat="1" ht="14.5" customHeight="1" x14ac:dyDescent="0.35">
      <c r="A30" s="68"/>
      <c r="B30" s="221" t="s">
        <v>81</v>
      </c>
      <c r="C30" s="222"/>
      <c r="D30" s="222"/>
      <c r="E30" s="222"/>
      <c r="F30" s="222"/>
      <c r="G30" s="222"/>
      <c r="H30" s="223"/>
      <c r="I30" s="151"/>
      <c r="J30" s="151"/>
      <c r="K30" s="151"/>
      <c r="L30" s="151"/>
      <c r="M30" s="151"/>
      <c r="N30" s="151"/>
      <c r="O30" s="151"/>
      <c r="P30" s="151"/>
      <c r="Q30" s="151"/>
      <c r="R30" s="151"/>
      <c r="S30" s="151"/>
      <c r="T30" s="151"/>
      <c r="U30" s="151"/>
      <c r="V30" s="151"/>
      <c r="W30" s="151"/>
      <c r="X30" s="151"/>
      <c r="Y30" s="151"/>
      <c r="Z30" s="151"/>
      <c r="AA30" s="151"/>
      <c r="AB30" s="151"/>
      <c r="AC30" s="151"/>
      <c r="AD30" s="151"/>
      <c r="AE30" s="151"/>
      <c r="AF30" s="151"/>
      <c r="AG30" s="151"/>
      <c r="AH30" s="151"/>
      <c r="AI30" s="151"/>
      <c r="AJ30" s="151"/>
      <c r="AK30" s="151"/>
      <c r="AL30" s="151"/>
      <c r="AM30" s="152"/>
      <c r="AN30" s="105"/>
      <c r="AO30" s="105"/>
      <c r="AP30" s="105"/>
      <c r="AQ30" s="105"/>
      <c r="AR30" s="102"/>
      <c r="AS30" s="102"/>
      <c r="AT30" s="105"/>
      <c r="AU30" s="67"/>
      <c r="AV30" s="67"/>
      <c r="AW30" s="67"/>
      <c r="AX30" s="67"/>
      <c r="AY30" s="67"/>
      <c r="AZ30" s="67"/>
      <c r="BA30" s="67"/>
      <c r="BB30" s="67"/>
      <c r="BC30" s="67"/>
      <c r="BD30" s="67"/>
      <c r="BE30" s="67"/>
      <c r="BF30" s="67"/>
      <c r="BG30" s="67"/>
      <c r="BH30" s="67"/>
      <c r="BI30" s="67"/>
      <c r="BJ30" s="67"/>
      <c r="BK30" s="67"/>
      <c r="BL30" s="67"/>
      <c r="BM30" s="120"/>
      <c r="BN30" s="119"/>
      <c r="BO30" s="120"/>
      <c r="BP30" s="120"/>
      <c r="BQ30" s="120"/>
    </row>
    <row r="31" spans="1:69" s="66" customFormat="1" ht="42" x14ac:dyDescent="0.35">
      <c r="A31" s="68"/>
      <c r="B31" s="140">
        <v>8</v>
      </c>
      <c r="C31" s="229" t="s">
        <v>91</v>
      </c>
      <c r="D31" s="229"/>
      <c r="E31" s="102" t="s">
        <v>8</v>
      </c>
      <c r="F31" s="102" t="s">
        <v>6</v>
      </c>
      <c r="G31" s="102">
        <v>1</v>
      </c>
      <c r="H31" s="102">
        <v>12</v>
      </c>
      <c r="I31" s="102" t="s">
        <v>142</v>
      </c>
      <c r="J31" s="102" t="s">
        <v>145</v>
      </c>
      <c r="K31" s="141" t="s">
        <v>147</v>
      </c>
      <c r="L31" s="102">
        <v>11882956.1</v>
      </c>
      <c r="M31" s="142">
        <f t="shared" ref="M31" si="78">ROUND(L31*19%,0)</f>
        <v>2257762</v>
      </c>
      <c r="N31" s="102">
        <f t="shared" ref="N31" si="79">ROUND(+M31+L31,0)</f>
        <v>14140718</v>
      </c>
      <c r="O31" s="102">
        <f>+N31*H31*G31</f>
        <v>169688616</v>
      </c>
      <c r="P31" s="102">
        <v>13815133</v>
      </c>
      <c r="Q31" s="142">
        <f t="shared" ref="Q31" si="80">ROUND(P31*19%,0)</f>
        <v>2624875</v>
      </c>
      <c r="R31" s="102">
        <f>+Q31+P31</f>
        <v>16440008</v>
      </c>
      <c r="S31" s="102">
        <f t="shared" ref="S31" si="81">+R31*$G31*$H31</f>
        <v>197280096</v>
      </c>
      <c r="T31" s="102">
        <v>11781450</v>
      </c>
      <c r="U31" s="142">
        <f t="shared" ref="U31" si="82">ROUND(T31*19%,0)</f>
        <v>2238476</v>
      </c>
      <c r="V31" s="102">
        <f>+U31+T31</f>
        <v>14019926</v>
      </c>
      <c r="W31" s="102">
        <f t="shared" ref="W31" si="83">+V31*$G31*$H31</f>
        <v>168239112</v>
      </c>
      <c r="X31" s="102">
        <v>11954222</v>
      </c>
      <c r="Y31" s="142">
        <f t="shared" ref="Y31:Y32" si="84">ROUND(X31*19%,0)</f>
        <v>2271302</v>
      </c>
      <c r="Z31" s="102">
        <f>+Y31+X31</f>
        <v>14225524</v>
      </c>
      <c r="AA31" s="102">
        <f t="shared" ref="AA31" si="85">+Z31*$G31*$H31</f>
        <v>170706288</v>
      </c>
      <c r="AB31" s="73" t="s">
        <v>103</v>
      </c>
      <c r="AC31" s="73"/>
      <c r="AD31" s="73"/>
      <c r="AE31" s="73"/>
      <c r="AF31" s="160"/>
      <c r="AG31" s="142">
        <f t="shared" ref="AG31:AG32" si="86">ROUND(AF31*19%,0)</f>
        <v>0</v>
      </c>
      <c r="AH31" s="102">
        <f>+AG31+AF31</f>
        <v>0</v>
      </c>
      <c r="AI31" s="102">
        <f>+AH31*$G31</f>
        <v>0</v>
      </c>
      <c r="AJ31" s="102"/>
      <c r="AK31" s="102"/>
      <c r="AL31" s="102"/>
      <c r="AM31" s="102"/>
      <c r="AN31" s="105"/>
      <c r="AO31" s="102">
        <f t="shared" ref="AO31" si="87">COUNT(L31,P31,T31,X31,AB31,AF31)</f>
        <v>4</v>
      </c>
      <c r="AP31" s="102">
        <f t="shared" ref="AP31:AP32" si="88">ROUND(_xlfn.STDEV.P(L31,P31,T31,X31,AB31,AF31),0)</f>
        <v>843260</v>
      </c>
      <c r="AQ31" s="162">
        <f>AP31/AU31</f>
        <v>6.8233531092921115E-2</v>
      </c>
      <c r="AR31" s="159" t="s">
        <v>167</v>
      </c>
      <c r="AS31" s="159"/>
      <c r="AT31" s="105"/>
      <c r="AU31" s="110">
        <f>ROUND(AVERAGE(L31,P31,T31,X31,AF31),0)</f>
        <v>12358440</v>
      </c>
      <c r="AV31" s="110">
        <f t="shared" ref="AV31:AV32" si="89">+AU31*$AW$3</f>
        <v>2348103.6</v>
      </c>
      <c r="AW31" s="110">
        <f t="shared" ref="AW31:AW32" si="90">ROUND(AU31*(1+$AW$3),0)</f>
        <v>14706544</v>
      </c>
      <c r="AX31" s="110">
        <f>AW31*H31*G31</f>
        <v>176478528</v>
      </c>
      <c r="AY31" s="110">
        <f>ROUND(GEOMEAN(L31,P31,T31,X31,AB31,AF31),0)</f>
        <v>12331046</v>
      </c>
      <c r="AZ31" s="110">
        <f t="shared" ref="AZ31:AZ32" si="91">+AY31*$AW$3</f>
        <v>2342898.7400000002</v>
      </c>
      <c r="BA31" s="110">
        <f t="shared" ref="BA31:BA32" si="92">ROUND(AY31*(1+$AW$3),0)</f>
        <v>14673945</v>
      </c>
      <c r="BB31" s="110">
        <f>BA31*H31*G31</f>
        <v>176087340</v>
      </c>
      <c r="BC31" s="110" cm="1">
        <f t="array" ref="BC31">ROUND(AVERAGE(SMALL((AF31,X31,T31,P31,L31),{1;2;3})),0)</f>
        <v>11872876</v>
      </c>
      <c r="BD31" s="110">
        <f t="shared" ref="BD31:BD32" si="93">BC31*$AW$3</f>
        <v>2255846.44</v>
      </c>
      <c r="BE31" s="110">
        <f t="shared" ref="BE31:BE32" si="94">ROUND(BC31*(1+$AW$3),0)</f>
        <v>14128722</v>
      </c>
      <c r="BF31" s="110">
        <f>BE31*H31*G31</f>
        <v>169544664</v>
      </c>
      <c r="BG31" s="110" cm="1">
        <f t="array" ref="BG31">ROUND(AVERAGE(SMALL((AF31,AB31,X31,T31,P31,L31),{1;2;3;4})),0)</f>
        <v>12358440</v>
      </c>
      <c r="BH31" s="110">
        <f t="shared" si="34"/>
        <v>2348103.6</v>
      </c>
      <c r="BI31" s="110">
        <f t="shared" ref="BI31:BI32" si="95">ROUND(BG31*(1+$AW$3),0)</f>
        <v>14706544</v>
      </c>
      <c r="BJ31" s="110">
        <f>BI31*H31*G31</f>
        <v>176478528</v>
      </c>
      <c r="BK31" s="110"/>
      <c r="BL31" s="110"/>
      <c r="BM31" s="119"/>
      <c r="BN31" s="119">
        <f>+AY31</f>
        <v>12331046</v>
      </c>
      <c r="BO31" s="119">
        <f t="shared" ref="BO31:BO32" si="96">+BN31*$AW$3</f>
        <v>2342898.7400000002</v>
      </c>
      <c r="BP31" s="119">
        <f t="shared" ref="BP31:BP32" si="97">ROUND(BN31*(1+$AW$3),0)</f>
        <v>14673945</v>
      </c>
      <c r="BQ31" s="119">
        <f>BP31*H31*G31</f>
        <v>176087340</v>
      </c>
    </row>
    <row r="32" spans="1:69" s="66" customFormat="1" ht="47.5" customHeight="1" x14ac:dyDescent="0.35">
      <c r="A32" s="68"/>
      <c r="B32" s="71">
        <v>9</v>
      </c>
      <c r="C32" s="230" t="s">
        <v>90</v>
      </c>
      <c r="D32" s="230"/>
      <c r="E32" s="69" t="s">
        <v>8</v>
      </c>
      <c r="F32" s="69" t="s">
        <v>6</v>
      </c>
      <c r="G32" s="69">
        <v>1</v>
      </c>
      <c r="H32" s="69">
        <v>12</v>
      </c>
      <c r="I32" s="69" t="s">
        <v>142</v>
      </c>
      <c r="J32" s="69" t="s">
        <v>145</v>
      </c>
      <c r="K32" s="128" t="s">
        <v>152</v>
      </c>
      <c r="L32" s="73" t="s">
        <v>103</v>
      </c>
      <c r="M32" s="74"/>
      <c r="N32" s="73"/>
      <c r="O32" s="73"/>
      <c r="P32" s="73" t="s">
        <v>103</v>
      </c>
      <c r="Q32" s="74"/>
      <c r="R32" s="73"/>
      <c r="S32" s="73"/>
      <c r="T32" s="73" t="s">
        <v>103</v>
      </c>
      <c r="U32" s="74"/>
      <c r="V32" s="73"/>
      <c r="W32" s="73"/>
      <c r="X32" s="69">
        <f>Z32/1.19</f>
        <v>11711070.028011205</v>
      </c>
      <c r="Y32" s="142">
        <f t="shared" si="84"/>
        <v>2225103</v>
      </c>
      <c r="Z32" s="69">
        <f>AA32/$H$32</f>
        <v>13936173.333333334</v>
      </c>
      <c r="AA32" s="155">
        <v>167234080</v>
      </c>
      <c r="AB32" s="69">
        <f>AD32/1.19</f>
        <v>9803921.5686274506</v>
      </c>
      <c r="AC32" s="142">
        <f>ROUND(AB32*19%,0)</f>
        <v>1862745</v>
      </c>
      <c r="AD32" s="69">
        <f>AE32/$H$32</f>
        <v>11666666.666666666</v>
      </c>
      <c r="AE32" s="69">
        <v>140000000</v>
      </c>
      <c r="AF32" s="69">
        <f>AH32/1.19</f>
        <v>16289852.916666666</v>
      </c>
      <c r="AG32" s="142">
        <f t="shared" si="86"/>
        <v>3095072</v>
      </c>
      <c r="AH32" s="69">
        <f>195478235/12*1.19</f>
        <v>19384924.970833331</v>
      </c>
      <c r="AI32" s="69">
        <f>+AH32*$G32*$H32</f>
        <v>232619099.64999998</v>
      </c>
      <c r="AJ32" s="69">
        <f>AL32/1.19</f>
        <v>6857500</v>
      </c>
      <c r="AK32" s="70">
        <f>AJ32*0.19</f>
        <v>1302925</v>
      </c>
      <c r="AL32" s="69">
        <f>AM32/12</f>
        <v>8160425</v>
      </c>
      <c r="AM32" s="69">
        <v>97925100</v>
      </c>
      <c r="AN32" s="156"/>
      <c r="AO32" s="102">
        <f>COUNT(L32,P32,T32,X32,AB32,AF32,AJ32)</f>
        <v>4</v>
      </c>
      <c r="AP32" s="102">
        <f t="shared" si="88"/>
        <v>2721719</v>
      </c>
      <c r="AQ32" s="162">
        <f>AP32/AU32</f>
        <v>0.24375961996083323</v>
      </c>
      <c r="AR32" s="159"/>
      <c r="AS32" s="159"/>
      <c r="AT32" s="105"/>
      <c r="AU32" s="110">
        <f>ROUND(AVERAGE(X32,AB32,AF32,AJ32),0)</f>
        <v>11165586</v>
      </c>
      <c r="AV32" s="110">
        <f t="shared" si="89"/>
        <v>2121461.34</v>
      </c>
      <c r="AW32" s="110">
        <f t="shared" si="90"/>
        <v>13287047</v>
      </c>
      <c r="AX32" s="110">
        <f>AW32*H32*G32</f>
        <v>159444564</v>
      </c>
      <c r="AY32" s="110">
        <f>ROUND(GEOMEAN(X32,AB32,AF32,AJ32),0)</f>
        <v>10641916</v>
      </c>
      <c r="AZ32" s="110">
        <f t="shared" si="91"/>
        <v>2021964.04</v>
      </c>
      <c r="BA32" s="110">
        <f t="shared" si="92"/>
        <v>12663880</v>
      </c>
      <c r="BB32" s="110">
        <f>BA32*H32*G32</f>
        <v>151966560</v>
      </c>
      <c r="BC32" s="110" cm="1">
        <f t="array" ref="BC32">ROUND(AVERAGE(SMALL((X32,AB32,AF32,AJ32),{1;2;3})),0)</f>
        <v>9457497</v>
      </c>
      <c r="BD32" s="110">
        <f t="shared" si="93"/>
        <v>1796924.43</v>
      </c>
      <c r="BE32" s="110">
        <f t="shared" si="94"/>
        <v>11254421</v>
      </c>
      <c r="BF32" s="110">
        <f>BE32*H32*G32</f>
        <v>135053052</v>
      </c>
      <c r="BG32" s="110" cm="1">
        <f t="array" ref="BG32">ROUND(AVERAGE(SMALL((X32,AB32,AF32,AJ32),{1;2;3;4})),0)</f>
        <v>11165586</v>
      </c>
      <c r="BH32" s="110">
        <f t="shared" si="34"/>
        <v>2121461.34</v>
      </c>
      <c r="BI32" s="110">
        <f t="shared" si="95"/>
        <v>13287047</v>
      </c>
      <c r="BJ32" s="110">
        <f>BI32*H32*G32</f>
        <v>159444564</v>
      </c>
      <c r="BK32" s="110"/>
      <c r="BL32" s="110"/>
      <c r="BM32" s="119"/>
      <c r="BN32" s="119">
        <f>+AY32</f>
        <v>10641916</v>
      </c>
      <c r="BO32" s="119">
        <f t="shared" si="96"/>
        <v>2021964.04</v>
      </c>
      <c r="BP32" s="119">
        <f t="shared" si="97"/>
        <v>12663880</v>
      </c>
      <c r="BQ32" s="119">
        <f>BP32*H32*G32</f>
        <v>151966560</v>
      </c>
    </row>
    <row r="33" spans="2:69" ht="30.5" customHeight="1" x14ac:dyDescent="0.35">
      <c r="B33" s="12"/>
      <c r="C33" s="13"/>
      <c r="D33" s="13"/>
      <c r="E33" s="13"/>
      <c r="F33" s="13"/>
      <c r="G33" s="13"/>
      <c r="H33" s="13"/>
      <c r="I33" s="13"/>
      <c r="J33" s="137"/>
      <c r="K33" s="139" t="s">
        <v>153</v>
      </c>
      <c r="L33" s="138"/>
      <c r="M33" s="13"/>
      <c r="N33" s="1" t="s">
        <v>14</v>
      </c>
      <c r="O33" s="17">
        <f>SUM(O17:O32)</f>
        <v>1596495276</v>
      </c>
      <c r="P33" s="13"/>
      <c r="Q33" s="13"/>
      <c r="R33" s="1" t="s">
        <v>14</v>
      </c>
      <c r="S33" s="17">
        <f>SUM(S17:S31)</f>
        <v>1637361285</v>
      </c>
      <c r="T33" s="13"/>
      <c r="U33" s="13"/>
      <c r="V33" s="65" t="s">
        <v>14</v>
      </c>
      <c r="W33" s="17">
        <f>SUM(W17:W32)</f>
        <v>1605997565</v>
      </c>
      <c r="X33" s="13"/>
      <c r="Y33" s="13"/>
      <c r="Z33" s="65" t="s">
        <v>14</v>
      </c>
      <c r="AA33" s="17">
        <f>SUM(AA17:AA32)</f>
        <v>1782584029</v>
      </c>
      <c r="AB33" s="13"/>
      <c r="AC33" s="13"/>
      <c r="AD33" s="65" t="s">
        <v>14</v>
      </c>
      <c r="AE33" s="17">
        <f>SUM(AE17:AE32)</f>
        <v>1639757000</v>
      </c>
      <c r="AF33" s="13"/>
      <c r="AG33" s="13"/>
      <c r="AH33" s="65" t="s">
        <v>14</v>
      </c>
      <c r="AI33" s="108">
        <f>SUM(AI17:AI32)</f>
        <v>1731820898.21</v>
      </c>
      <c r="AJ33" s="13"/>
      <c r="AK33" s="13"/>
      <c r="AL33" s="13"/>
      <c r="AM33" s="107"/>
      <c r="AN33" s="156"/>
      <c r="AO33" s="156"/>
      <c r="AP33" s="156"/>
      <c r="AQ33" s="156"/>
      <c r="AR33" s="156"/>
      <c r="AS33" s="156"/>
      <c r="AT33" s="115"/>
      <c r="AU33" s="111"/>
      <c r="AV33" s="111"/>
      <c r="AW33" s="111"/>
      <c r="AX33" s="111">
        <f>SUM(AX17:AX32)</f>
        <v>1933499044</v>
      </c>
      <c r="AY33" s="111"/>
      <c r="AZ33" s="111"/>
      <c r="BA33" s="111"/>
      <c r="BB33" s="111">
        <f>SUM(BB17:BB32)</f>
        <v>1886799596</v>
      </c>
      <c r="BC33" s="111"/>
      <c r="BD33" s="111"/>
      <c r="BE33" s="111"/>
      <c r="BF33" s="111">
        <f>SUM(BF17:BF32)</f>
        <v>1681407986</v>
      </c>
      <c r="BG33" s="111"/>
      <c r="BH33" s="111"/>
      <c r="BI33" s="111"/>
      <c r="BJ33" s="111">
        <f>SUM(BJ17:BJ32)</f>
        <v>1749435164</v>
      </c>
      <c r="BK33" s="111"/>
      <c r="BL33" s="111"/>
      <c r="BM33" s="121"/>
      <c r="BN33" s="121"/>
      <c r="BO33" s="121"/>
      <c r="BP33" s="121"/>
      <c r="BQ33" s="121">
        <f>SUM(BQ17:BQ32)</f>
        <v>1886799596</v>
      </c>
    </row>
    <row r="34" spans="2:69" x14ac:dyDescent="0.35">
      <c r="K34" s="130"/>
      <c r="O34" s="9"/>
      <c r="S34" s="150"/>
      <c r="W34" s="9"/>
      <c r="AA34" s="9"/>
      <c r="AE34" s="9"/>
      <c r="AI34" s="106"/>
      <c r="AU34" s="112"/>
      <c r="AV34" s="112"/>
      <c r="AW34" s="112"/>
      <c r="AX34" s="112"/>
      <c r="AY34" s="112"/>
      <c r="AZ34" s="112"/>
      <c r="BA34" s="112"/>
      <c r="BB34" s="112"/>
      <c r="BC34" s="112"/>
      <c r="BD34" s="112"/>
      <c r="BE34" s="112"/>
      <c r="BF34" s="112"/>
      <c r="BG34" s="112"/>
      <c r="BH34" s="112"/>
      <c r="BI34" s="112"/>
      <c r="BJ34" s="112"/>
      <c r="BK34" s="112"/>
      <c r="BL34" s="112"/>
      <c r="BM34" s="122"/>
      <c r="BN34" s="122"/>
      <c r="BO34" s="122"/>
      <c r="BP34" s="122"/>
      <c r="BQ34" s="122"/>
    </row>
    <row r="35" spans="2:69" x14ac:dyDescent="0.35">
      <c r="S35" s="66"/>
      <c r="AD35" s="8"/>
      <c r="AE35" s="8"/>
      <c r="AF35" s="8"/>
      <c r="AG35" s="8"/>
      <c r="AH35" s="8"/>
      <c r="AI35" s="98"/>
    </row>
    <row r="36" spans="2:69" ht="27" customHeight="1" x14ac:dyDescent="0.35"/>
  </sheetData>
  <sheetProtection formatColumns="0" selectLockedCells="1" selectUnlockedCells="1"/>
  <mergeCells count="50">
    <mergeCell ref="AO14:AR14"/>
    <mergeCell ref="AF14:AI14"/>
    <mergeCell ref="B2:O5"/>
    <mergeCell ref="AU3:AV3"/>
    <mergeCell ref="AW3:BQ3"/>
    <mergeCell ref="B8:B9"/>
    <mergeCell ref="C8:O9"/>
    <mergeCell ref="B11:B12"/>
    <mergeCell ref="C11:O12"/>
    <mergeCell ref="L14:O14"/>
    <mergeCell ref="P14:S14"/>
    <mergeCell ref="T14:W14"/>
    <mergeCell ref="X14:AA14"/>
    <mergeCell ref="AB14:AE14"/>
    <mergeCell ref="AJ14:AM14"/>
    <mergeCell ref="AU14:AX14"/>
    <mergeCell ref="BP15:BP16"/>
    <mergeCell ref="BQ15:BQ16"/>
    <mergeCell ref="BC14:BF14"/>
    <mergeCell ref="BG14:BJ14"/>
    <mergeCell ref="BF15:BF16"/>
    <mergeCell ref="BG15:BG16"/>
    <mergeCell ref="BH15:BH16"/>
    <mergeCell ref="BI15:BI16"/>
    <mergeCell ref="BC15:BC16"/>
    <mergeCell ref="BD15:BD16"/>
    <mergeCell ref="BE15:BE16"/>
    <mergeCell ref="BN15:BN16"/>
    <mergeCell ref="BN14:BQ14"/>
    <mergeCell ref="BJ15:BJ16"/>
    <mergeCell ref="AW15:AW16"/>
    <mergeCell ref="AX15:AX16"/>
    <mergeCell ref="AY14:BB14"/>
    <mergeCell ref="BO15:BO16"/>
    <mergeCell ref="C19:D19"/>
    <mergeCell ref="C15:D15"/>
    <mergeCell ref="AU15:AU16"/>
    <mergeCell ref="AV15:AV16"/>
    <mergeCell ref="C17:D17"/>
    <mergeCell ref="B16:H16"/>
    <mergeCell ref="C18:D18"/>
    <mergeCell ref="C32:D32"/>
    <mergeCell ref="B20:B22"/>
    <mergeCell ref="C20:C22"/>
    <mergeCell ref="C24:D24"/>
    <mergeCell ref="B25:B28"/>
    <mergeCell ref="C25:C28"/>
    <mergeCell ref="C31:D31"/>
    <mergeCell ref="B23:H23"/>
    <mergeCell ref="B30:H30"/>
  </mergeCells>
  <pageMargins left="0.7" right="0.7" top="0.75" bottom="0.75" header="0.3" footer="0.3"/>
  <pageSetup orientation="portrait" r:id="rId1"/>
  <headerFooter>
    <oddFooter>&amp;L_x000D_&amp;1#&amp;"Aptos"&amp;10&amp;K000000 Informacion publica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45"/>
  <sheetViews>
    <sheetView topLeftCell="T1" zoomScale="80" zoomScaleNormal="80" workbookViewId="0">
      <pane ySplit="15" topLeftCell="A21" activePane="bottomLeft" state="frozen"/>
      <selection activeCell="AE1" sqref="AE1"/>
      <selection pane="bottomLeft" activeCell="AA34" sqref="AA34"/>
    </sheetView>
  </sheetViews>
  <sheetFormatPr baseColWidth="10" defaultColWidth="11.453125" defaultRowHeight="14.5" x14ac:dyDescent="0.35"/>
  <cols>
    <col min="1" max="1" width="2.36328125" style="4" customWidth="1"/>
    <col min="2" max="2" width="7.453125" style="4" customWidth="1"/>
    <col min="3" max="3" width="16" style="4" customWidth="1"/>
    <col min="4" max="4" width="23.81640625" style="4" customWidth="1"/>
    <col min="5" max="5" width="30.453125" style="4" customWidth="1"/>
    <col min="6" max="6" width="10.453125" style="4" customWidth="1"/>
    <col min="7" max="10" width="8.81640625" style="4" customWidth="1"/>
    <col min="11" max="11" width="30" style="133" customWidth="1"/>
    <col min="12" max="12" width="19" style="4" customWidth="1"/>
    <col min="13" max="13" width="16.1796875" style="4" customWidth="1"/>
    <col min="14" max="14" width="18.36328125" style="4" customWidth="1"/>
    <col min="15" max="15" width="22.1796875" style="4" customWidth="1"/>
    <col min="16" max="16" width="18.453125" style="4" customWidth="1"/>
    <col min="17" max="17" width="14.08984375" style="4" customWidth="1"/>
    <col min="18" max="18" width="17.90625" style="4" customWidth="1"/>
    <col min="19" max="19" width="18.36328125" style="4" customWidth="1"/>
    <col min="20" max="20" width="18.453125" style="4" customWidth="1"/>
    <col min="21" max="21" width="14.08984375" style="4" customWidth="1"/>
    <col min="22" max="22" width="17.90625" style="4" customWidth="1"/>
    <col min="23" max="23" width="18.36328125" style="4" customWidth="1"/>
    <col min="24" max="24" width="18.453125" style="4" customWidth="1"/>
    <col min="25" max="25" width="14.08984375" style="4" customWidth="1"/>
    <col min="26" max="26" width="17.90625" style="4" customWidth="1"/>
    <col min="27" max="27" width="18.36328125" style="4" customWidth="1"/>
    <col min="28" max="28" width="18.453125" style="4" customWidth="1"/>
    <col min="29" max="29" width="14.08984375" style="4" customWidth="1"/>
    <col min="30" max="30" width="17.90625" style="4" customWidth="1"/>
    <col min="31" max="31" width="18.36328125" style="4" customWidth="1"/>
    <col min="32" max="32" width="18.453125" style="4" customWidth="1"/>
    <col min="33" max="33" width="14.81640625" style="4" customWidth="1"/>
    <col min="34" max="34" width="18.54296875" style="4" customWidth="1"/>
    <col min="35" max="35" width="19.08984375" style="6" customWidth="1"/>
    <col min="36" max="39" width="19.08984375" customWidth="1"/>
    <col min="40" max="40" width="5.54296875" style="113" customWidth="1"/>
    <col min="41" max="48" width="15" style="7" customWidth="1"/>
    <col min="49" max="51" width="15" style="7" hidden="1" customWidth="1"/>
    <col min="52" max="52" width="12.6328125" style="7" hidden="1" customWidth="1"/>
    <col min="53" max="53" width="2.54296875" style="116" customWidth="1"/>
    <col min="54" max="57" width="15" style="116" customWidth="1"/>
    <col min="58" max="58" width="20.54296875" style="4" customWidth="1"/>
    <col min="59" max="16384" width="11.453125" style="4"/>
  </cols>
  <sheetData>
    <row r="1" spans="1:57" x14ac:dyDescent="0.35">
      <c r="B1" s="8"/>
      <c r="C1" s="8"/>
      <c r="D1" s="8"/>
      <c r="E1" s="8"/>
      <c r="F1" s="8"/>
      <c r="G1" s="8"/>
      <c r="H1" s="8"/>
      <c r="I1" s="8"/>
      <c r="J1" s="8"/>
      <c r="K1" s="129"/>
      <c r="L1" s="8"/>
      <c r="M1" s="8"/>
      <c r="N1" s="8"/>
      <c r="O1" s="8"/>
      <c r="P1" s="8"/>
      <c r="Q1" s="8"/>
      <c r="R1" s="8"/>
      <c r="S1" s="8"/>
      <c r="T1" s="8"/>
      <c r="U1" s="8"/>
      <c r="V1" s="8"/>
      <c r="W1" s="8"/>
      <c r="X1" s="8"/>
      <c r="Y1" s="8"/>
      <c r="Z1" s="8"/>
      <c r="AA1" s="8"/>
      <c r="AB1" s="8"/>
      <c r="AC1" s="8"/>
      <c r="AD1" s="8"/>
      <c r="AE1" s="8"/>
      <c r="AF1" s="8"/>
      <c r="AG1" s="8"/>
      <c r="AH1" s="8"/>
      <c r="AI1" s="98"/>
      <c r="AN1" s="113" t="e" cm="1">
        <f t="array" ref="AN1">+B:ANAR34AJ:ANAR3AJ:AN</f>
        <v>#NAME?</v>
      </c>
    </row>
    <row r="2" spans="1:57" x14ac:dyDescent="0.35">
      <c r="A2" s="6"/>
      <c r="B2" s="201" t="s">
        <v>130</v>
      </c>
      <c r="C2" s="201"/>
      <c r="D2" s="201"/>
      <c r="E2" s="201"/>
      <c r="F2" s="201"/>
      <c r="G2" s="201"/>
      <c r="H2" s="201"/>
      <c r="I2" s="201"/>
      <c r="J2" s="201"/>
      <c r="K2" s="201"/>
      <c r="L2" s="201"/>
      <c r="M2" s="201"/>
      <c r="N2" s="201"/>
      <c r="O2" s="201"/>
      <c r="P2" s="7"/>
      <c r="T2" s="7"/>
      <c r="X2" s="7"/>
      <c r="AB2" s="7"/>
      <c r="AF2" s="7"/>
      <c r="BB2" s="134"/>
    </row>
    <row r="3" spans="1:57" x14ac:dyDescent="0.35">
      <c r="A3" s="6"/>
      <c r="B3" s="201"/>
      <c r="C3" s="201"/>
      <c r="D3" s="201"/>
      <c r="E3" s="201"/>
      <c r="F3" s="201"/>
      <c r="G3" s="201"/>
      <c r="H3" s="201"/>
      <c r="I3" s="201"/>
      <c r="J3" s="201"/>
      <c r="K3" s="201"/>
      <c r="L3" s="201"/>
      <c r="M3" s="201"/>
      <c r="N3" s="201"/>
      <c r="O3" s="201"/>
      <c r="P3" s="7"/>
      <c r="T3" s="7"/>
      <c r="X3" s="7"/>
      <c r="AB3" s="7"/>
      <c r="AF3" s="7"/>
      <c r="AO3" s="202" t="s">
        <v>133</v>
      </c>
      <c r="AP3" s="203"/>
      <c r="AQ3" s="204">
        <v>0.19</v>
      </c>
      <c r="AR3" s="205"/>
      <c r="AS3" s="205"/>
      <c r="AT3" s="205"/>
      <c r="AU3" s="205"/>
      <c r="AV3" s="205"/>
      <c r="AW3" s="205"/>
      <c r="AX3" s="205"/>
      <c r="AY3" s="205"/>
      <c r="AZ3" s="205"/>
      <c r="BA3" s="205"/>
      <c r="BB3" s="205"/>
      <c r="BC3" s="205"/>
      <c r="BD3" s="205"/>
      <c r="BE3" s="205"/>
    </row>
    <row r="4" spans="1:57" x14ac:dyDescent="0.35">
      <c r="A4" s="6"/>
      <c r="B4" s="201"/>
      <c r="C4" s="201"/>
      <c r="D4" s="201"/>
      <c r="E4" s="201"/>
      <c r="F4" s="201"/>
      <c r="G4" s="201"/>
      <c r="H4" s="201"/>
      <c r="I4" s="201"/>
      <c r="J4" s="201"/>
      <c r="K4" s="201"/>
      <c r="L4" s="201"/>
      <c r="M4" s="201"/>
      <c r="N4" s="201"/>
      <c r="O4" s="201"/>
      <c r="P4" s="7"/>
      <c r="T4" s="7"/>
      <c r="X4" s="7"/>
      <c r="AB4" s="7"/>
      <c r="AF4" s="7"/>
      <c r="BB4" s="134"/>
      <c r="BC4" s="135"/>
      <c r="BD4" s="120"/>
    </row>
    <row r="5" spans="1:57" x14ac:dyDescent="0.35">
      <c r="A5" s="6"/>
      <c r="B5" s="201"/>
      <c r="C5" s="201"/>
      <c r="D5" s="201"/>
      <c r="E5" s="201"/>
      <c r="F5" s="201"/>
      <c r="G5" s="201"/>
      <c r="H5" s="201"/>
      <c r="I5" s="201"/>
      <c r="J5" s="201"/>
      <c r="K5" s="201"/>
      <c r="L5" s="201"/>
      <c r="M5" s="201"/>
      <c r="N5" s="201"/>
      <c r="O5" s="201"/>
      <c r="P5" s="7"/>
      <c r="T5" s="7"/>
      <c r="X5" s="7"/>
      <c r="AB5" s="7"/>
      <c r="AF5" s="7"/>
      <c r="BB5" s="120"/>
      <c r="BC5" s="120"/>
      <c r="BD5" s="134"/>
      <c r="BE5" s="120"/>
    </row>
    <row r="6" spans="1:57" ht="14.5" hidden="1" customHeight="1" x14ac:dyDescent="0.35">
      <c r="B6" s="9"/>
      <c r="C6" s="9"/>
      <c r="D6" s="9"/>
      <c r="E6" s="9"/>
      <c r="F6" s="9"/>
      <c r="G6" s="9"/>
      <c r="H6" s="9"/>
      <c r="I6" s="9"/>
      <c r="J6" s="9"/>
      <c r="K6" s="130"/>
      <c r="L6" s="9"/>
      <c r="M6" s="9"/>
      <c r="N6" s="9"/>
      <c r="O6" s="9"/>
      <c r="P6" s="9"/>
      <c r="Q6" s="9"/>
      <c r="R6" s="9"/>
      <c r="S6" s="9"/>
      <c r="T6" s="9"/>
      <c r="U6" s="9"/>
      <c r="V6" s="9"/>
      <c r="W6" s="9"/>
      <c r="X6" s="9"/>
      <c r="Y6" s="9"/>
      <c r="Z6" s="9"/>
      <c r="AA6" s="9"/>
      <c r="AB6" s="9"/>
      <c r="AC6" s="9"/>
      <c r="AD6" s="9"/>
      <c r="AE6" s="9"/>
      <c r="AF6" s="9"/>
      <c r="AG6" s="9"/>
      <c r="AH6" s="9"/>
      <c r="AI6" s="106"/>
    </row>
    <row r="7" spans="1:57" ht="14.5" hidden="1" customHeight="1" x14ac:dyDescent="0.35">
      <c r="B7" s="8"/>
      <c r="C7" s="8"/>
      <c r="D7" s="8"/>
      <c r="E7" s="8"/>
      <c r="F7" s="8"/>
      <c r="G7" s="8"/>
      <c r="H7" s="8"/>
      <c r="I7" s="8"/>
      <c r="J7" s="8"/>
      <c r="K7" s="129"/>
      <c r="L7" s="8"/>
      <c r="M7" s="8"/>
      <c r="N7" s="8"/>
      <c r="O7" s="8"/>
      <c r="P7" s="8"/>
      <c r="Q7" s="8"/>
      <c r="R7" s="8"/>
      <c r="S7" s="8"/>
      <c r="T7" s="8"/>
      <c r="U7" s="8"/>
      <c r="V7" s="8"/>
      <c r="W7" s="8"/>
      <c r="X7" s="8"/>
      <c r="Y7" s="8"/>
      <c r="Z7" s="8"/>
      <c r="AA7" s="8"/>
      <c r="AB7" s="8"/>
      <c r="AC7" s="8"/>
      <c r="AD7" s="8"/>
      <c r="AE7" s="8"/>
      <c r="AF7" s="8"/>
      <c r="AG7" s="8"/>
      <c r="AH7" s="8"/>
      <c r="AI7" s="98"/>
    </row>
    <row r="8" spans="1:57" ht="16.5" hidden="1" customHeight="1" x14ac:dyDescent="0.35">
      <c r="A8" s="6"/>
      <c r="B8" s="206" t="s">
        <v>3</v>
      </c>
      <c r="C8" s="207" t="s">
        <v>83</v>
      </c>
      <c r="D8" s="208"/>
      <c r="E8" s="208"/>
      <c r="F8" s="208"/>
      <c r="G8" s="208"/>
      <c r="H8" s="208"/>
      <c r="I8" s="208"/>
      <c r="J8" s="208"/>
      <c r="K8" s="208"/>
      <c r="L8" s="208"/>
      <c r="M8" s="208"/>
      <c r="N8" s="208"/>
      <c r="O8" s="209"/>
      <c r="P8" s="7"/>
      <c r="T8" s="7"/>
      <c r="X8" s="7"/>
      <c r="AB8" s="7"/>
      <c r="AF8" s="7"/>
    </row>
    <row r="9" spans="1:57" ht="15" hidden="1" customHeight="1" x14ac:dyDescent="0.35">
      <c r="A9" s="6"/>
      <c r="B9" s="206"/>
      <c r="C9" s="210"/>
      <c r="D9" s="211"/>
      <c r="E9" s="211"/>
      <c r="F9" s="211"/>
      <c r="G9" s="211"/>
      <c r="H9" s="211"/>
      <c r="I9" s="211"/>
      <c r="J9" s="211"/>
      <c r="K9" s="211"/>
      <c r="L9" s="211"/>
      <c r="M9" s="211"/>
      <c r="N9" s="211"/>
      <c r="O9" s="212"/>
      <c r="P9" s="7"/>
      <c r="T9" s="7"/>
      <c r="X9" s="7"/>
      <c r="AB9" s="7"/>
      <c r="AF9" s="7"/>
    </row>
    <row r="10" spans="1:57" ht="15" hidden="1" customHeight="1" x14ac:dyDescent="0.35">
      <c r="B10" s="14"/>
      <c r="C10" s="9"/>
      <c r="D10" s="9"/>
      <c r="E10" s="9"/>
      <c r="F10" s="9"/>
      <c r="G10" s="9"/>
      <c r="H10" s="9"/>
      <c r="I10" s="9"/>
      <c r="J10" s="9"/>
      <c r="K10" s="130"/>
      <c r="L10" s="9"/>
      <c r="M10" s="9"/>
      <c r="N10" s="9"/>
      <c r="O10" s="9"/>
      <c r="P10" s="9"/>
      <c r="Q10" s="9"/>
      <c r="R10" s="9"/>
      <c r="S10" s="9"/>
      <c r="T10" s="9"/>
      <c r="U10" s="9"/>
      <c r="V10" s="9"/>
      <c r="W10" s="9"/>
      <c r="X10" s="9"/>
      <c r="Y10" s="9"/>
      <c r="Z10" s="9"/>
      <c r="AA10" s="9"/>
      <c r="AB10" s="9"/>
      <c r="AC10" s="9"/>
      <c r="AD10" s="9"/>
      <c r="AE10" s="9"/>
      <c r="AF10" s="9"/>
      <c r="AG10" s="9"/>
      <c r="AH10" s="9"/>
      <c r="AI10" s="106"/>
    </row>
    <row r="11" spans="1:57" ht="66" hidden="1" customHeight="1" x14ac:dyDescent="0.35">
      <c r="B11" s="206" t="s">
        <v>10</v>
      </c>
      <c r="C11" s="213" t="s">
        <v>82</v>
      </c>
      <c r="D11" s="214"/>
      <c r="E11" s="214"/>
      <c r="F11" s="214"/>
      <c r="G11" s="214"/>
      <c r="H11" s="214"/>
      <c r="I11" s="214"/>
      <c r="J11" s="214"/>
      <c r="K11" s="214"/>
      <c r="L11" s="214"/>
      <c r="M11" s="214"/>
      <c r="N11" s="214"/>
      <c r="O11" s="215"/>
    </row>
    <row r="12" spans="1:57" ht="61.5" hidden="1" customHeight="1" x14ac:dyDescent="0.35">
      <c r="B12" s="206"/>
      <c r="C12" s="216"/>
      <c r="D12" s="217"/>
      <c r="E12" s="217"/>
      <c r="F12" s="217"/>
      <c r="G12" s="217"/>
      <c r="H12" s="217"/>
      <c r="I12" s="217"/>
      <c r="J12" s="217"/>
      <c r="K12" s="217"/>
      <c r="L12" s="217"/>
      <c r="M12" s="217"/>
      <c r="N12" s="217"/>
      <c r="O12" s="218"/>
    </row>
    <row r="13" spans="1:57" ht="29" customHeight="1" x14ac:dyDescent="0.35">
      <c r="A13" s="6"/>
      <c r="B13" s="96"/>
      <c r="C13" s="97"/>
      <c r="D13" s="97"/>
      <c r="E13" s="97"/>
      <c r="F13" s="97"/>
      <c r="G13" s="97"/>
      <c r="H13" s="97"/>
      <c r="I13" s="97"/>
      <c r="J13" s="97"/>
      <c r="K13" s="136"/>
      <c r="L13" s="97"/>
      <c r="M13" s="97"/>
      <c r="N13" s="97"/>
      <c r="O13" s="97"/>
      <c r="P13" s="6"/>
      <c r="Q13" s="6"/>
      <c r="R13" s="6"/>
      <c r="S13" s="6"/>
      <c r="T13" s="6"/>
      <c r="U13" s="6"/>
      <c r="V13" s="6"/>
      <c r="W13" s="6"/>
      <c r="X13" s="6"/>
      <c r="Y13" s="6"/>
      <c r="Z13" s="6"/>
      <c r="AA13" s="6"/>
      <c r="AB13" s="6"/>
      <c r="AC13" s="6"/>
      <c r="AD13" s="6"/>
      <c r="AE13" s="6"/>
      <c r="AF13" s="6"/>
      <c r="AG13" s="6"/>
      <c r="AH13" s="6"/>
      <c r="AO13" s="109"/>
      <c r="AP13" s="109"/>
      <c r="AQ13" s="109"/>
      <c r="AR13" s="109"/>
      <c r="AS13" s="109"/>
      <c r="AT13" s="109"/>
      <c r="AU13" s="109"/>
      <c r="AV13" s="109"/>
      <c r="AW13" s="109"/>
      <c r="AX13" s="109"/>
      <c r="AY13" s="109"/>
      <c r="AZ13" s="109"/>
      <c r="BA13" s="118"/>
      <c r="BC13" s="118"/>
      <c r="BD13" s="118"/>
      <c r="BE13" s="118"/>
    </row>
    <row r="14" spans="1:57" x14ac:dyDescent="0.35">
      <c r="A14" s="6"/>
      <c r="B14" s="6"/>
      <c r="C14" s="6"/>
      <c r="D14" s="6"/>
      <c r="E14" s="6"/>
      <c r="F14" s="6"/>
      <c r="G14" s="6"/>
      <c r="H14" s="6"/>
      <c r="I14"/>
      <c r="J14" t="s">
        <v>154</v>
      </c>
      <c r="K14" s="131"/>
      <c r="L14" s="247" t="s">
        <v>124</v>
      </c>
      <c r="M14" s="248"/>
      <c r="N14" s="248"/>
      <c r="O14" s="249"/>
      <c r="P14" s="250" t="s">
        <v>125</v>
      </c>
      <c r="Q14" s="251"/>
      <c r="R14" s="251"/>
      <c r="S14" s="252"/>
      <c r="T14" s="253" t="s">
        <v>126</v>
      </c>
      <c r="U14" s="254"/>
      <c r="V14" s="254"/>
      <c r="W14" s="255"/>
      <c r="X14" s="250" t="s">
        <v>127</v>
      </c>
      <c r="Y14" s="251"/>
      <c r="Z14" s="251"/>
      <c r="AA14" s="252"/>
      <c r="AB14" s="256" t="s">
        <v>128</v>
      </c>
      <c r="AC14" s="257"/>
      <c r="AD14" s="257"/>
      <c r="AE14" s="258"/>
      <c r="AF14" s="241" t="s">
        <v>129</v>
      </c>
      <c r="AG14" s="242"/>
      <c r="AH14" s="242"/>
      <c r="AI14" s="243"/>
      <c r="AJ14" s="244" t="s">
        <v>131</v>
      </c>
      <c r="AK14" s="245"/>
      <c r="AL14" s="245"/>
      <c r="AM14" s="245"/>
      <c r="AN14" s="100"/>
      <c r="AO14" s="219" t="s">
        <v>132</v>
      </c>
      <c r="AP14" s="219"/>
      <c r="AQ14" s="219"/>
      <c r="AR14" s="219"/>
      <c r="AS14" s="260" t="s">
        <v>101</v>
      </c>
      <c r="AT14" s="261"/>
      <c r="AU14" s="261"/>
      <c r="AV14" s="261"/>
      <c r="AW14" s="259" t="s">
        <v>138</v>
      </c>
      <c r="AX14" s="259"/>
      <c r="AY14" s="259"/>
      <c r="AZ14" s="259"/>
      <c r="BB14" s="224" t="s">
        <v>139</v>
      </c>
      <c r="BC14" s="225"/>
      <c r="BD14" s="225"/>
      <c r="BE14" s="225"/>
    </row>
    <row r="15" spans="1:57" s="5" customFormat="1" ht="47" customHeight="1" x14ac:dyDescent="0.35">
      <c r="A15" s="10"/>
      <c r="B15" s="1" t="s">
        <v>0</v>
      </c>
      <c r="C15" s="220" t="s">
        <v>4</v>
      </c>
      <c r="D15" s="220"/>
      <c r="E15" s="1" t="s">
        <v>5</v>
      </c>
      <c r="F15" s="1" t="s">
        <v>1</v>
      </c>
      <c r="G15" s="1" t="s">
        <v>2</v>
      </c>
      <c r="H15" s="1" t="s">
        <v>7</v>
      </c>
      <c r="I15" s="1" t="s">
        <v>140</v>
      </c>
      <c r="J15" s="1" t="s">
        <v>143</v>
      </c>
      <c r="K15" s="132" t="s">
        <v>146</v>
      </c>
      <c r="L15" s="1" t="s">
        <v>11</v>
      </c>
      <c r="M15" s="1" t="s">
        <v>12</v>
      </c>
      <c r="N15" s="1" t="s">
        <v>13</v>
      </c>
      <c r="O15" s="60" t="s">
        <v>84</v>
      </c>
      <c r="P15" s="1" t="s">
        <v>11</v>
      </c>
      <c r="Q15" s="1" t="s">
        <v>12</v>
      </c>
      <c r="R15" s="1" t="s">
        <v>13</v>
      </c>
      <c r="S15" s="62" t="s">
        <v>85</v>
      </c>
      <c r="T15" s="1" t="s">
        <v>11</v>
      </c>
      <c r="U15" s="1" t="s">
        <v>12</v>
      </c>
      <c r="V15" s="1" t="s">
        <v>13</v>
      </c>
      <c r="W15" s="61" t="s">
        <v>86</v>
      </c>
      <c r="X15" s="1" t="s">
        <v>11</v>
      </c>
      <c r="Y15" s="1" t="s">
        <v>12</v>
      </c>
      <c r="Z15" s="1" t="s">
        <v>13</v>
      </c>
      <c r="AA15" s="62" t="s">
        <v>87</v>
      </c>
      <c r="AB15" s="1" t="s">
        <v>11</v>
      </c>
      <c r="AC15" s="1" t="s">
        <v>12</v>
      </c>
      <c r="AD15" s="1" t="s">
        <v>13</v>
      </c>
      <c r="AE15" s="64" t="s">
        <v>89</v>
      </c>
      <c r="AF15" s="1" t="s">
        <v>11</v>
      </c>
      <c r="AG15" s="1" t="s">
        <v>12</v>
      </c>
      <c r="AH15" s="1" t="s">
        <v>13</v>
      </c>
      <c r="AI15" s="63" t="s">
        <v>88</v>
      </c>
      <c r="AJ15" s="1" t="s">
        <v>11</v>
      </c>
      <c r="AK15" s="1" t="s">
        <v>12</v>
      </c>
      <c r="AL15" s="1" t="s">
        <v>13</v>
      </c>
      <c r="AM15" s="117" t="s">
        <v>104</v>
      </c>
      <c r="AN15" s="100"/>
      <c r="AO15" s="197" t="s">
        <v>134</v>
      </c>
      <c r="AP15" s="197" t="s">
        <v>135</v>
      </c>
      <c r="AQ15" s="197" t="s">
        <v>136</v>
      </c>
      <c r="AR15" s="197" t="s">
        <v>137</v>
      </c>
      <c r="AS15" s="197" t="s">
        <v>134</v>
      </c>
      <c r="AT15" s="197" t="s">
        <v>135</v>
      </c>
      <c r="AU15" s="197" t="s">
        <v>136</v>
      </c>
      <c r="AV15" s="197" t="s">
        <v>137</v>
      </c>
      <c r="AW15" s="197" t="s">
        <v>134</v>
      </c>
      <c r="AX15" s="197" t="s">
        <v>135</v>
      </c>
      <c r="AY15" s="197" t="s">
        <v>136</v>
      </c>
      <c r="AZ15" s="197" t="s">
        <v>137</v>
      </c>
      <c r="BA15" s="101"/>
      <c r="BB15" s="197" t="s">
        <v>134</v>
      </c>
      <c r="BC15" s="197" t="s">
        <v>135</v>
      </c>
      <c r="BD15" s="197" t="s">
        <v>136</v>
      </c>
      <c r="BE15" s="197" t="s">
        <v>137</v>
      </c>
    </row>
    <row r="16" spans="1:57" ht="26.5" customHeight="1" x14ac:dyDescent="0.35">
      <c r="A16" s="6"/>
      <c r="B16" s="220" t="s">
        <v>15</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1"/>
      <c r="AN16" s="100"/>
      <c r="AO16" s="197"/>
      <c r="AP16" s="197"/>
      <c r="AQ16" s="197"/>
      <c r="AR16" s="197"/>
      <c r="AS16" s="197"/>
      <c r="AT16" s="197"/>
      <c r="AU16" s="197"/>
      <c r="AV16" s="197"/>
      <c r="AW16" s="197"/>
      <c r="AX16" s="197"/>
      <c r="AY16" s="197"/>
      <c r="AZ16" s="197"/>
      <c r="BA16" s="101"/>
      <c r="BB16" s="197"/>
      <c r="BC16" s="197"/>
      <c r="BD16" s="197"/>
      <c r="BE16" s="197"/>
    </row>
    <row r="17" spans="1:57" s="66" customFormat="1" ht="54.75" customHeight="1" x14ac:dyDescent="0.35">
      <c r="A17" s="68"/>
      <c r="B17" s="140">
        <v>1</v>
      </c>
      <c r="C17" s="229" t="s">
        <v>27</v>
      </c>
      <c r="D17" s="229"/>
      <c r="E17" s="102" t="s">
        <v>8</v>
      </c>
      <c r="F17" s="102" t="s">
        <v>6</v>
      </c>
      <c r="G17" s="102">
        <v>1</v>
      </c>
      <c r="H17" s="102">
        <v>12</v>
      </c>
      <c r="I17" s="102" t="s">
        <v>141</v>
      </c>
      <c r="J17" s="102" t="s">
        <v>144</v>
      </c>
      <c r="K17" s="141" t="s">
        <v>148</v>
      </c>
      <c r="L17" s="102">
        <v>28865002</v>
      </c>
      <c r="M17" s="142">
        <f>L17*19%</f>
        <v>5484350.3799999999</v>
      </c>
      <c r="N17" s="102">
        <f>+M17+L17</f>
        <v>34349352.380000003</v>
      </c>
      <c r="O17" s="102">
        <f t="shared" ref="O17:O22" si="0">+N17*H17*G17</f>
        <v>412192228.56000006</v>
      </c>
      <c r="P17" s="102">
        <v>29586073</v>
      </c>
      <c r="Q17" s="142">
        <f>P17*19%</f>
        <v>5621353.8700000001</v>
      </c>
      <c r="R17" s="102">
        <f>+Q17+P17</f>
        <v>35207426.869999997</v>
      </c>
      <c r="S17" s="102">
        <f>+R17*$G17*$H17</f>
        <v>422489122.43999994</v>
      </c>
      <c r="T17" s="102">
        <v>26618459</v>
      </c>
      <c r="U17" s="142">
        <f>T17*19%</f>
        <v>5057507.21</v>
      </c>
      <c r="V17" s="102">
        <f>+U17+T17</f>
        <v>31675966.210000001</v>
      </c>
      <c r="W17" s="102">
        <f>+V17*$G17*$H17</f>
        <v>380111594.51999998</v>
      </c>
      <c r="X17" s="102">
        <v>29038196</v>
      </c>
      <c r="Y17" s="142">
        <f>X17*19%</f>
        <v>5517257.2400000002</v>
      </c>
      <c r="Z17" s="102">
        <f>+Y17+X17</f>
        <v>34555453.240000002</v>
      </c>
      <c r="AA17" s="102">
        <f>+Z17*$G17*$H17</f>
        <v>414665438.88</v>
      </c>
      <c r="AB17" s="102">
        <v>21000000</v>
      </c>
      <c r="AC17" s="142">
        <f>AB17*19%</f>
        <v>3990000</v>
      </c>
      <c r="AD17" s="102">
        <f>+AC17+AB17</f>
        <v>24990000</v>
      </c>
      <c r="AE17" s="149">
        <f>+AD17*$G17*$H17</f>
        <v>299880000</v>
      </c>
      <c r="AF17" s="102">
        <v>42375920</v>
      </c>
      <c r="AG17" s="142">
        <f>AF17*19%</f>
        <v>8051424.7999999998</v>
      </c>
      <c r="AH17" s="102">
        <f>+AG17+AF17</f>
        <v>50427344.799999997</v>
      </c>
      <c r="AI17" s="102">
        <f>+AH17*$G17*$H17</f>
        <v>605128137.5999999</v>
      </c>
      <c r="AJ17" s="102"/>
      <c r="AK17" s="102"/>
      <c r="AL17" s="102"/>
      <c r="AM17" s="102"/>
      <c r="AN17" s="105"/>
      <c r="AO17" s="110">
        <f>ROUND(AVERAGE(L17,P17,T17,X17,AB17,AF17),0)</f>
        <v>29580608</v>
      </c>
      <c r="AP17" s="110">
        <f>+AO17*$AQ$3</f>
        <v>5620315.5200000005</v>
      </c>
      <c r="AQ17" s="110">
        <f>ROUND(AO17*(1+$AQ$3),0)</f>
        <v>35200924</v>
      </c>
      <c r="AR17" s="110">
        <f>AQ17*H17*G17</f>
        <v>422411088</v>
      </c>
      <c r="AS17" s="110">
        <f t="shared" ref="AS17:AS22" si="1">ROUND(GEOMEAN(L17,P17,T17,X17,AB17,AF17),0)</f>
        <v>28939542</v>
      </c>
      <c r="AT17" s="110">
        <f>+AS17*$AQ$3</f>
        <v>5498512.9800000004</v>
      </c>
      <c r="AU17" s="110">
        <f>ROUND(AS17*(1+$AQ$3),0)</f>
        <v>34438055</v>
      </c>
      <c r="AV17" s="110">
        <f t="shared" ref="AV17:AV22" si="2">AU17*H17*G17</f>
        <v>413256660</v>
      </c>
      <c r="AW17" s="110" cm="1">
        <f t="array" ref="AW17">ROUND(AVERAGE(SMALL((AF17,AB17,X17,T17,P17,L17),{1;2;3})),0)</f>
        <v>25494487</v>
      </c>
      <c r="AX17" s="110">
        <f>AW17*$AQ$3</f>
        <v>4843952.53</v>
      </c>
      <c r="AY17" s="110">
        <f>ROUND(AW17*(1+$AQ$3),0)</f>
        <v>30338440</v>
      </c>
      <c r="AZ17" s="110">
        <f t="shared" ref="AZ17:AZ22" si="3">AY17*H17*G17</f>
        <v>364061280</v>
      </c>
      <c r="BA17" s="119"/>
      <c r="BB17" s="119">
        <f>+AS17</f>
        <v>28939542</v>
      </c>
      <c r="BC17" s="119">
        <f>+BB17*$AQ$3</f>
        <v>5498512.9800000004</v>
      </c>
      <c r="BD17" s="119">
        <f>ROUND(BB17*(1+$AQ$3),0)</f>
        <v>34438055</v>
      </c>
      <c r="BE17" s="119">
        <f t="shared" ref="BE17:BE22" si="4">BD17*H17*G17</f>
        <v>413256660</v>
      </c>
    </row>
    <row r="18" spans="1:57" s="66" customFormat="1" ht="73.5" x14ac:dyDescent="0.35">
      <c r="A18" s="68"/>
      <c r="B18" s="140">
        <v>2</v>
      </c>
      <c r="C18" s="229" t="s">
        <v>33</v>
      </c>
      <c r="D18" s="229"/>
      <c r="E18" s="102" t="s">
        <v>8</v>
      </c>
      <c r="F18" s="102" t="s">
        <v>6</v>
      </c>
      <c r="G18" s="102">
        <v>1</v>
      </c>
      <c r="H18" s="102">
        <v>12</v>
      </c>
      <c r="I18" s="102" t="s">
        <v>141</v>
      </c>
      <c r="J18" s="102" t="s">
        <v>144</v>
      </c>
      <c r="K18" s="141" t="s">
        <v>149</v>
      </c>
      <c r="L18" s="102">
        <v>4749884.33</v>
      </c>
      <c r="M18" s="142">
        <f t="shared" ref="M18:M22" si="5">L18*19%</f>
        <v>902478.02269999997</v>
      </c>
      <c r="N18" s="102">
        <f t="shared" ref="N18:N22" si="6">+M18+L18</f>
        <v>5652362.3526999997</v>
      </c>
      <c r="O18" s="102">
        <f t="shared" si="0"/>
        <v>67828348.2324</v>
      </c>
      <c r="P18" s="102">
        <v>4149884</v>
      </c>
      <c r="Q18" s="142">
        <f t="shared" ref="Q18:Q22" si="7">P18*19%</f>
        <v>788477.96</v>
      </c>
      <c r="R18" s="102">
        <f t="shared" ref="R18:R22" si="8">+Q18+P18</f>
        <v>4938361.96</v>
      </c>
      <c r="S18" s="102">
        <f t="shared" ref="S18:S32" si="9">+R18*$G18*$H18</f>
        <v>59260343.519999996</v>
      </c>
      <c r="T18" s="102">
        <v>5349884</v>
      </c>
      <c r="U18" s="142">
        <f t="shared" ref="U18:U22" si="10">T18*19%</f>
        <v>1016477.96</v>
      </c>
      <c r="V18" s="102">
        <f t="shared" ref="V18:V22" si="11">+U18+T18</f>
        <v>6366361.96</v>
      </c>
      <c r="W18" s="102">
        <f t="shared" ref="W18:W32" si="12">+V18*$G18*$H18</f>
        <v>76396343.519999996</v>
      </c>
      <c r="X18" s="102">
        <v>4349884</v>
      </c>
      <c r="Y18" s="142">
        <f t="shared" ref="Y18:Y22" si="13">X18*19%</f>
        <v>826477.96</v>
      </c>
      <c r="Z18" s="102">
        <f t="shared" ref="Z18:Z22" si="14">+Y18+X18</f>
        <v>5176361.96</v>
      </c>
      <c r="AA18" s="102">
        <f t="shared" ref="AA18:AA32" si="15">+Z18*$G18*$H18</f>
        <v>62116343.519999996</v>
      </c>
      <c r="AB18" s="102">
        <v>3700000</v>
      </c>
      <c r="AC18" s="142">
        <f t="shared" ref="AC18:AC22" si="16">AB18*19%</f>
        <v>703000</v>
      </c>
      <c r="AD18" s="102">
        <f t="shared" ref="AD18:AD22" si="17">+AC18+AB18</f>
        <v>4403000</v>
      </c>
      <c r="AE18" s="102">
        <f t="shared" ref="AE18:AE22" si="18">+AD18*$G18*$H18</f>
        <v>52836000</v>
      </c>
      <c r="AF18" s="102">
        <v>15328139</v>
      </c>
      <c r="AG18" s="142">
        <f t="shared" ref="AG18:AG21" si="19">AF18*19%</f>
        <v>2912346.41</v>
      </c>
      <c r="AH18" s="102">
        <f t="shared" ref="AH18:AH21" si="20">+AG18+AF18</f>
        <v>18240485.41</v>
      </c>
      <c r="AI18" s="102">
        <f t="shared" ref="AI18:AI30" si="21">+AH18*$G18*$H18</f>
        <v>218885824.92000002</v>
      </c>
      <c r="AJ18" s="102"/>
      <c r="AK18" s="102"/>
      <c r="AL18" s="102"/>
      <c r="AM18" s="102"/>
      <c r="AN18" s="105"/>
      <c r="AO18" s="110">
        <f>ROUND(AVERAGE(L18,P18,T18,X18,AB18,AF18),0)</f>
        <v>6271279</v>
      </c>
      <c r="AP18" s="110">
        <f t="shared" ref="AP18:AP33" si="22">+AO18*$AQ$3</f>
        <v>1191543.01</v>
      </c>
      <c r="AQ18" s="110">
        <f>ROUND(AO18*(1+$AQ$3),0)</f>
        <v>7462822</v>
      </c>
      <c r="AR18" s="110">
        <f t="shared" ref="AR18:AR22" si="23">AQ18*H18*G18</f>
        <v>89553864</v>
      </c>
      <c r="AS18" s="110">
        <f t="shared" si="1"/>
        <v>5443422</v>
      </c>
      <c r="AT18" s="110">
        <f t="shared" ref="AT18:AT33" si="24">+AS18*$AQ$3</f>
        <v>1034250.18</v>
      </c>
      <c r="AU18" s="110">
        <f t="shared" ref="AU18:AU33" si="25">ROUND(AS18*(1+$AQ$3),0)</f>
        <v>6477672</v>
      </c>
      <c r="AV18" s="110">
        <f t="shared" si="2"/>
        <v>77732064</v>
      </c>
      <c r="AW18" s="110" cm="1">
        <f t="array" ref="AW18">ROUND(AVERAGE(SMALL((AF18,AB18,X18,T18,P18,L18),{1;2;3})),0)</f>
        <v>4066589</v>
      </c>
      <c r="AX18" s="110">
        <f t="shared" ref="AX18:AX33" si="26">AW18*$AQ$3</f>
        <v>772651.91</v>
      </c>
      <c r="AY18" s="110">
        <f t="shared" ref="AY18:AY33" si="27">ROUND(AW18*(1+$AQ$3),0)</f>
        <v>4839241</v>
      </c>
      <c r="AZ18" s="110">
        <f t="shared" si="3"/>
        <v>58070892</v>
      </c>
      <c r="BA18" s="119"/>
      <c r="BB18" s="119">
        <f t="shared" ref="BB18:BB33" si="28">+AS18</f>
        <v>5443422</v>
      </c>
      <c r="BC18" s="119">
        <f t="shared" ref="BC18:BC33" si="29">+BB18*$AQ$3</f>
        <v>1034250.18</v>
      </c>
      <c r="BD18" s="119">
        <f t="shared" ref="BD18:BD33" si="30">ROUND(BB18*(1+$AQ$3),0)</f>
        <v>6477672</v>
      </c>
      <c r="BE18" s="119">
        <f t="shared" si="4"/>
        <v>77732064</v>
      </c>
    </row>
    <row r="19" spans="1:57" s="66" customFormat="1" ht="82" customHeight="1" x14ac:dyDescent="0.35">
      <c r="A19" s="68"/>
      <c r="B19" s="140">
        <v>3</v>
      </c>
      <c r="C19" s="229" t="s">
        <v>92</v>
      </c>
      <c r="D19" s="229"/>
      <c r="E19" s="102" t="s">
        <v>8</v>
      </c>
      <c r="F19" s="102" t="s">
        <v>6</v>
      </c>
      <c r="G19" s="102">
        <v>1</v>
      </c>
      <c r="H19" s="102">
        <v>12</v>
      </c>
      <c r="I19" s="102" t="s">
        <v>141</v>
      </c>
      <c r="J19" s="102" t="s">
        <v>144</v>
      </c>
      <c r="K19" s="141" t="s">
        <v>150</v>
      </c>
      <c r="L19" s="102">
        <v>3262413.25</v>
      </c>
      <c r="M19" s="142">
        <f t="shared" si="5"/>
        <v>619858.51749999996</v>
      </c>
      <c r="N19" s="102">
        <f t="shared" si="6"/>
        <v>3882271.7675000001</v>
      </c>
      <c r="O19" s="102">
        <f t="shared" si="0"/>
        <v>46587261.210000001</v>
      </c>
      <c r="P19" s="102">
        <v>3862413</v>
      </c>
      <c r="Q19" s="142">
        <f t="shared" si="7"/>
        <v>733858.47</v>
      </c>
      <c r="R19" s="102">
        <f t="shared" si="8"/>
        <v>4596271.47</v>
      </c>
      <c r="S19" s="102">
        <f t="shared" si="9"/>
        <v>55155257.640000001</v>
      </c>
      <c r="T19" s="102">
        <v>4262413</v>
      </c>
      <c r="U19" s="142">
        <f t="shared" si="10"/>
        <v>809858.47</v>
      </c>
      <c r="V19" s="102">
        <f t="shared" si="11"/>
        <v>5072271.47</v>
      </c>
      <c r="W19" s="102">
        <f t="shared" si="12"/>
        <v>60867257.640000001</v>
      </c>
      <c r="X19" s="102">
        <v>3262413</v>
      </c>
      <c r="Y19" s="142">
        <f t="shared" si="13"/>
        <v>619858.47</v>
      </c>
      <c r="Z19" s="102">
        <f t="shared" si="14"/>
        <v>3882271.4699999997</v>
      </c>
      <c r="AA19" s="102">
        <f t="shared" si="15"/>
        <v>46587257.640000001</v>
      </c>
      <c r="AB19" s="102">
        <v>3600000</v>
      </c>
      <c r="AC19" s="142">
        <f t="shared" si="16"/>
        <v>684000</v>
      </c>
      <c r="AD19" s="102">
        <f t="shared" si="17"/>
        <v>4284000</v>
      </c>
      <c r="AE19" s="102">
        <f t="shared" si="18"/>
        <v>51408000</v>
      </c>
      <c r="AF19" s="102">
        <v>24408365</v>
      </c>
      <c r="AG19" s="142">
        <f t="shared" si="19"/>
        <v>4637589.3499999996</v>
      </c>
      <c r="AH19" s="102">
        <f t="shared" si="20"/>
        <v>29045954.350000001</v>
      </c>
      <c r="AI19" s="102">
        <f t="shared" si="21"/>
        <v>348551452.20000005</v>
      </c>
      <c r="AJ19" s="102"/>
      <c r="AK19" s="102"/>
      <c r="AL19" s="102"/>
      <c r="AM19" s="102"/>
      <c r="AN19" s="105"/>
      <c r="AO19" s="110">
        <f t="shared" ref="AO19:AO30" si="31">ROUND(AVERAGE(L19,P19,T19,X19,AB19,AF19),0)</f>
        <v>7109670</v>
      </c>
      <c r="AP19" s="110">
        <f t="shared" si="22"/>
        <v>1350837.3</v>
      </c>
      <c r="AQ19" s="110">
        <f t="shared" ref="AQ19:AQ33" si="32">ROUND(AO19*(1+$AQ$3),0)</f>
        <v>8460507</v>
      </c>
      <c r="AR19" s="110">
        <f t="shared" si="23"/>
        <v>101526084</v>
      </c>
      <c r="AS19" s="110">
        <f t="shared" si="1"/>
        <v>4987760</v>
      </c>
      <c r="AT19" s="110">
        <f t="shared" si="24"/>
        <v>947674.4</v>
      </c>
      <c r="AU19" s="110">
        <f t="shared" si="25"/>
        <v>5935434</v>
      </c>
      <c r="AV19" s="110">
        <f t="shared" si="2"/>
        <v>71225208</v>
      </c>
      <c r="AW19" s="110" cm="1">
        <f t="array" ref="AW19">ROUND(AVERAGE(SMALL((AF19,AB19,X19,T19,P19,L19),{1;2;3})),0)</f>
        <v>3374942</v>
      </c>
      <c r="AX19" s="110">
        <f t="shared" si="26"/>
        <v>641238.98</v>
      </c>
      <c r="AY19" s="110">
        <f t="shared" si="27"/>
        <v>4016181</v>
      </c>
      <c r="AZ19" s="110">
        <f t="shared" si="3"/>
        <v>48194172</v>
      </c>
      <c r="BA19" s="119"/>
      <c r="BB19" s="119">
        <f t="shared" si="28"/>
        <v>4987760</v>
      </c>
      <c r="BC19" s="119">
        <f t="shared" si="29"/>
        <v>947674.4</v>
      </c>
      <c r="BD19" s="119">
        <f t="shared" si="30"/>
        <v>5935434</v>
      </c>
      <c r="BE19" s="119">
        <f t="shared" si="4"/>
        <v>71225208</v>
      </c>
    </row>
    <row r="20" spans="1:57" s="66" customFormat="1" ht="26.5" customHeight="1" x14ac:dyDescent="0.35">
      <c r="A20" s="68"/>
      <c r="B20" s="231">
        <v>4</v>
      </c>
      <c r="C20" s="229" t="s">
        <v>40</v>
      </c>
      <c r="D20" s="143" t="s">
        <v>42</v>
      </c>
      <c r="E20" s="102" t="s">
        <v>8</v>
      </c>
      <c r="F20" s="102" t="s">
        <v>6</v>
      </c>
      <c r="G20" s="102">
        <v>1</v>
      </c>
      <c r="H20" s="102">
        <v>1</v>
      </c>
      <c r="I20" s="102" t="s">
        <v>142</v>
      </c>
      <c r="J20" s="102" t="s">
        <v>145</v>
      </c>
      <c r="K20" s="141" t="s">
        <v>152</v>
      </c>
      <c r="L20" s="102">
        <v>9566700</v>
      </c>
      <c r="M20" s="142">
        <f t="shared" si="5"/>
        <v>1817673</v>
      </c>
      <c r="N20" s="102">
        <f t="shared" si="6"/>
        <v>11384373</v>
      </c>
      <c r="O20" s="102">
        <f t="shared" si="0"/>
        <v>11384373</v>
      </c>
      <c r="P20" s="102">
        <v>66226700</v>
      </c>
      <c r="Q20" s="142">
        <f t="shared" si="7"/>
        <v>12583073</v>
      </c>
      <c r="R20" s="102">
        <f t="shared" si="8"/>
        <v>78809773</v>
      </c>
      <c r="S20" s="102">
        <f t="shared" si="9"/>
        <v>78809773</v>
      </c>
      <c r="T20" s="102">
        <v>66666700</v>
      </c>
      <c r="U20" s="142">
        <f t="shared" si="10"/>
        <v>12666673</v>
      </c>
      <c r="V20" s="102">
        <f t="shared" si="11"/>
        <v>79333373</v>
      </c>
      <c r="W20" s="102">
        <f t="shared" si="12"/>
        <v>79333373</v>
      </c>
      <c r="X20" s="102">
        <v>66666700</v>
      </c>
      <c r="Y20" s="142">
        <f t="shared" si="13"/>
        <v>12666673</v>
      </c>
      <c r="Z20" s="102">
        <f t="shared" si="14"/>
        <v>79333373</v>
      </c>
      <c r="AA20" s="102">
        <f t="shared" si="15"/>
        <v>79333373</v>
      </c>
      <c r="AB20" s="102">
        <v>63000000</v>
      </c>
      <c r="AC20" s="142">
        <f t="shared" si="16"/>
        <v>11970000</v>
      </c>
      <c r="AD20" s="102">
        <f t="shared" si="17"/>
        <v>74970000</v>
      </c>
      <c r="AE20" s="102">
        <f t="shared" si="18"/>
        <v>74970000</v>
      </c>
      <c r="AF20" s="102">
        <v>652825023</v>
      </c>
      <c r="AG20" s="142">
        <f t="shared" si="19"/>
        <v>124036754.37</v>
      </c>
      <c r="AH20" s="102">
        <f t="shared" si="20"/>
        <v>776861777.37</v>
      </c>
      <c r="AI20" s="102">
        <f t="shared" si="21"/>
        <v>776861777.37</v>
      </c>
      <c r="AJ20" s="102"/>
      <c r="AK20" s="102"/>
      <c r="AL20" s="102"/>
      <c r="AM20" s="102"/>
      <c r="AN20" s="105"/>
      <c r="AO20" s="110">
        <f t="shared" si="31"/>
        <v>154158637</v>
      </c>
      <c r="AP20" s="110">
        <f t="shared" si="22"/>
        <v>29290141.030000001</v>
      </c>
      <c r="AQ20" s="110">
        <f t="shared" si="32"/>
        <v>183448778</v>
      </c>
      <c r="AR20" s="110">
        <f t="shared" si="23"/>
        <v>183448778</v>
      </c>
      <c r="AS20" s="110">
        <f t="shared" si="1"/>
        <v>69816556</v>
      </c>
      <c r="AT20" s="110">
        <f t="shared" si="24"/>
        <v>13265145.640000001</v>
      </c>
      <c r="AU20" s="110">
        <f t="shared" si="25"/>
        <v>83081702</v>
      </c>
      <c r="AV20" s="110">
        <f t="shared" si="2"/>
        <v>83081702</v>
      </c>
      <c r="AW20" s="110" cm="1">
        <f t="array" ref="AW20">ROUND(AVERAGE(SMALL((AF20,AB20,X20,T20,P20,L20),{1;2;3})),0)</f>
        <v>46264467</v>
      </c>
      <c r="AX20" s="110">
        <f t="shared" si="26"/>
        <v>8790248.7300000004</v>
      </c>
      <c r="AY20" s="110">
        <f t="shared" si="27"/>
        <v>55054716</v>
      </c>
      <c r="AZ20" s="110">
        <f t="shared" si="3"/>
        <v>55054716</v>
      </c>
      <c r="BA20" s="119"/>
      <c r="BB20" s="119">
        <f t="shared" si="28"/>
        <v>69816556</v>
      </c>
      <c r="BC20" s="119">
        <f t="shared" si="29"/>
        <v>13265145.640000001</v>
      </c>
      <c r="BD20" s="119">
        <f t="shared" si="30"/>
        <v>83081702</v>
      </c>
      <c r="BE20" s="119">
        <f t="shared" si="4"/>
        <v>83081702</v>
      </c>
    </row>
    <row r="21" spans="1:57" s="66" customFormat="1" ht="32.5" customHeight="1" x14ac:dyDescent="0.35">
      <c r="A21" s="68"/>
      <c r="B21" s="231"/>
      <c r="C21" s="229"/>
      <c r="D21" s="143" t="s">
        <v>45</v>
      </c>
      <c r="E21" s="102" t="s">
        <v>8</v>
      </c>
      <c r="F21" s="102" t="s">
        <v>6</v>
      </c>
      <c r="G21" s="102">
        <v>1</v>
      </c>
      <c r="H21" s="102">
        <v>1</v>
      </c>
      <c r="I21" s="102" t="s">
        <v>142</v>
      </c>
      <c r="J21" s="102" t="s">
        <v>145</v>
      </c>
      <c r="K21" s="141" t="s">
        <v>152</v>
      </c>
      <c r="L21" s="102">
        <v>116666667</v>
      </c>
      <c r="M21" s="142">
        <f t="shared" si="5"/>
        <v>22166666.73</v>
      </c>
      <c r="N21" s="102">
        <f t="shared" si="6"/>
        <v>138833333.72999999</v>
      </c>
      <c r="O21" s="102">
        <f t="shared" si="0"/>
        <v>138833333.72999999</v>
      </c>
      <c r="P21" s="102">
        <v>116666667</v>
      </c>
      <c r="Q21" s="142">
        <f t="shared" si="7"/>
        <v>22166666.73</v>
      </c>
      <c r="R21" s="102">
        <f t="shared" si="8"/>
        <v>138833333.72999999</v>
      </c>
      <c r="S21" s="102">
        <f t="shared" si="9"/>
        <v>138833333.72999999</v>
      </c>
      <c r="T21" s="102">
        <v>116666667</v>
      </c>
      <c r="U21" s="142">
        <f t="shared" si="10"/>
        <v>22166666.73</v>
      </c>
      <c r="V21" s="102">
        <f t="shared" si="11"/>
        <v>138833333.72999999</v>
      </c>
      <c r="W21" s="102">
        <f t="shared" si="12"/>
        <v>138833333.72999999</v>
      </c>
      <c r="X21" s="102">
        <v>116666667</v>
      </c>
      <c r="Y21" s="142">
        <f t="shared" si="13"/>
        <v>22166666.73</v>
      </c>
      <c r="Z21" s="102">
        <f t="shared" si="14"/>
        <v>138833333.72999999</v>
      </c>
      <c r="AA21" s="102">
        <f t="shared" si="15"/>
        <v>138833333.72999999</v>
      </c>
      <c r="AB21" s="102">
        <v>6500000</v>
      </c>
      <c r="AC21" s="142">
        <f t="shared" si="16"/>
        <v>1235000</v>
      </c>
      <c r="AD21" s="102">
        <f t="shared" si="17"/>
        <v>7735000</v>
      </c>
      <c r="AE21" s="102">
        <f t="shared" si="18"/>
        <v>7735000</v>
      </c>
      <c r="AF21" s="102">
        <v>36572830</v>
      </c>
      <c r="AG21" s="142">
        <f t="shared" si="19"/>
        <v>6948837.7000000002</v>
      </c>
      <c r="AH21" s="102">
        <f t="shared" si="20"/>
        <v>43521667.700000003</v>
      </c>
      <c r="AI21" s="102">
        <f t="shared" si="21"/>
        <v>43521667.700000003</v>
      </c>
      <c r="AJ21" s="102"/>
      <c r="AK21" s="102"/>
      <c r="AL21" s="102"/>
      <c r="AM21" s="102"/>
      <c r="AN21" s="105"/>
      <c r="AO21" s="110">
        <f t="shared" si="31"/>
        <v>84956583</v>
      </c>
      <c r="AP21" s="110">
        <f t="shared" si="22"/>
        <v>16141750.77</v>
      </c>
      <c r="AQ21" s="110">
        <f t="shared" si="32"/>
        <v>101098334</v>
      </c>
      <c r="AR21" s="110">
        <f t="shared" si="23"/>
        <v>101098334</v>
      </c>
      <c r="AS21" s="110">
        <f t="shared" si="1"/>
        <v>59426002</v>
      </c>
      <c r="AT21" s="110">
        <f t="shared" si="24"/>
        <v>11290940.380000001</v>
      </c>
      <c r="AU21" s="110">
        <f t="shared" si="25"/>
        <v>70716942</v>
      </c>
      <c r="AV21" s="110">
        <f t="shared" si="2"/>
        <v>70716942</v>
      </c>
      <c r="AW21" s="110" cm="1">
        <f t="array" ref="AW21">ROUND(AVERAGE(SMALL((AF21,AB21,X21,T21,P21,L21),{1;2;3})),0)</f>
        <v>53246499</v>
      </c>
      <c r="AX21" s="110">
        <f t="shared" si="26"/>
        <v>10116834.810000001</v>
      </c>
      <c r="AY21" s="110">
        <f t="shared" si="27"/>
        <v>63363334</v>
      </c>
      <c r="AZ21" s="110">
        <f t="shared" si="3"/>
        <v>63363334</v>
      </c>
      <c r="BA21" s="119"/>
      <c r="BB21" s="119">
        <f t="shared" si="28"/>
        <v>59426002</v>
      </c>
      <c r="BC21" s="119">
        <f t="shared" si="29"/>
        <v>11290940.380000001</v>
      </c>
      <c r="BD21" s="119">
        <f t="shared" si="30"/>
        <v>70716942</v>
      </c>
      <c r="BE21" s="119">
        <f t="shared" si="4"/>
        <v>70716942</v>
      </c>
    </row>
    <row r="22" spans="1:57" s="66" customFormat="1" ht="34" customHeight="1" x14ac:dyDescent="0.35">
      <c r="A22" s="68"/>
      <c r="B22" s="231"/>
      <c r="C22" s="229"/>
      <c r="D22" s="143" t="s">
        <v>47</v>
      </c>
      <c r="E22" s="102" t="s">
        <v>8</v>
      </c>
      <c r="F22" s="102" t="s">
        <v>6</v>
      </c>
      <c r="G22" s="102">
        <v>10</v>
      </c>
      <c r="H22" s="102">
        <v>1</v>
      </c>
      <c r="I22" s="102" t="s">
        <v>142</v>
      </c>
      <c r="J22" s="102" t="s">
        <v>145</v>
      </c>
      <c r="K22" s="141" t="s">
        <v>147</v>
      </c>
      <c r="L22" s="102">
        <v>1333334</v>
      </c>
      <c r="M22" s="142">
        <f t="shared" si="5"/>
        <v>253333.46</v>
      </c>
      <c r="N22" s="102">
        <f t="shared" si="6"/>
        <v>1586667.46</v>
      </c>
      <c r="O22" s="102">
        <f t="shared" si="0"/>
        <v>15866674.6</v>
      </c>
      <c r="P22" s="102">
        <v>1322334</v>
      </c>
      <c r="Q22" s="142">
        <f t="shared" si="7"/>
        <v>251243.46</v>
      </c>
      <c r="R22" s="102">
        <f t="shared" si="8"/>
        <v>1573577.46</v>
      </c>
      <c r="S22" s="102">
        <f t="shared" si="9"/>
        <v>15735774.6</v>
      </c>
      <c r="T22" s="102">
        <v>1733334</v>
      </c>
      <c r="U22" s="142">
        <f t="shared" si="10"/>
        <v>329333.46000000002</v>
      </c>
      <c r="V22" s="102">
        <f t="shared" si="11"/>
        <v>2062667.46</v>
      </c>
      <c r="W22" s="102">
        <f t="shared" si="12"/>
        <v>20626674.600000001</v>
      </c>
      <c r="X22" s="102">
        <v>1333334</v>
      </c>
      <c r="Y22" s="142">
        <f t="shared" si="13"/>
        <v>253333.46</v>
      </c>
      <c r="Z22" s="102">
        <f t="shared" si="14"/>
        <v>1586667.46</v>
      </c>
      <c r="AA22" s="102">
        <f t="shared" si="15"/>
        <v>15866674.6</v>
      </c>
      <c r="AB22" s="102">
        <v>2430000</v>
      </c>
      <c r="AC22" s="142">
        <f t="shared" si="16"/>
        <v>461700</v>
      </c>
      <c r="AD22" s="102">
        <f t="shared" si="17"/>
        <v>2891700</v>
      </c>
      <c r="AE22" s="102">
        <f t="shared" si="18"/>
        <v>28917000</v>
      </c>
      <c r="AF22" s="102">
        <f>AH22/1.19</f>
        <v>4219942.4000000004</v>
      </c>
      <c r="AG22" s="142">
        <f>AF22*0.19</f>
        <v>801789.0560000001</v>
      </c>
      <c r="AH22" s="102">
        <f>AI22/10</f>
        <v>5021731.4560000002</v>
      </c>
      <c r="AI22" s="102">
        <v>50217314.560000002</v>
      </c>
      <c r="AJ22" s="102"/>
      <c r="AK22" s="102"/>
      <c r="AL22" s="102"/>
      <c r="AM22" s="102"/>
      <c r="AN22" s="105"/>
      <c r="AO22" s="110">
        <f t="shared" si="31"/>
        <v>2062046</v>
      </c>
      <c r="AP22" s="110">
        <f t="shared" si="22"/>
        <v>391788.74</v>
      </c>
      <c r="AQ22" s="110">
        <f t="shared" si="32"/>
        <v>2453835</v>
      </c>
      <c r="AR22" s="110">
        <f t="shared" si="23"/>
        <v>24538350</v>
      </c>
      <c r="AS22" s="110">
        <f t="shared" si="1"/>
        <v>1862812</v>
      </c>
      <c r="AT22" s="110">
        <f t="shared" si="24"/>
        <v>353934.28</v>
      </c>
      <c r="AU22" s="110">
        <f t="shared" si="25"/>
        <v>2216746</v>
      </c>
      <c r="AV22" s="110">
        <f t="shared" si="2"/>
        <v>22167460</v>
      </c>
      <c r="AW22" s="110" cm="1">
        <f t="array" ref="AW22">ROUND(AVERAGE(SMALL((AF22,AB22,X22,T22,P22,L22),{1;2;3})),0)</f>
        <v>1329667</v>
      </c>
      <c r="AX22" s="110">
        <f t="shared" si="26"/>
        <v>252636.73</v>
      </c>
      <c r="AY22" s="110">
        <f t="shared" si="27"/>
        <v>1582304</v>
      </c>
      <c r="AZ22" s="110">
        <f t="shared" si="3"/>
        <v>15823040</v>
      </c>
      <c r="BA22" s="119"/>
      <c r="BB22" s="119">
        <f t="shared" si="28"/>
        <v>1862812</v>
      </c>
      <c r="BC22" s="119">
        <f t="shared" si="29"/>
        <v>353934.28</v>
      </c>
      <c r="BD22" s="119">
        <f t="shared" si="30"/>
        <v>2216746</v>
      </c>
      <c r="BE22" s="119">
        <f t="shared" si="4"/>
        <v>22167460</v>
      </c>
    </row>
    <row r="23" spans="1:57" s="66" customFormat="1" ht="24" customHeight="1" x14ac:dyDescent="0.35">
      <c r="A23" s="68"/>
      <c r="B23" s="246" t="s">
        <v>78</v>
      </c>
      <c r="C23" s="246"/>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6"/>
      <c r="AM23" s="246"/>
      <c r="AN23" s="114"/>
      <c r="AO23" s="67"/>
      <c r="AP23" s="67"/>
      <c r="AQ23" s="67"/>
      <c r="AR23" s="67"/>
      <c r="AS23" s="67"/>
      <c r="AT23" s="67"/>
      <c r="AU23" s="67"/>
      <c r="AV23" s="67"/>
      <c r="AW23" s="67"/>
      <c r="AX23" s="67"/>
      <c r="AY23" s="67"/>
      <c r="AZ23" s="67"/>
      <c r="BA23" s="120"/>
      <c r="BB23" s="119"/>
      <c r="BC23" s="120"/>
      <c r="BD23" s="120"/>
      <c r="BE23" s="120"/>
    </row>
    <row r="24" spans="1:57" s="66" customFormat="1" ht="73.5" x14ac:dyDescent="0.35">
      <c r="A24" s="68"/>
      <c r="B24" s="140">
        <v>5</v>
      </c>
      <c r="C24" s="229" t="s">
        <v>50</v>
      </c>
      <c r="D24" s="229"/>
      <c r="E24" s="102" t="s">
        <v>8</v>
      </c>
      <c r="F24" s="102" t="s">
        <v>6</v>
      </c>
      <c r="G24" s="102">
        <v>1</v>
      </c>
      <c r="H24" s="102">
        <v>2</v>
      </c>
      <c r="I24" s="102" t="s">
        <v>141</v>
      </c>
      <c r="J24" s="102" t="s">
        <v>144</v>
      </c>
      <c r="K24" s="141" t="s">
        <v>151</v>
      </c>
      <c r="L24" s="102">
        <v>26397232</v>
      </c>
      <c r="M24" s="142">
        <f>L24*19%</f>
        <v>5015474.08</v>
      </c>
      <c r="N24" s="102">
        <f>+M24+L24</f>
        <v>31412706.079999998</v>
      </c>
      <c r="O24" s="102">
        <f t="shared" ref="O24:O30" si="33">+N24*H24*G24</f>
        <v>62825412.159999996</v>
      </c>
      <c r="P24" s="102">
        <v>24669615</v>
      </c>
      <c r="Q24" s="142">
        <f>P24*19%</f>
        <v>4687226.8499999996</v>
      </c>
      <c r="R24" s="102">
        <f>+Q24+P24</f>
        <v>29356841.850000001</v>
      </c>
      <c r="S24" s="102">
        <f t="shared" si="9"/>
        <v>58713683.700000003</v>
      </c>
      <c r="T24" s="102">
        <v>28170390</v>
      </c>
      <c r="U24" s="142">
        <f>T24*19%</f>
        <v>5352374.0999999996</v>
      </c>
      <c r="V24" s="102">
        <f>+U24+T24</f>
        <v>33522764.100000001</v>
      </c>
      <c r="W24" s="102">
        <f t="shared" si="12"/>
        <v>67045528.200000003</v>
      </c>
      <c r="X24" s="102">
        <v>25539556</v>
      </c>
      <c r="Y24" s="142">
        <f>X24*19%</f>
        <v>4852515.6399999997</v>
      </c>
      <c r="Z24" s="102">
        <f>+Y24+X24</f>
        <v>30392071.640000001</v>
      </c>
      <c r="AA24" s="102">
        <f t="shared" si="15"/>
        <v>60784143.280000001</v>
      </c>
      <c r="AB24" s="102">
        <v>8000000</v>
      </c>
      <c r="AC24" s="142">
        <f>AB24*19%</f>
        <v>1520000</v>
      </c>
      <c r="AD24" s="102">
        <f>+AC24+AB24</f>
        <v>9520000</v>
      </c>
      <c r="AE24" s="102">
        <f t="shared" ref="AE24:AE27" si="34">+AD24*$G24*$H24</f>
        <v>19040000</v>
      </c>
      <c r="AF24" s="102">
        <v>22052477</v>
      </c>
      <c r="AG24" s="142">
        <f>AF24*19%</f>
        <v>4189970.63</v>
      </c>
      <c r="AH24" s="102">
        <f>+AG24+AF24</f>
        <v>26242447.629999999</v>
      </c>
      <c r="AI24" s="102">
        <f t="shared" si="21"/>
        <v>52484895.259999998</v>
      </c>
      <c r="AJ24" s="102"/>
      <c r="AK24" s="102"/>
      <c r="AL24" s="102"/>
      <c r="AM24" s="102"/>
      <c r="AN24" s="105"/>
      <c r="AO24" s="110">
        <f t="shared" si="31"/>
        <v>22471545</v>
      </c>
      <c r="AP24" s="110">
        <f t="shared" si="22"/>
        <v>4269593.55</v>
      </c>
      <c r="AQ24" s="110">
        <f t="shared" si="32"/>
        <v>26741139</v>
      </c>
      <c r="AR24" s="110">
        <f>AQ24*H24*G24</f>
        <v>53482278</v>
      </c>
      <c r="AS24" s="110">
        <f t="shared" ref="AS24:AS32" si="35">ROUND(GEOMEAN(L24,P24,T24,X24,AB24,AF24),0)</f>
        <v>20871118</v>
      </c>
      <c r="AT24" s="110">
        <f t="shared" si="24"/>
        <v>3965512.42</v>
      </c>
      <c r="AU24" s="110">
        <f t="shared" si="25"/>
        <v>24836630</v>
      </c>
      <c r="AV24" s="110">
        <f>AU24*H24*G24</f>
        <v>49673260</v>
      </c>
      <c r="AW24" s="110" cm="1">
        <f t="array" ref="AW24">ROUND(AVERAGE(SMALL((AF24,AB24,X24,T24,P24,L24),{1;2;3})),0)</f>
        <v>18240697</v>
      </c>
      <c r="AX24" s="110">
        <f t="shared" si="26"/>
        <v>3465732.43</v>
      </c>
      <c r="AY24" s="110">
        <f t="shared" si="27"/>
        <v>21706429</v>
      </c>
      <c r="AZ24" s="110">
        <f>AY24*H24*G24</f>
        <v>43412858</v>
      </c>
      <c r="BA24" s="119"/>
      <c r="BB24" s="119">
        <f t="shared" si="28"/>
        <v>20871118</v>
      </c>
      <c r="BC24" s="119">
        <f t="shared" si="29"/>
        <v>3965512.42</v>
      </c>
      <c r="BD24" s="119">
        <f t="shared" si="30"/>
        <v>24836630</v>
      </c>
      <c r="BE24" s="119">
        <f>BD24*H24*G24</f>
        <v>49673260</v>
      </c>
    </row>
    <row r="25" spans="1:57" s="66" customFormat="1" ht="31.5" x14ac:dyDescent="0.35">
      <c r="A25" s="68"/>
      <c r="B25" s="231">
        <v>6</v>
      </c>
      <c r="C25" s="229" t="s">
        <v>54</v>
      </c>
      <c r="D25" s="102" t="s">
        <v>55</v>
      </c>
      <c r="E25" s="102" t="s">
        <v>8</v>
      </c>
      <c r="F25" s="102" t="s">
        <v>6</v>
      </c>
      <c r="G25" s="102">
        <v>2</v>
      </c>
      <c r="H25" s="102">
        <v>12</v>
      </c>
      <c r="I25" s="102" t="s">
        <v>142</v>
      </c>
      <c r="J25" s="102" t="s">
        <v>145</v>
      </c>
      <c r="K25" s="141" t="s">
        <v>147</v>
      </c>
      <c r="L25" s="102">
        <v>6743759.5</v>
      </c>
      <c r="M25" s="142">
        <f t="shared" ref="M25:M30" si="36">L25*19%</f>
        <v>1281314.3049999999</v>
      </c>
      <c r="N25" s="102">
        <f t="shared" ref="N25:N30" si="37">+M25+L25</f>
        <v>8025073.8049999997</v>
      </c>
      <c r="O25" s="102">
        <f t="shared" si="33"/>
        <v>192601771.31999999</v>
      </c>
      <c r="P25" s="102">
        <v>5208659</v>
      </c>
      <c r="Q25" s="142">
        <f t="shared" ref="Q25:Q30" si="38">P25*19%</f>
        <v>989645.21</v>
      </c>
      <c r="R25" s="102">
        <f t="shared" ref="R25:R30" si="39">+Q25+P25</f>
        <v>6198304.21</v>
      </c>
      <c r="S25" s="102">
        <f t="shared" si="9"/>
        <v>148759301.03999999</v>
      </c>
      <c r="T25" s="102">
        <v>5895691</v>
      </c>
      <c r="U25" s="142">
        <f t="shared" ref="U25:U30" si="40">T25*19%</f>
        <v>1120181.29</v>
      </c>
      <c r="V25" s="102">
        <f t="shared" ref="V25:V30" si="41">+U25+T25</f>
        <v>7015872.29</v>
      </c>
      <c r="W25" s="102">
        <f t="shared" si="12"/>
        <v>168380934.96000001</v>
      </c>
      <c r="X25" s="102">
        <v>5779228</v>
      </c>
      <c r="Y25" s="142">
        <f t="shared" ref="Y25:Y30" si="42">X25*19%</f>
        <v>1098053.32</v>
      </c>
      <c r="Z25" s="102">
        <f t="shared" ref="Z25:Z30" si="43">+Y25+X25</f>
        <v>6877281.3200000003</v>
      </c>
      <c r="AA25" s="102">
        <f t="shared" si="15"/>
        <v>165054751.68000001</v>
      </c>
      <c r="AB25" s="102">
        <v>14800000</v>
      </c>
      <c r="AC25" s="142">
        <f t="shared" ref="AC25:AC28" si="44">AB25*19%</f>
        <v>2812000</v>
      </c>
      <c r="AD25" s="102">
        <f t="shared" ref="AD25:AD28" si="45">+AC25+AB25</f>
        <v>17612000</v>
      </c>
      <c r="AE25" s="102">
        <f t="shared" si="34"/>
        <v>422688000</v>
      </c>
      <c r="AF25" s="102">
        <f>141233445/H25</f>
        <v>11769453.75</v>
      </c>
      <c r="AG25" s="142">
        <f t="shared" ref="AG25:AG28" si="46">AF25*19%</f>
        <v>2236196.2124999999</v>
      </c>
      <c r="AH25" s="102">
        <f t="shared" ref="AH25:AH28" si="47">+AG25+AF25</f>
        <v>14005649.9625</v>
      </c>
      <c r="AI25" s="102">
        <f t="shared" si="21"/>
        <v>336135599.10000002</v>
      </c>
      <c r="AJ25" s="102"/>
      <c r="AK25" s="102"/>
      <c r="AL25" s="102"/>
      <c r="AM25" s="102"/>
      <c r="AN25" s="105"/>
      <c r="AO25" s="110">
        <f t="shared" si="31"/>
        <v>8366132</v>
      </c>
      <c r="AP25" s="110">
        <f t="shared" si="22"/>
        <v>1589565.08</v>
      </c>
      <c r="AQ25" s="110">
        <f t="shared" si="32"/>
        <v>9955697</v>
      </c>
      <c r="AR25" s="110">
        <f>AQ25*H25*G25</f>
        <v>238936728</v>
      </c>
      <c r="AS25" s="110">
        <f t="shared" si="35"/>
        <v>7700314</v>
      </c>
      <c r="AT25" s="110">
        <f t="shared" si="24"/>
        <v>1463059.66</v>
      </c>
      <c r="AU25" s="110">
        <f t="shared" si="25"/>
        <v>9163374</v>
      </c>
      <c r="AV25" s="110">
        <f>AU25*H25*G25</f>
        <v>219920976</v>
      </c>
      <c r="AW25" s="110" cm="1">
        <f t="array" ref="AW25">ROUND(AVERAGE(SMALL((AF25,AB25,X25,T25,P25,L25),{1;2;3})),0)</f>
        <v>5627859</v>
      </c>
      <c r="AX25" s="110">
        <f t="shared" si="26"/>
        <v>1069293.21</v>
      </c>
      <c r="AY25" s="110">
        <f t="shared" si="27"/>
        <v>6697152</v>
      </c>
      <c r="AZ25" s="110">
        <f>AY25*H25*G25</f>
        <v>160731648</v>
      </c>
      <c r="BA25" s="119"/>
      <c r="BB25" s="119">
        <f t="shared" si="28"/>
        <v>7700314</v>
      </c>
      <c r="BC25" s="119">
        <f t="shared" si="29"/>
        <v>1463059.66</v>
      </c>
      <c r="BD25" s="119">
        <f t="shared" si="30"/>
        <v>9163374</v>
      </c>
      <c r="BE25" s="119">
        <f>BD25*H25*G25</f>
        <v>219920976</v>
      </c>
    </row>
    <row r="26" spans="1:57" s="66" customFormat="1" ht="31.5" x14ac:dyDescent="0.35">
      <c r="A26" s="68"/>
      <c r="B26" s="231"/>
      <c r="C26" s="229"/>
      <c r="D26" s="102" t="s">
        <v>58</v>
      </c>
      <c r="E26" s="102" t="s">
        <v>8</v>
      </c>
      <c r="F26" s="102" t="s">
        <v>6</v>
      </c>
      <c r="G26" s="102">
        <v>2</v>
      </c>
      <c r="H26" s="102">
        <v>12</v>
      </c>
      <c r="I26" s="102" t="s">
        <v>142</v>
      </c>
      <c r="J26" s="102" t="s">
        <v>145</v>
      </c>
      <c r="K26" s="141" t="s">
        <v>147</v>
      </c>
      <c r="L26" s="102">
        <v>9816560.5999999996</v>
      </c>
      <c r="M26" s="142">
        <f t="shared" si="36"/>
        <v>1865146.514</v>
      </c>
      <c r="N26" s="102">
        <f t="shared" si="37"/>
        <v>11681707.114</v>
      </c>
      <c r="O26" s="102">
        <f t="shared" si="33"/>
        <v>280360970.736</v>
      </c>
      <c r="P26" s="102">
        <v>9319077</v>
      </c>
      <c r="Q26" s="142">
        <f t="shared" si="38"/>
        <v>1770624.6300000001</v>
      </c>
      <c r="R26" s="102">
        <f t="shared" si="39"/>
        <v>11089701.630000001</v>
      </c>
      <c r="S26" s="102">
        <f t="shared" si="9"/>
        <v>266152839.12</v>
      </c>
      <c r="T26" s="102">
        <v>8837838</v>
      </c>
      <c r="U26" s="142">
        <f t="shared" si="40"/>
        <v>1679189.22</v>
      </c>
      <c r="V26" s="102">
        <f t="shared" si="41"/>
        <v>10517027.220000001</v>
      </c>
      <c r="W26" s="102">
        <f t="shared" si="12"/>
        <v>252408653.28000003</v>
      </c>
      <c r="X26" s="102">
        <v>9271860</v>
      </c>
      <c r="Y26" s="142">
        <f t="shared" si="42"/>
        <v>1761653.4</v>
      </c>
      <c r="Z26" s="102">
        <f t="shared" si="43"/>
        <v>11033513.4</v>
      </c>
      <c r="AA26" s="102">
        <f t="shared" si="15"/>
        <v>264804321.60000002</v>
      </c>
      <c r="AB26" s="102">
        <v>14300000</v>
      </c>
      <c r="AC26" s="142">
        <f t="shared" si="44"/>
        <v>2717000</v>
      </c>
      <c r="AD26" s="102">
        <f t="shared" si="45"/>
        <v>17017000</v>
      </c>
      <c r="AE26" s="102">
        <f t="shared" si="34"/>
        <v>408408000</v>
      </c>
      <c r="AF26" s="102">
        <f>157502966/H26</f>
        <v>13125247.166666666</v>
      </c>
      <c r="AG26" s="142">
        <f t="shared" si="46"/>
        <v>2493796.9616666664</v>
      </c>
      <c r="AH26" s="102">
        <f t="shared" si="47"/>
        <v>15619044.128333332</v>
      </c>
      <c r="AI26" s="102">
        <f t="shared" si="21"/>
        <v>374857059.07999998</v>
      </c>
      <c r="AJ26" s="102"/>
      <c r="AK26" s="102"/>
      <c r="AL26" s="102"/>
      <c r="AM26" s="102"/>
      <c r="AN26" s="105"/>
      <c r="AO26" s="110">
        <f t="shared" si="31"/>
        <v>10778430</v>
      </c>
      <c r="AP26" s="110">
        <f t="shared" si="22"/>
        <v>2047901.7</v>
      </c>
      <c r="AQ26" s="110">
        <f t="shared" si="32"/>
        <v>12826332</v>
      </c>
      <c r="AR26" s="110">
        <f>AQ26*H26*G26</f>
        <v>307831968</v>
      </c>
      <c r="AS26" s="110">
        <f t="shared" si="35"/>
        <v>10585583</v>
      </c>
      <c r="AT26" s="110">
        <f t="shared" si="24"/>
        <v>2011260.77</v>
      </c>
      <c r="AU26" s="110">
        <f t="shared" si="25"/>
        <v>12596844</v>
      </c>
      <c r="AV26" s="110">
        <f>AU26*H26*G26</f>
        <v>302324256</v>
      </c>
      <c r="AW26" s="110" cm="1">
        <f t="array" ref="AW26">ROUND(AVERAGE(SMALL((AF26,AB26,X26,T26,P26,L26),{1;2;3})),0)</f>
        <v>9142925</v>
      </c>
      <c r="AX26" s="110">
        <f t="shared" si="26"/>
        <v>1737155.75</v>
      </c>
      <c r="AY26" s="110">
        <f t="shared" si="27"/>
        <v>10880081</v>
      </c>
      <c r="AZ26" s="110">
        <f>AY26*H26*G26</f>
        <v>261121944</v>
      </c>
      <c r="BA26" s="119"/>
      <c r="BB26" s="119">
        <f t="shared" si="28"/>
        <v>10585583</v>
      </c>
      <c r="BC26" s="119">
        <f t="shared" si="29"/>
        <v>2011260.77</v>
      </c>
      <c r="BD26" s="119">
        <f t="shared" si="30"/>
        <v>12596844</v>
      </c>
      <c r="BE26" s="119">
        <f>BD26*H26*G26</f>
        <v>302324256</v>
      </c>
    </row>
    <row r="27" spans="1:57" s="66" customFormat="1" ht="31.5" x14ac:dyDescent="0.35">
      <c r="A27" s="68"/>
      <c r="B27" s="231"/>
      <c r="C27" s="229"/>
      <c r="D27" s="102" t="s">
        <v>79</v>
      </c>
      <c r="E27" s="102" t="s">
        <v>8</v>
      </c>
      <c r="F27" s="102" t="s">
        <v>6</v>
      </c>
      <c r="G27" s="102">
        <v>1</v>
      </c>
      <c r="H27" s="102">
        <v>12</v>
      </c>
      <c r="I27" s="102" t="s">
        <v>142</v>
      </c>
      <c r="J27" s="102" t="s">
        <v>145</v>
      </c>
      <c r="K27" s="141" t="s">
        <v>152</v>
      </c>
      <c r="L27" s="102">
        <v>3833896.6</v>
      </c>
      <c r="M27" s="142">
        <f t="shared" si="36"/>
        <v>728440.35400000005</v>
      </c>
      <c r="N27" s="102">
        <f t="shared" si="37"/>
        <v>4562336.9539999999</v>
      </c>
      <c r="O27" s="102">
        <f t="shared" si="33"/>
        <v>54748043.447999999</v>
      </c>
      <c r="P27" s="102">
        <v>2765418</v>
      </c>
      <c r="Q27" s="142">
        <f t="shared" si="38"/>
        <v>525429.42000000004</v>
      </c>
      <c r="R27" s="102">
        <f t="shared" si="39"/>
        <v>3290847.42</v>
      </c>
      <c r="S27" s="102">
        <f t="shared" si="9"/>
        <v>39490169.039999999</v>
      </c>
      <c r="T27" s="102">
        <v>2809691</v>
      </c>
      <c r="U27" s="142">
        <f t="shared" si="40"/>
        <v>533841.29</v>
      </c>
      <c r="V27" s="102">
        <f t="shared" si="41"/>
        <v>3343532.29</v>
      </c>
      <c r="W27" s="102">
        <f t="shared" si="12"/>
        <v>40122387.480000004</v>
      </c>
      <c r="X27" s="102">
        <v>2850900</v>
      </c>
      <c r="Y27" s="142">
        <f t="shared" si="42"/>
        <v>541671</v>
      </c>
      <c r="Z27" s="102">
        <f t="shared" si="43"/>
        <v>3392571</v>
      </c>
      <c r="AA27" s="102">
        <f t="shared" si="15"/>
        <v>40710852</v>
      </c>
      <c r="AB27" s="102">
        <v>6300000</v>
      </c>
      <c r="AC27" s="142">
        <f t="shared" si="44"/>
        <v>1197000</v>
      </c>
      <c r="AD27" s="102">
        <f t="shared" si="45"/>
        <v>7497000</v>
      </c>
      <c r="AE27" s="102">
        <f t="shared" si="34"/>
        <v>89964000</v>
      </c>
      <c r="AF27" s="102">
        <f>67545202/H27</f>
        <v>5628766.833333333</v>
      </c>
      <c r="AG27" s="142">
        <f t="shared" si="46"/>
        <v>1069465.6983333332</v>
      </c>
      <c r="AH27" s="102">
        <f t="shared" si="47"/>
        <v>6698232.5316666663</v>
      </c>
      <c r="AI27" s="102">
        <f t="shared" si="21"/>
        <v>80378790.379999995</v>
      </c>
      <c r="AJ27" s="102"/>
      <c r="AK27" s="102"/>
      <c r="AL27" s="102"/>
      <c r="AM27" s="102"/>
      <c r="AN27" s="105"/>
      <c r="AO27" s="110">
        <f t="shared" si="31"/>
        <v>4031445</v>
      </c>
      <c r="AP27" s="110">
        <f t="shared" si="22"/>
        <v>765974.55</v>
      </c>
      <c r="AQ27" s="110">
        <f t="shared" si="32"/>
        <v>4797420</v>
      </c>
      <c r="AR27" s="110">
        <f>AQ27*H27*G27</f>
        <v>57569040</v>
      </c>
      <c r="AS27" s="110">
        <f t="shared" si="35"/>
        <v>3800137</v>
      </c>
      <c r="AT27" s="110">
        <f t="shared" si="24"/>
        <v>722026.03</v>
      </c>
      <c r="AU27" s="110">
        <f t="shared" si="25"/>
        <v>4522163</v>
      </c>
      <c r="AV27" s="110">
        <f>AU27*H27*G27</f>
        <v>54265956</v>
      </c>
      <c r="AW27" s="110" cm="1">
        <f t="array" ref="AW27">ROUND(AVERAGE(SMALL((AF27,AB27,X27,T27,P27,L27),{1;2;3})),0)</f>
        <v>2808670</v>
      </c>
      <c r="AX27" s="110">
        <f t="shared" si="26"/>
        <v>533647.30000000005</v>
      </c>
      <c r="AY27" s="110">
        <f t="shared" si="27"/>
        <v>3342317</v>
      </c>
      <c r="AZ27" s="110">
        <f>AY27*H27*G27</f>
        <v>40107804</v>
      </c>
      <c r="BA27" s="119"/>
      <c r="BB27" s="119">
        <f t="shared" si="28"/>
        <v>3800137</v>
      </c>
      <c r="BC27" s="119">
        <f t="shared" si="29"/>
        <v>722026.03</v>
      </c>
      <c r="BD27" s="119">
        <f t="shared" si="30"/>
        <v>4522163</v>
      </c>
      <c r="BE27" s="119">
        <f>BD27*H27*G27</f>
        <v>54265956</v>
      </c>
    </row>
    <row r="28" spans="1:57" s="66" customFormat="1" ht="19" customHeight="1" x14ac:dyDescent="0.35">
      <c r="A28" s="68"/>
      <c r="B28" s="231"/>
      <c r="C28" s="229"/>
      <c r="D28" s="102" t="s">
        <v>62</v>
      </c>
      <c r="E28" s="102" t="s">
        <v>8</v>
      </c>
      <c r="F28" s="102" t="s">
        <v>6</v>
      </c>
      <c r="G28" s="102">
        <v>1700</v>
      </c>
      <c r="H28" s="102">
        <v>12</v>
      </c>
      <c r="I28" s="102" t="s">
        <v>142</v>
      </c>
      <c r="J28" s="102" t="s">
        <v>145</v>
      </c>
      <c r="K28" s="141" t="s">
        <v>147</v>
      </c>
      <c r="L28" s="102">
        <v>4097.3999999999996</v>
      </c>
      <c r="M28" s="142">
        <f t="shared" si="36"/>
        <v>778.50599999999997</v>
      </c>
      <c r="N28" s="102">
        <f t="shared" si="37"/>
        <v>4875.9059999999999</v>
      </c>
      <c r="O28" s="102">
        <f t="shared" si="33"/>
        <v>99468482.400000006</v>
      </c>
      <c r="P28" s="102">
        <v>4134</v>
      </c>
      <c r="Q28" s="142">
        <f t="shared" si="38"/>
        <v>785.46</v>
      </c>
      <c r="R28" s="102">
        <f t="shared" si="39"/>
        <v>4919.46</v>
      </c>
      <c r="S28" s="102">
        <f t="shared" si="9"/>
        <v>100356984</v>
      </c>
      <c r="T28" s="102">
        <v>4062</v>
      </c>
      <c r="U28" s="142">
        <f t="shared" si="40"/>
        <v>771.78</v>
      </c>
      <c r="V28" s="102">
        <f t="shared" si="41"/>
        <v>4833.78</v>
      </c>
      <c r="W28" s="102">
        <f t="shared" si="12"/>
        <v>98609112</v>
      </c>
      <c r="X28" s="102">
        <v>4122</v>
      </c>
      <c r="Y28" s="142">
        <f t="shared" si="42"/>
        <v>783.18000000000006</v>
      </c>
      <c r="Z28" s="102">
        <f t="shared" si="43"/>
        <v>4905.18</v>
      </c>
      <c r="AA28" s="102">
        <f t="shared" si="15"/>
        <v>100065672.00000001</v>
      </c>
      <c r="AB28" s="102">
        <v>50000</v>
      </c>
      <c r="AC28" s="142">
        <f t="shared" si="44"/>
        <v>9500</v>
      </c>
      <c r="AD28" s="102">
        <f t="shared" si="45"/>
        <v>59500</v>
      </c>
      <c r="AE28" s="102">
        <f>+AD28*$G28*$H28</f>
        <v>1213800000</v>
      </c>
      <c r="AF28" s="102">
        <v>3272.4522573735371</v>
      </c>
      <c r="AG28" s="142">
        <f t="shared" si="46"/>
        <v>621.76592890097209</v>
      </c>
      <c r="AH28" s="102">
        <f t="shared" si="47"/>
        <v>3894.2181862745092</v>
      </c>
      <c r="AI28" s="102">
        <f t="shared" si="21"/>
        <v>79442051</v>
      </c>
      <c r="AJ28" s="102"/>
      <c r="AK28" s="102"/>
      <c r="AL28" s="102"/>
      <c r="AM28" s="102"/>
      <c r="AN28" s="105"/>
      <c r="AO28" s="110">
        <f t="shared" si="31"/>
        <v>11615</v>
      </c>
      <c r="AP28" s="110">
        <f t="shared" si="22"/>
        <v>2206.85</v>
      </c>
      <c r="AQ28" s="110">
        <f t="shared" si="32"/>
        <v>13822</v>
      </c>
      <c r="AR28" s="110">
        <f>AQ28*H28*G28</f>
        <v>281968800</v>
      </c>
      <c r="AS28" s="110">
        <f t="shared" si="35"/>
        <v>5995</v>
      </c>
      <c r="AT28" s="110">
        <f t="shared" si="24"/>
        <v>1139.05</v>
      </c>
      <c r="AU28" s="110">
        <f t="shared" si="25"/>
        <v>7134</v>
      </c>
      <c r="AV28" s="110">
        <f>AU28*H28*G28</f>
        <v>145533600</v>
      </c>
      <c r="AW28" s="110" cm="1">
        <f t="array" ref="AW28">ROUND(AVERAGE(SMALL((AF28,AB28,X28,T28,P28,L28),{1;2;3})),0)</f>
        <v>3811</v>
      </c>
      <c r="AX28" s="110">
        <f t="shared" si="26"/>
        <v>724.09</v>
      </c>
      <c r="AY28" s="110">
        <f t="shared" si="27"/>
        <v>4535</v>
      </c>
      <c r="AZ28" s="110">
        <f>AY28*H28*G28</f>
        <v>92514000</v>
      </c>
      <c r="BA28" s="119"/>
      <c r="BB28" s="119">
        <f t="shared" si="28"/>
        <v>5995</v>
      </c>
      <c r="BC28" s="119">
        <f t="shared" si="29"/>
        <v>1139.05</v>
      </c>
      <c r="BD28" s="119">
        <f t="shared" si="30"/>
        <v>7134</v>
      </c>
      <c r="BE28" s="119">
        <f>BD28*H28*G28</f>
        <v>145533600</v>
      </c>
    </row>
    <row r="29" spans="1:57" s="126" customFormat="1" ht="28" hidden="1" x14ac:dyDescent="0.35">
      <c r="A29" s="123"/>
      <c r="B29" s="144" t="s">
        <v>77</v>
      </c>
      <c r="C29" s="239" t="s">
        <v>102</v>
      </c>
      <c r="D29" s="239"/>
      <c r="E29" s="145" t="s">
        <v>8</v>
      </c>
      <c r="F29" s="145" t="s">
        <v>6</v>
      </c>
      <c r="G29" s="145">
        <v>10</v>
      </c>
      <c r="H29" s="145">
        <v>12</v>
      </c>
      <c r="I29" s="145"/>
      <c r="J29" s="145"/>
      <c r="K29" s="146"/>
      <c r="L29" s="145">
        <v>2402474.0499999998</v>
      </c>
      <c r="M29" s="147">
        <f t="shared" si="36"/>
        <v>456470.06949999998</v>
      </c>
      <c r="N29" s="145">
        <f t="shared" si="37"/>
        <v>2858944.1195</v>
      </c>
      <c r="O29" s="145">
        <f t="shared" si="33"/>
        <v>343073294.34000003</v>
      </c>
      <c r="P29" s="145">
        <v>2329197</v>
      </c>
      <c r="Q29" s="147">
        <f t="shared" si="38"/>
        <v>442547.43</v>
      </c>
      <c r="R29" s="145">
        <f t="shared" si="39"/>
        <v>2771744.43</v>
      </c>
      <c r="S29" s="145">
        <f t="shared" si="9"/>
        <v>332609331.60000002</v>
      </c>
      <c r="T29" s="145">
        <v>2381954</v>
      </c>
      <c r="U29" s="147">
        <f t="shared" si="40"/>
        <v>452571.26</v>
      </c>
      <c r="V29" s="145">
        <f t="shared" si="41"/>
        <v>2834525.26</v>
      </c>
      <c r="W29" s="145">
        <f t="shared" si="12"/>
        <v>340143031.19999999</v>
      </c>
      <c r="X29" s="145">
        <v>2416889</v>
      </c>
      <c r="Y29" s="147">
        <f t="shared" si="42"/>
        <v>459208.91000000003</v>
      </c>
      <c r="Z29" s="145">
        <f t="shared" si="43"/>
        <v>2876097.91</v>
      </c>
      <c r="AA29" s="145">
        <f t="shared" si="15"/>
        <v>345131749.20000005</v>
      </c>
      <c r="AB29" s="145" t="s">
        <v>103</v>
      </c>
      <c r="AC29" s="147">
        <v>0</v>
      </c>
      <c r="AD29" s="145">
        <v>0</v>
      </c>
      <c r="AE29" s="145">
        <v>0</v>
      </c>
      <c r="AF29" s="103">
        <f>AI29-AG29</f>
        <v>276514763.86554623</v>
      </c>
      <c r="AG29" s="148">
        <f>0.19*AI29/1.19</f>
        <v>52537805.134453781</v>
      </c>
      <c r="AH29" s="103">
        <f>AI29</f>
        <v>329052569</v>
      </c>
      <c r="AI29" s="103">
        <v>329052569</v>
      </c>
      <c r="AJ29" s="145" t="s">
        <v>103</v>
      </c>
      <c r="AK29" s="145" t="s">
        <v>103</v>
      </c>
      <c r="AL29" s="145" t="s">
        <v>103</v>
      </c>
      <c r="AM29" s="145" t="s">
        <v>103</v>
      </c>
      <c r="AN29" s="124"/>
      <c r="AO29" s="110"/>
      <c r="AP29" s="110"/>
      <c r="AQ29" s="110"/>
      <c r="AR29" s="110"/>
      <c r="AS29" s="110">
        <f t="shared" si="35"/>
        <v>6165306</v>
      </c>
      <c r="AT29" s="110"/>
      <c r="AU29" s="110"/>
      <c r="AV29" s="110"/>
      <c r="AW29" s="110"/>
      <c r="AX29" s="125"/>
      <c r="AY29" s="125"/>
      <c r="AZ29" s="125"/>
      <c r="BA29" s="125"/>
      <c r="BB29" s="119">
        <f t="shared" si="28"/>
        <v>6165306</v>
      </c>
      <c r="BC29" s="125"/>
      <c r="BD29" s="125"/>
      <c r="BE29" s="119"/>
    </row>
    <row r="30" spans="1:57" s="66" customFormat="1" ht="42" x14ac:dyDescent="0.35">
      <c r="A30" s="68"/>
      <c r="B30" s="140">
        <v>7</v>
      </c>
      <c r="C30" s="143" t="s">
        <v>67</v>
      </c>
      <c r="D30" s="143" t="s">
        <v>80</v>
      </c>
      <c r="E30" s="102" t="s">
        <v>8</v>
      </c>
      <c r="F30" s="102" t="s">
        <v>6</v>
      </c>
      <c r="G30" s="102">
        <v>150</v>
      </c>
      <c r="H30" s="102">
        <v>12</v>
      </c>
      <c r="I30" s="102" t="s">
        <v>142</v>
      </c>
      <c r="J30" s="102" t="s">
        <v>145</v>
      </c>
      <c r="K30" s="141" t="s">
        <v>152</v>
      </c>
      <c r="L30" s="102">
        <v>25906.78</v>
      </c>
      <c r="M30" s="142">
        <f t="shared" si="36"/>
        <v>4922.2882</v>
      </c>
      <c r="N30" s="102">
        <f t="shared" si="37"/>
        <v>30829.068199999998</v>
      </c>
      <c r="O30" s="102">
        <f t="shared" si="33"/>
        <v>55492322.759999998</v>
      </c>
      <c r="P30" s="102">
        <v>26195</v>
      </c>
      <c r="Q30" s="142">
        <f t="shared" si="38"/>
        <v>4977.05</v>
      </c>
      <c r="R30" s="102">
        <f t="shared" si="39"/>
        <v>31172.05</v>
      </c>
      <c r="S30" s="102">
        <f>+R30*$G30*$H30</f>
        <v>56109690</v>
      </c>
      <c r="T30" s="102">
        <v>25686</v>
      </c>
      <c r="U30" s="142">
        <f t="shared" si="40"/>
        <v>4880.34</v>
      </c>
      <c r="V30" s="102">
        <f t="shared" si="41"/>
        <v>30566.34</v>
      </c>
      <c r="W30" s="102">
        <f>+V30*$G30*$H30</f>
        <v>55019412</v>
      </c>
      <c r="X30" s="102">
        <v>26062</v>
      </c>
      <c r="Y30" s="142">
        <f t="shared" si="42"/>
        <v>4951.78</v>
      </c>
      <c r="Z30" s="102">
        <f t="shared" si="43"/>
        <v>31013.78</v>
      </c>
      <c r="AA30" s="102">
        <f>+Z30*$G30*$H30</f>
        <v>55824804</v>
      </c>
      <c r="AB30" s="102">
        <v>33000</v>
      </c>
      <c r="AC30" s="142">
        <f t="shared" ref="AC30" si="48">AB30*19%</f>
        <v>6270</v>
      </c>
      <c r="AD30" s="102">
        <f t="shared" ref="AD30" si="49">+AC30+AB30</f>
        <v>39270</v>
      </c>
      <c r="AE30" s="102">
        <f t="shared" ref="AE30" si="50">+AD30*$G30*$H30</f>
        <v>70686000</v>
      </c>
      <c r="AF30" s="102">
        <v>62661.580765639592</v>
      </c>
      <c r="AG30" s="142">
        <f t="shared" ref="AG30" si="51">AF30*19%</f>
        <v>11905.700345471523</v>
      </c>
      <c r="AH30" s="102">
        <f t="shared" ref="AH30" si="52">+AG30+AF30</f>
        <v>74567.281111111108</v>
      </c>
      <c r="AI30" s="102">
        <f t="shared" si="21"/>
        <v>134221106</v>
      </c>
      <c r="AJ30" s="102"/>
      <c r="AK30" s="102"/>
      <c r="AL30" s="102"/>
      <c r="AM30" s="102"/>
      <c r="AN30" s="105"/>
      <c r="AO30" s="110">
        <f t="shared" si="31"/>
        <v>33252</v>
      </c>
      <c r="AP30" s="110">
        <f t="shared" si="22"/>
        <v>6317.88</v>
      </c>
      <c r="AQ30" s="110">
        <f t="shared" si="32"/>
        <v>39570</v>
      </c>
      <c r="AR30" s="110">
        <f>AQ30*H30*G30</f>
        <v>71226000</v>
      </c>
      <c r="AS30" s="110">
        <f t="shared" si="35"/>
        <v>31295</v>
      </c>
      <c r="AT30" s="110">
        <f t="shared" si="24"/>
        <v>5946.05</v>
      </c>
      <c r="AU30" s="110">
        <f t="shared" si="25"/>
        <v>37241</v>
      </c>
      <c r="AV30" s="110">
        <f>AU30*H30*G30</f>
        <v>67033800</v>
      </c>
      <c r="AW30" s="110" cm="1">
        <f t="array" ref="AW30">ROUND(AVERAGE(SMALL((AF30,AB30,X30,T30,P30,L30),{1;2;3})),0)</f>
        <v>25885</v>
      </c>
      <c r="AX30" s="110">
        <f t="shared" si="26"/>
        <v>4918.1499999999996</v>
      </c>
      <c r="AY30" s="110">
        <f t="shared" si="27"/>
        <v>30803</v>
      </c>
      <c r="AZ30" s="110">
        <f>AY30*H30*G30</f>
        <v>55445400</v>
      </c>
      <c r="BA30" s="119"/>
      <c r="BB30" s="119">
        <f t="shared" si="28"/>
        <v>31295</v>
      </c>
      <c r="BC30" s="119">
        <f t="shared" si="29"/>
        <v>5946.05</v>
      </c>
      <c r="BD30" s="119">
        <f t="shared" si="30"/>
        <v>37241</v>
      </c>
      <c r="BE30" s="119">
        <f>BD30*H30*G30</f>
        <v>67033800</v>
      </c>
    </row>
    <row r="31" spans="1:57" s="66" customFormat="1" ht="14.5" customHeight="1" x14ac:dyDescent="0.35">
      <c r="A31" s="68"/>
      <c r="B31" s="226" t="s">
        <v>81</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32"/>
      <c r="AN31" s="114"/>
      <c r="AO31" s="67"/>
      <c r="AP31" s="67"/>
      <c r="AQ31" s="67"/>
      <c r="AR31" s="67"/>
      <c r="AS31" s="67"/>
      <c r="AT31" s="67"/>
      <c r="AU31" s="67"/>
      <c r="AV31" s="67"/>
      <c r="AW31" s="67"/>
      <c r="AX31" s="67"/>
      <c r="AY31" s="67"/>
      <c r="AZ31" s="67"/>
      <c r="BA31" s="120"/>
      <c r="BB31" s="119"/>
      <c r="BC31" s="120"/>
      <c r="BD31" s="120"/>
      <c r="BE31" s="120"/>
    </row>
    <row r="32" spans="1:57" s="66" customFormat="1" ht="31.5" x14ac:dyDescent="0.35">
      <c r="A32" s="68"/>
      <c r="B32" s="140">
        <v>8</v>
      </c>
      <c r="C32" s="229" t="s">
        <v>91</v>
      </c>
      <c r="D32" s="229"/>
      <c r="E32" s="102" t="s">
        <v>8</v>
      </c>
      <c r="F32" s="102" t="s">
        <v>6</v>
      </c>
      <c r="G32" s="102">
        <v>1</v>
      </c>
      <c r="H32" s="102">
        <v>12</v>
      </c>
      <c r="I32" s="102" t="s">
        <v>142</v>
      </c>
      <c r="J32" s="102" t="s">
        <v>145</v>
      </c>
      <c r="K32" s="141" t="s">
        <v>147</v>
      </c>
      <c r="L32" s="102">
        <v>11882956.1</v>
      </c>
      <c r="M32" s="142">
        <f>L32*19%</f>
        <v>2257761.659</v>
      </c>
      <c r="N32" s="102">
        <f>+M32+L32</f>
        <v>14140717.759</v>
      </c>
      <c r="O32" s="102">
        <f>+N32*H32*G32</f>
        <v>169688613.10799998</v>
      </c>
      <c r="P32" s="102">
        <v>13815133</v>
      </c>
      <c r="Q32" s="142">
        <f>P32*19%</f>
        <v>2624875.27</v>
      </c>
      <c r="R32" s="102">
        <f>+Q32+P32</f>
        <v>16440008.27</v>
      </c>
      <c r="S32" s="102">
        <f t="shared" si="9"/>
        <v>197280099.24000001</v>
      </c>
      <c r="T32" s="102">
        <v>11781450</v>
      </c>
      <c r="U32" s="142">
        <f>T32*19%</f>
        <v>2238475.5</v>
      </c>
      <c r="V32" s="102">
        <f>+U32+T32</f>
        <v>14019925.5</v>
      </c>
      <c r="W32" s="102">
        <f t="shared" si="12"/>
        <v>168239106</v>
      </c>
      <c r="X32" s="102">
        <v>11954222</v>
      </c>
      <c r="Y32" s="142">
        <f>X32*19%</f>
        <v>2271302.1800000002</v>
      </c>
      <c r="Z32" s="102">
        <f>+Y32+X32</f>
        <v>14225524.18</v>
      </c>
      <c r="AA32" s="102">
        <f t="shared" si="15"/>
        <v>170706290.16</v>
      </c>
      <c r="AB32" s="73" t="s">
        <v>103</v>
      </c>
      <c r="AC32" s="73"/>
      <c r="AD32" s="73"/>
      <c r="AE32" s="73"/>
      <c r="AF32" s="102">
        <v>126665621</v>
      </c>
      <c r="AG32" s="142">
        <f>AF32*19%</f>
        <v>24066467.990000002</v>
      </c>
      <c r="AH32" s="102">
        <f>+AG32+AF32</f>
        <v>150732088.99000001</v>
      </c>
      <c r="AI32" s="102">
        <f>+AH32*$G32</f>
        <v>150732088.99000001</v>
      </c>
      <c r="AJ32" s="102"/>
      <c r="AK32" s="102"/>
      <c r="AL32" s="102"/>
      <c r="AM32" s="102"/>
      <c r="AN32" s="105"/>
      <c r="AO32" s="110">
        <f>ROUND(AVERAGE(L32,P32,T32,X32,AF32),0)</f>
        <v>35219876</v>
      </c>
      <c r="AP32" s="110">
        <f t="shared" si="22"/>
        <v>6691776.4400000004</v>
      </c>
      <c r="AQ32" s="110">
        <f t="shared" si="32"/>
        <v>41911652</v>
      </c>
      <c r="AR32" s="110">
        <f>AQ32*H32*G32</f>
        <v>502939824</v>
      </c>
      <c r="AS32" s="110">
        <f t="shared" si="35"/>
        <v>19648603</v>
      </c>
      <c r="AT32" s="110">
        <f t="shared" si="24"/>
        <v>3733234.57</v>
      </c>
      <c r="AU32" s="110">
        <f t="shared" si="25"/>
        <v>23381838</v>
      </c>
      <c r="AV32" s="110">
        <f>AU32*H32*G32</f>
        <v>280582056</v>
      </c>
      <c r="AW32" s="110" cm="1">
        <f t="array" ref="AW32">ROUND(AVERAGE(SMALL((AF32,X32,T32,P32,L32),{1;2;3})),0)</f>
        <v>11872876</v>
      </c>
      <c r="AX32" s="110">
        <f t="shared" si="26"/>
        <v>2255846.44</v>
      </c>
      <c r="AY32" s="110">
        <f t="shared" si="27"/>
        <v>14128722</v>
      </c>
      <c r="AZ32" s="110">
        <f>AY32*H32*G32</f>
        <v>169544664</v>
      </c>
      <c r="BA32" s="119"/>
      <c r="BB32" s="119">
        <f t="shared" si="28"/>
        <v>19648603</v>
      </c>
      <c r="BC32" s="119">
        <f t="shared" si="29"/>
        <v>3733234.57</v>
      </c>
      <c r="BD32" s="119">
        <f t="shared" si="30"/>
        <v>23381838</v>
      </c>
      <c r="BE32" s="119">
        <f>BD32*H32*G32</f>
        <v>280582056</v>
      </c>
    </row>
    <row r="33" spans="1:57" s="66" customFormat="1" ht="47.5" customHeight="1" x14ac:dyDescent="0.35">
      <c r="A33" s="68"/>
      <c r="B33" s="71">
        <v>9</v>
      </c>
      <c r="C33" s="230" t="s">
        <v>90</v>
      </c>
      <c r="D33" s="230"/>
      <c r="E33" s="69" t="s">
        <v>8</v>
      </c>
      <c r="F33" s="69" t="s">
        <v>6</v>
      </c>
      <c r="G33" s="69">
        <v>1</v>
      </c>
      <c r="H33" s="69">
        <v>12</v>
      </c>
      <c r="I33" s="69" t="s">
        <v>142</v>
      </c>
      <c r="J33" s="69" t="s">
        <v>145</v>
      </c>
      <c r="K33" s="128" t="s">
        <v>152</v>
      </c>
      <c r="L33" s="73" t="s">
        <v>103</v>
      </c>
      <c r="M33" s="74"/>
      <c r="N33" s="73"/>
      <c r="O33" s="73"/>
      <c r="P33" s="73" t="s">
        <v>103</v>
      </c>
      <c r="Q33" s="74"/>
      <c r="R33" s="73"/>
      <c r="S33" s="73"/>
      <c r="T33" s="73" t="s">
        <v>103</v>
      </c>
      <c r="U33" s="74"/>
      <c r="V33" s="73"/>
      <c r="W33" s="73"/>
      <c r="X33" s="69">
        <f>Z33/1.19</f>
        <v>11710789.915966388</v>
      </c>
      <c r="Y33" s="70">
        <f>X33*0.19</f>
        <v>2225050.0840336136</v>
      </c>
      <c r="Z33" s="69">
        <f>AA33/$H$33</f>
        <v>13935840</v>
      </c>
      <c r="AA33" s="69">
        <v>167230080</v>
      </c>
      <c r="AB33" s="69">
        <f>AD33/1.19</f>
        <v>9803921.5686274506</v>
      </c>
      <c r="AC33" s="70">
        <f>AB33*0.19</f>
        <v>1862745.0980392157</v>
      </c>
      <c r="AD33" s="69">
        <f>AE33/$H$33</f>
        <v>11666666.666666666</v>
      </c>
      <c r="AE33" s="69">
        <v>140000000</v>
      </c>
      <c r="AF33" s="69">
        <f>AH33/1.19</f>
        <v>16289852.916666666</v>
      </c>
      <c r="AG33" s="70">
        <f>AF33*0.19</f>
        <v>3095072.0541666667</v>
      </c>
      <c r="AH33" s="69">
        <f>195478235/12*1.19</f>
        <v>19384924.970833331</v>
      </c>
      <c r="AI33" s="69">
        <f>+AH33*$G33*$H33</f>
        <v>232619099.64999998</v>
      </c>
      <c r="AJ33" s="69">
        <f>AL33/1.19</f>
        <v>6857500</v>
      </c>
      <c r="AK33" s="70">
        <f>AJ33*0.19</f>
        <v>1302925</v>
      </c>
      <c r="AL33" s="69">
        <f>AM33/12</f>
        <v>8160425</v>
      </c>
      <c r="AM33" s="69">
        <v>97925100</v>
      </c>
      <c r="AN33" s="105"/>
      <c r="AO33" s="110">
        <f>ROUND(AVERAGE(X33,AB33,AF33,AJ33),0)</f>
        <v>11165516</v>
      </c>
      <c r="AP33" s="110">
        <f t="shared" si="22"/>
        <v>2121448.04</v>
      </c>
      <c r="AQ33" s="110">
        <f t="shared" si="32"/>
        <v>13286964</v>
      </c>
      <c r="AR33" s="110">
        <f>AQ33*H33*G33</f>
        <v>159443568</v>
      </c>
      <c r="AS33" s="110">
        <f>ROUND(GEOMEAN(X33,AB33,AF33,AJ33),0)</f>
        <v>10641853</v>
      </c>
      <c r="AT33" s="110">
        <f t="shared" si="24"/>
        <v>2021952.07</v>
      </c>
      <c r="AU33" s="110">
        <f t="shared" si="25"/>
        <v>12663805</v>
      </c>
      <c r="AV33" s="110">
        <f>AU33*H33*G33</f>
        <v>151965660</v>
      </c>
      <c r="AW33" s="110" cm="1">
        <f t="array" ref="AW33">ROUND(AVERAGE(SMALL((X33,AB33,AF33,AJ33),{1;2;3})),0)</f>
        <v>9457404</v>
      </c>
      <c r="AX33" s="110">
        <f t="shared" si="26"/>
        <v>1796906.76</v>
      </c>
      <c r="AY33" s="110">
        <f t="shared" si="27"/>
        <v>11254311</v>
      </c>
      <c r="AZ33" s="110">
        <f>AY33*H33*G33</f>
        <v>135051732</v>
      </c>
      <c r="BA33" s="119"/>
      <c r="BB33" s="119">
        <f t="shared" si="28"/>
        <v>10641853</v>
      </c>
      <c r="BC33" s="119">
        <f t="shared" si="29"/>
        <v>2021952.07</v>
      </c>
      <c r="BD33" s="119">
        <f t="shared" si="30"/>
        <v>12663805</v>
      </c>
      <c r="BE33" s="119">
        <f>BD33*H33*G33</f>
        <v>151965660</v>
      </c>
    </row>
    <row r="34" spans="1:57" ht="30.5" customHeight="1" x14ac:dyDescent="0.35">
      <c r="B34" s="12"/>
      <c r="C34" s="13"/>
      <c r="D34" s="13"/>
      <c r="E34" s="13"/>
      <c r="F34" s="13"/>
      <c r="G34" s="13"/>
      <c r="H34" s="13"/>
      <c r="I34" s="13"/>
      <c r="J34" s="137"/>
      <c r="K34" s="139" t="s">
        <v>153</v>
      </c>
      <c r="L34" s="138"/>
      <c r="M34" s="13"/>
      <c r="N34" s="1" t="s">
        <v>14</v>
      </c>
      <c r="O34" s="17">
        <f>SUM(O17:O33)</f>
        <v>1950951129.6044002</v>
      </c>
      <c r="P34" s="13"/>
      <c r="Q34" s="13"/>
      <c r="R34" s="1" t="s">
        <v>14</v>
      </c>
      <c r="S34" s="17">
        <f>SUM(S17:S33)</f>
        <v>1969755702.6699998</v>
      </c>
      <c r="T34" s="13"/>
      <c r="U34" s="13"/>
      <c r="V34" s="65" t="s">
        <v>14</v>
      </c>
      <c r="W34" s="17">
        <f>SUM(W17:W33)</f>
        <v>1946136742.1300001</v>
      </c>
      <c r="X34" s="13"/>
      <c r="Y34" s="13"/>
      <c r="Z34" s="65" t="s">
        <v>14</v>
      </c>
      <c r="AA34" s="17">
        <f>SUM(AA17:AA33)</f>
        <v>2127715085.29</v>
      </c>
      <c r="AB34" s="13"/>
      <c r="AC34" s="13"/>
      <c r="AD34" s="65" t="s">
        <v>14</v>
      </c>
      <c r="AE34" s="17">
        <f>SUM(AE17:AE33)</f>
        <v>2880332000</v>
      </c>
      <c r="AF34" s="13"/>
      <c r="AG34" s="13"/>
      <c r="AH34" s="65" t="s">
        <v>14</v>
      </c>
      <c r="AI34" s="108">
        <f>SUM(AI17:AI33)</f>
        <v>3813089432.8099999</v>
      </c>
      <c r="AJ34" s="13"/>
      <c r="AK34" s="13"/>
      <c r="AL34" s="13"/>
      <c r="AM34" s="107"/>
      <c r="AN34" s="115"/>
      <c r="AO34" s="111"/>
      <c r="AP34" s="111"/>
      <c r="AQ34" s="111"/>
      <c r="AR34" s="111">
        <f>SUM(AR17:AR33)</f>
        <v>2595974704</v>
      </c>
      <c r="AS34" s="111"/>
      <c r="AT34" s="111"/>
      <c r="AU34" s="111"/>
      <c r="AV34" s="111">
        <f>SUM(AV17:AV33)</f>
        <v>2009479600</v>
      </c>
      <c r="AW34" s="111"/>
      <c r="AX34" s="111"/>
      <c r="AY34" s="111"/>
      <c r="AZ34" s="111">
        <f>SUM(AZ17:AZ33)</f>
        <v>1562497484</v>
      </c>
      <c r="BA34" s="121"/>
      <c r="BB34" s="121"/>
      <c r="BC34" s="121"/>
      <c r="BD34" s="121"/>
      <c r="BE34" s="121">
        <f>SUM(BE17:BE33)</f>
        <v>2009479600</v>
      </c>
    </row>
    <row r="35" spans="1:57" x14ac:dyDescent="0.35">
      <c r="K35" s="130"/>
      <c r="O35" s="9"/>
      <c r="S35" s="9"/>
      <c r="W35" s="9"/>
      <c r="AA35" s="9"/>
      <c r="AE35" s="9"/>
      <c r="AI35" s="106"/>
      <c r="AO35" s="112"/>
      <c r="AP35" s="112"/>
      <c r="AQ35" s="112"/>
      <c r="AR35" s="112"/>
      <c r="AS35" s="112"/>
      <c r="AT35" s="112"/>
      <c r="AU35" s="112"/>
      <c r="AV35" s="112"/>
      <c r="AW35" s="112"/>
      <c r="AX35" s="112"/>
      <c r="AY35" s="112"/>
      <c r="AZ35" s="112"/>
      <c r="BA35" s="122"/>
      <c r="BB35" s="122"/>
      <c r="BC35" s="122"/>
      <c r="BD35" s="122"/>
      <c r="BE35" s="122"/>
    </row>
    <row r="36" spans="1:57" x14ac:dyDescent="0.35">
      <c r="AD36" s="8"/>
      <c r="AE36" s="8"/>
      <c r="AF36" s="8"/>
      <c r="AG36" s="8"/>
      <c r="AH36" s="8"/>
      <c r="AI36" s="98"/>
    </row>
    <row r="37" spans="1:57" x14ac:dyDescent="0.35">
      <c r="B37" s="8" t="s">
        <v>93</v>
      </c>
      <c r="C37" s="8"/>
      <c r="D37" s="8"/>
      <c r="E37" s="8"/>
      <c r="F37" s="8"/>
      <c r="G37" s="8"/>
      <c r="H37" s="8"/>
      <c r="I37" s="8"/>
      <c r="J37" s="8"/>
      <c r="K37" s="129"/>
      <c r="AC37" s="6"/>
      <c r="AD37" s="104"/>
      <c r="AE37" s="104"/>
      <c r="AF37" s="104"/>
      <c r="AG37" s="104"/>
      <c r="AH37" s="104"/>
      <c r="AI37" s="116"/>
      <c r="AJ37" s="4"/>
      <c r="AK37" s="4"/>
      <c r="AL37" s="4"/>
      <c r="AM37" s="4"/>
      <c r="AN37" s="4"/>
      <c r="AO37" s="4"/>
      <c r="AP37" s="4"/>
      <c r="AQ37" s="4"/>
      <c r="AR37" s="4"/>
      <c r="AS37" s="4"/>
      <c r="AT37" s="4"/>
      <c r="AU37" s="4"/>
      <c r="AV37" s="4"/>
      <c r="AW37" s="4"/>
      <c r="AX37" s="4"/>
      <c r="AY37" s="4"/>
      <c r="AZ37" s="4"/>
      <c r="BA37" s="99"/>
      <c r="BB37" s="99"/>
      <c r="BC37" s="99"/>
      <c r="BD37" s="99"/>
      <c r="BE37" s="99"/>
    </row>
    <row r="38" spans="1:57" ht="51.5" customHeight="1" x14ac:dyDescent="0.35">
      <c r="A38" s="6"/>
      <c r="B38" s="240" t="s">
        <v>94</v>
      </c>
      <c r="C38" s="240"/>
      <c r="D38" s="240"/>
      <c r="E38" s="240"/>
      <c r="F38" s="240"/>
      <c r="G38" s="240"/>
      <c r="H38" s="240"/>
      <c r="I38" s="127"/>
      <c r="J38" s="127"/>
      <c r="K38" s="127"/>
      <c r="L38" s="7"/>
      <c r="AD38" s="100"/>
      <c r="AE38" s="100"/>
      <c r="AF38" s="100"/>
      <c r="AG38" s="100"/>
      <c r="AH38" s="100"/>
      <c r="AI38" s="116"/>
      <c r="AJ38" s="4"/>
      <c r="AK38" s="4"/>
      <c r="AL38" s="4"/>
      <c r="AM38" s="4"/>
      <c r="AN38" s="4"/>
      <c r="AO38" s="4"/>
      <c r="AP38" s="4"/>
      <c r="AQ38" s="4"/>
      <c r="AR38" s="4"/>
      <c r="AS38" s="4"/>
      <c r="AT38" s="4"/>
      <c r="AU38" s="4"/>
      <c r="AV38" s="4"/>
      <c r="AW38" s="4"/>
      <c r="AX38" s="4"/>
      <c r="AY38" s="4"/>
      <c r="AZ38" s="4"/>
      <c r="BA38" s="99"/>
      <c r="BB38" s="99"/>
      <c r="BC38" s="99"/>
      <c r="BD38" s="99"/>
      <c r="BE38" s="99"/>
    </row>
    <row r="39" spans="1:57" ht="54.5" customHeight="1" x14ac:dyDescent="0.35">
      <c r="A39" s="6"/>
      <c r="B39" s="240" t="s">
        <v>96</v>
      </c>
      <c r="C39" s="240"/>
      <c r="D39" s="240"/>
      <c r="E39" s="240"/>
      <c r="F39" s="240"/>
      <c r="G39" s="240"/>
      <c r="H39" s="240"/>
      <c r="I39" s="127"/>
      <c r="J39" s="127"/>
      <c r="K39" s="127"/>
      <c r="L39" s="7"/>
      <c r="AD39" s="105"/>
      <c r="AE39" s="105"/>
      <c r="AF39" s="105"/>
      <c r="AG39" s="105"/>
      <c r="AH39" s="105"/>
      <c r="AI39" s="116"/>
      <c r="AJ39" s="4"/>
      <c r="AK39" s="4"/>
      <c r="AL39" s="4"/>
      <c r="AM39" s="4"/>
      <c r="AN39" s="4"/>
      <c r="AO39" s="4"/>
      <c r="AP39" s="4"/>
      <c r="AQ39" s="4"/>
      <c r="AR39" s="4"/>
      <c r="AS39" s="4"/>
      <c r="AT39" s="4"/>
      <c r="AU39" s="4"/>
      <c r="AV39" s="4"/>
      <c r="AW39" s="4"/>
      <c r="AX39" s="4"/>
      <c r="AY39" s="4"/>
      <c r="AZ39" s="4"/>
      <c r="BA39" s="99"/>
      <c r="BB39" s="99"/>
      <c r="BC39" s="99"/>
      <c r="BD39" s="99"/>
      <c r="BE39" s="99"/>
    </row>
    <row r="40" spans="1:57" ht="33.65" customHeight="1" x14ac:dyDescent="0.35">
      <c r="A40" s="6"/>
      <c r="B40" s="240" t="s">
        <v>95</v>
      </c>
      <c r="C40" s="240"/>
      <c r="D40" s="240"/>
      <c r="E40" s="240"/>
      <c r="F40" s="240"/>
      <c r="G40" s="240"/>
      <c r="H40" s="240"/>
      <c r="I40" s="127"/>
      <c r="J40" s="127"/>
      <c r="K40" s="127"/>
      <c r="L40" s="7"/>
      <c r="AD40" s="113"/>
      <c r="AE40" s="113"/>
      <c r="AF40" s="113"/>
      <c r="AG40" s="113"/>
      <c r="AH40" s="113"/>
      <c r="AI40" s="116"/>
      <c r="AJ40" s="4"/>
      <c r="AK40" s="4"/>
      <c r="AL40" s="4"/>
      <c r="AM40" s="4"/>
      <c r="AN40" s="4"/>
      <c r="AO40" s="4"/>
      <c r="AP40" s="4"/>
      <c r="AQ40" s="4"/>
      <c r="AR40" s="4"/>
      <c r="AS40" s="4"/>
      <c r="AT40" s="4"/>
      <c r="AU40" s="4"/>
      <c r="AV40" s="4"/>
      <c r="AW40" s="4"/>
      <c r="AX40" s="4"/>
      <c r="AY40" s="4"/>
      <c r="AZ40" s="4"/>
      <c r="BA40" s="99"/>
      <c r="BB40" s="99"/>
      <c r="BC40" s="99"/>
      <c r="BD40" s="99"/>
      <c r="BE40" s="99"/>
    </row>
    <row r="41" spans="1:57" ht="28.25" customHeight="1" x14ac:dyDescent="0.35">
      <c r="B41" s="240" t="s">
        <v>97</v>
      </c>
      <c r="C41" s="240"/>
      <c r="D41" s="240"/>
      <c r="E41" s="240"/>
      <c r="F41" s="240"/>
      <c r="G41" s="240"/>
      <c r="H41" s="240"/>
      <c r="I41" s="127"/>
      <c r="J41" s="127"/>
      <c r="K41" s="127"/>
    </row>
    <row r="42" spans="1:57" ht="29.4" customHeight="1" x14ac:dyDescent="0.35">
      <c r="B42" s="240" t="s">
        <v>99</v>
      </c>
      <c r="C42" s="240"/>
      <c r="D42" s="240"/>
      <c r="E42" s="240"/>
      <c r="F42" s="240"/>
      <c r="G42" s="240"/>
      <c r="H42" s="240"/>
      <c r="I42" s="127"/>
      <c r="J42" s="127"/>
      <c r="K42" s="127"/>
    </row>
    <row r="43" spans="1:57" ht="46.75" customHeight="1" x14ac:dyDescent="0.35">
      <c r="B43" s="240" t="s">
        <v>98</v>
      </c>
      <c r="C43" s="240"/>
      <c r="D43" s="240"/>
      <c r="E43" s="240"/>
      <c r="F43" s="240"/>
      <c r="G43" s="240"/>
      <c r="H43" s="240"/>
      <c r="I43" s="127"/>
      <c r="J43" s="127"/>
      <c r="K43" s="127"/>
    </row>
    <row r="44" spans="1:57" ht="30" customHeight="1" x14ac:dyDescent="0.35">
      <c r="B44" s="240" t="s">
        <v>100</v>
      </c>
      <c r="C44" s="240"/>
      <c r="D44" s="240"/>
      <c r="E44" s="240"/>
      <c r="F44" s="240"/>
      <c r="G44" s="240"/>
      <c r="H44" s="240"/>
      <c r="I44" s="127"/>
      <c r="J44" s="127"/>
      <c r="K44" s="127"/>
    </row>
    <row r="45" spans="1:57" ht="27" customHeight="1" x14ac:dyDescent="0.35"/>
  </sheetData>
  <sheetProtection formatColumns="0" selectLockedCells="1" selectUnlockedCells="1"/>
  <mergeCells count="56">
    <mergeCell ref="BB14:BE14"/>
    <mergeCell ref="AS14:AV14"/>
    <mergeCell ref="AS15:AS16"/>
    <mergeCell ref="AT15:AT16"/>
    <mergeCell ref="AU15:AU16"/>
    <mergeCell ref="AV15:AV16"/>
    <mergeCell ref="AO14:AR14"/>
    <mergeCell ref="AO3:AP3"/>
    <mergeCell ref="AO15:AO16"/>
    <mergeCell ref="AP15:AP16"/>
    <mergeCell ref="AQ15:AQ16"/>
    <mergeCell ref="AR15:AR16"/>
    <mergeCell ref="AQ3:BE3"/>
    <mergeCell ref="AW14:AZ14"/>
    <mergeCell ref="AW15:AW16"/>
    <mergeCell ref="AX15:AX16"/>
    <mergeCell ref="AY15:AY16"/>
    <mergeCell ref="AZ15:AZ16"/>
    <mergeCell ref="BB15:BB16"/>
    <mergeCell ref="BC15:BC16"/>
    <mergeCell ref="BD15:BD16"/>
    <mergeCell ref="BE15:BE16"/>
    <mergeCell ref="AF14:AI14"/>
    <mergeCell ref="AJ14:AM14"/>
    <mergeCell ref="B16:AL16"/>
    <mergeCell ref="B23:AM23"/>
    <mergeCell ref="L14:O14"/>
    <mergeCell ref="P14:S14"/>
    <mergeCell ref="T14:W14"/>
    <mergeCell ref="X14:AA14"/>
    <mergeCell ref="AB14:AE14"/>
    <mergeCell ref="C15:D15"/>
    <mergeCell ref="C17:D17"/>
    <mergeCell ref="C18:D18"/>
    <mergeCell ref="C19:D19"/>
    <mergeCell ref="B20:B22"/>
    <mergeCell ref="C20:C22"/>
    <mergeCell ref="B43:H43"/>
    <mergeCell ref="B44:H44"/>
    <mergeCell ref="B38:H38"/>
    <mergeCell ref="B39:H39"/>
    <mergeCell ref="B40:H40"/>
    <mergeCell ref="B41:H41"/>
    <mergeCell ref="B42:H42"/>
    <mergeCell ref="C33:D33"/>
    <mergeCell ref="C24:D24"/>
    <mergeCell ref="B25:B28"/>
    <mergeCell ref="C25:C28"/>
    <mergeCell ref="C29:D29"/>
    <mergeCell ref="B31:AM31"/>
    <mergeCell ref="C32:D32"/>
    <mergeCell ref="B2:O5"/>
    <mergeCell ref="B8:B9"/>
    <mergeCell ref="C8:O9"/>
    <mergeCell ref="B11:B12"/>
    <mergeCell ref="C11:O12"/>
  </mergeCells>
  <pageMargins left="0.7" right="0.7" top="0.75" bottom="0.75" header="0.3" footer="0.3"/>
  <pageSetup orientation="portrait" r:id="rId1"/>
  <headerFooter>
    <oddFooter>&amp;L_x000D_&amp;1#&amp;"Aptos"&amp;10&amp;K000000 Informacion publica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topLeftCell="D23" zoomScale="85" zoomScaleNormal="85" workbookViewId="0">
      <selection activeCell="I29" sqref="I29"/>
    </sheetView>
  </sheetViews>
  <sheetFormatPr baseColWidth="10" defaultColWidth="11.453125" defaultRowHeight="14.5" x14ac:dyDescent="0.35"/>
  <cols>
    <col min="1" max="1" width="2.36328125" style="4" customWidth="1"/>
    <col min="2" max="2" width="7.453125" style="4" customWidth="1"/>
    <col min="3" max="3" width="16" style="4" customWidth="1"/>
    <col min="4" max="4" width="38.36328125" style="4" customWidth="1"/>
    <col min="5" max="5" width="30.453125" style="4" customWidth="1"/>
    <col min="6" max="6" width="10.453125" style="4" customWidth="1"/>
    <col min="7" max="7" width="8.81640625" style="4" bestFit="1" customWidth="1"/>
    <col min="8" max="8" width="8.81640625" style="4" customWidth="1"/>
    <col min="9" max="9" width="19" style="4" customWidth="1"/>
    <col min="10" max="10" width="16.1796875" style="4" bestFit="1" customWidth="1"/>
    <col min="11" max="11" width="18.36328125" style="4" customWidth="1"/>
    <col min="12" max="12" width="22.1796875" style="4" customWidth="1"/>
    <col min="13" max="13" width="25.6328125" style="4" customWidth="1"/>
    <col min="14" max="16384" width="11.453125" style="4"/>
  </cols>
  <sheetData>
    <row r="1" spans="1:13" x14ac:dyDescent="0.35">
      <c r="B1" s="8"/>
      <c r="C1" s="8"/>
      <c r="D1" s="8"/>
      <c r="E1" s="8"/>
      <c r="F1" s="8"/>
      <c r="G1" s="8"/>
      <c r="H1" s="8"/>
      <c r="I1" s="8"/>
      <c r="J1" s="8"/>
      <c r="K1" s="8"/>
      <c r="L1" s="8"/>
    </row>
    <row r="2" spans="1:13" x14ac:dyDescent="0.35">
      <c r="A2" s="6"/>
      <c r="B2" s="281" t="s">
        <v>9</v>
      </c>
      <c r="C2" s="281"/>
      <c r="D2" s="281"/>
      <c r="E2" s="281"/>
      <c r="F2" s="281"/>
      <c r="G2" s="281"/>
      <c r="H2" s="281"/>
      <c r="I2" s="281"/>
      <c r="J2" s="281"/>
      <c r="K2" s="281"/>
      <c r="L2" s="281"/>
      <c r="M2" s="7"/>
    </row>
    <row r="3" spans="1:13" x14ac:dyDescent="0.35">
      <c r="A3" s="6"/>
      <c r="B3" s="281"/>
      <c r="C3" s="281"/>
      <c r="D3" s="281"/>
      <c r="E3" s="281"/>
      <c r="F3" s="281"/>
      <c r="G3" s="281"/>
      <c r="H3" s="281"/>
      <c r="I3" s="281"/>
      <c r="J3" s="281"/>
      <c r="K3" s="281"/>
      <c r="L3" s="281"/>
      <c r="M3" s="7"/>
    </row>
    <row r="4" spans="1:13" x14ac:dyDescent="0.35">
      <c r="A4" s="6"/>
      <c r="B4" s="281"/>
      <c r="C4" s="281"/>
      <c r="D4" s="281"/>
      <c r="E4" s="281"/>
      <c r="F4" s="281"/>
      <c r="G4" s="281"/>
      <c r="H4" s="281"/>
      <c r="I4" s="281"/>
      <c r="J4" s="281"/>
      <c r="K4" s="281"/>
      <c r="L4" s="281"/>
      <c r="M4" s="7"/>
    </row>
    <row r="5" spans="1:13" x14ac:dyDescent="0.35">
      <c r="A5" s="6"/>
      <c r="B5" s="281"/>
      <c r="C5" s="281"/>
      <c r="D5" s="281"/>
      <c r="E5" s="281"/>
      <c r="F5" s="281"/>
      <c r="G5" s="281"/>
      <c r="H5" s="281"/>
      <c r="I5" s="281"/>
      <c r="J5" s="281"/>
      <c r="K5" s="281"/>
      <c r="L5" s="281"/>
      <c r="M5" s="7"/>
    </row>
    <row r="6" spans="1:13" x14ac:dyDescent="0.35">
      <c r="B6" s="9"/>
      <c r="C6" s="9"/>
      <c r="D6" s="9"/>
      <c r="E6" s="9"/>
      <c r="F6" s="9"/>
      <c r="G6" s="9"/>
      <c r="H6" s="9"/>
      <c r="I6" s="9"/>
      <c r="J6" s="9"/>
      <c r="K6" s="9"/>
      <c r="L6" s="9"/>
    </row>
    <row r="7" spans="1:13" x14ac:dyDescent="0.35">
      <c r="B7" s="8"/>
      <c r="C7" s="8"/>
      <c r="D7" s="8"/>
      <c r="E7" s="8"/>
      <c r="F7" s="8"/>
      <c r="G7" s="8"/>
      <c r="H7" s="8"/>
      <c r="I7" s="8"/>
      <c r="J7" s="8"/>
      <c r="K7" s="8"/>
      <c r="L7" s="8"/>
    </row>
    <row r="8" spans="1:13" ht="16.5" customHeight="1" x14ac:dyDescent="0.35">
      <c r="A8" s="6"/>
      <c r="B8" s="206" t="s">
        <v>3</v>
      </c>
      <c r="C8" s="207" t="s">
        <v>83</v>
      </c>
      <c r="D8" s="208"/>
      <c r="E8" s="208"/>
      <c r="F8" s="208"/>
      <c r="G8" s="208"/>
      <c r="H8" s="208"/>
      <c r="I8" s="208"/>
      <c r="J8" s="208"/>
      <c r="K8" s="208"/>
      <c r="L8" s="209"/>
      <c r="M8" s="7"/>
    </row>
    <row r="9" spans="1:13" ht="15" customHeight="1" x14ac:dyDescent="0.35">
      <c r="A9" s="6"/>
      <c r="B9" s="206"/>
      <c r="C9" s="210"/>
      <c r="D9" s="211"/>
      <c r="E9" s="211"/>
      <c r="F9" s="211"/>
      <c r="G9" s="211"/>
      <c r="H9" s="211"/>
      <c r="I9" s="211"/>
      <c r="J9" s="211"/>
      <c r="K9" s="211"/>
      <c r="L9" s="212"/>
      <c r="M9" s="7"/>
    </row>
    <row r="10" spans="1:13" ht="15" customHeight="1" x14ac:dyDescent="0.35">
      <c r="B10" s="14"/>
      <c r="C10" s="9"/>
      <c r="D10" s="9"/>
      <c r="E10" s="9"/>
      <c r="F10" s="9"/>
      <c r="G10" s="9"/>
      <c r="H10" s="9"/>
      <c r="I10" s="9"/>
      <c r="J10" s="9"/>
      <c r="K10" s="9"/>
      <c r="L10" s="9"/>
    </row>
    <row r="11" spans="1:13" ht="66" customHeight="1" x14ac:dyDescent="0.35">
      <c r="B11" s="206" t="s">
        <v>10</v>
      </c>
      <c r="C11" s="213" t="s">
        <v>82</v>
      </c>
      <c r="D11" s="214"/>
      <c r="E11" s="214"/>
      <c r="F11" s="214"/>
      <c r="G11" s="214"/>
      <c r="H11" s="214"/>
      <c r="I11" s="214"/>
      <c r="J11" s="214"/>
      <c r="K11" s="214"/>
      <c r="L11" s="215"/>
    </row>
    <row r="12" spans="1:13" ht="61.5" customHeight="1" x14ac:dyDescent="0.35">
      <c r="B12" s="206"/>
      <c r="C12" s="216"/>
      <c r="D12" s="217"/>
      <c r="E12" s="217"/>
      <c r="F12" s="217"/>
      <c r="G12" s="217"/>
      <c r="H12" s="217"/>
      <c r="I12" s="217"/>
      <c r="J12" s="217"/>
      <c r="K12" s="217"/>
      <c r="L12" s="218"/>
    </row>
    <row r="13" spans="1:13" x14ac:dyDescent="0.35">
      <c r="A13" s="6"/>
      <c r="B13" s="6"/>
      <c r="C13" s="6"/>
      <c r="D13" s="6"/>
      <c r="E13" s="6"/>
      <c r="F13" s="6"/>
      <c r="G13" s="6"/>
      <c r="H13" s="6"/>
      <c r="I13" s="6"/>
      <c r="J13" s="6"/>
      <c r="K13" s="6"/>
      <c r="L13" s="6"/>
      <c r="M13" s="6"/>
    </row>
    <row r="14" spans="1:13" s="5" customFormat="1" ht="47" customHeight="1" x14ac:dyDescent="0.35">
      <c r="A14" s="10"/>
      <c r="B14" s="1" t="s">
        <v>0</v>
      </c>
      <c r="C14" s="220" t="s">
        <v>4</v>
      </c>
      <c r="D14" s="220"/>
      <c r="E14" s="1" t="s">
        <v>5</v>
      </c>
      <c r="F14" s="1" t="s">
        <v>1</v>
      </c>
      <c r="G14" s="1" t="s">
        <v>2</v>
      </c>
      <c r="H14" s="1" t="s">
        <v>7</v>
      </c>
      <c r="I14" s="1" t="s">
        <v>11</v>
      </c>
      <c r="J14" s="1" t="s">
        <v>12</v>
      </c>
      <c r="K14" s="1" t="s">
        <v>13</v>
      </c>
      <c r="L14" s="1" t="s">
        <v>105</v>
      </c>
      <c r="M14" s="11"/>
    </row>
    <row r="15" spans="1:13" ht="26.5" customHeight="1" x14ac:dyDescent="0.35">
      <c r="A15" s="6"/>
      <c r="B15" s="220" t="s">
        <v>15</v>
      </c>
      <c r="C15" s="220"/>
      <c r="D15" s="220"/>
      <c r="E15" s="220"/>
      <c r="F15" s="220"/>
      <c r="G15" s="220"/>
      <c r="H15" s="220"/>
      <c r="I15" s="220"/>
      <c r="J15" s="220"/>
      <c r="K15" s="220"/>
      <c r="L15" s="220"/>
      <c r="M15" s="7"/>
    </row>
    <row r="16" spans="1:13" ht="54.75" customHeight="1" x14ac:dyDescent="0.35">
      <c r="A16" s="6"/>
      <c r="B16" s="2">
        <v>1</v>
      </c>
      <c r="C16" s="263" t="s">
        <v>27</v>
      </c>
      <c r="D16" s="263"/>
      <c r="E16" s="3" t="s">
        <v>8</v>
      </c>
      <c r="F16" s="3" t="s">
        <v>6</v>
      </c>
      <c r="G16" s="3">
        <v>1</v>
      </c>
      <c r="H16" s="3">
        <v>12</v>
      </c>
      <c r="I16" s="15">
        <v>28865002</v>
      </c>
      <c r="J16" s="59">
        <f>I16*19%</f>
        <v>5484350.3799999999</v>
      </c>
      <c r="K16" s="16">
        <f>+J16+I16</f>
        <v>34349352.380000003</v>
      </c>
      <c r="L16" s="16">
        <f>+K16*H16*G16</f>
        <v>412192228.56000006</v>
      </c>
      <c r="M16" s="7"/>
    </row>
    <row r="17" spans="1:13" ht="28" x14ac:dyDescent="0.35">
      <c r="A17" s="6"/>
      <c r="B17" s="2">
        <v>2</v>
      </c>
      <c r="C17" s="263" t="s">
        <v>33</v>
      </c>
      <c r="D17" s="263"/>
      <c r="E17" s="3" t="s">
        <v>8</v>
      </c>
      <c r="F17" s="3" t="s">
        <v>6</v>
      </c>
      <c r="G17" s="3">
        <v>1</v>
      </c>
      <c r="H17" s="3">
        <v>12</v>
      </c>
      <c r="I17" s="15">
        <v>4749884.33</v>
      </c>
      <c r="J17" s="59">
        <f t="shared" ref="J17:J21" si="0">I17*19%</f>
        <v>902478.02269999997</v>
      </c>
      <c r="K17" s="16">
        <f t="shared" ref="K17:K21" si="1">+J17+I17</f>
        <v>5652362.3526999997</v>
      </c>
      <c r="L17" s="16">
        <f t="shared" ref="L17:L21" si="2">+K17*H17*G17</f>
        <v>67828348.2324</v>
      </c>
      <c r="M17" s="7"/>
    </row>
    <row r="18" spans="1:13" ht="48" customHeight="1" x14ac:dyDescent="0.35">
      <c r="A18" s="6"/>
      <c r="B18" s="2">
        <v>3</v>
      </c>
      <c r="C18" s="263" t="s">
        <v>37</v>
      </c>
      <c r="D18" s="263"/>
      <c r="E18" s="3" t="s">
        <v>8</v>
      </c>
      <c r="F18" s="3" t="s">
        <v>6</v>
      </c>
      <c r="G18" s="3">
        <v>1</v>
      </c>
      <c r="H18" s="3">
        <v>12</v>
      </c>
      <c r="I18" s="15">
        <v>3262413.25</v>
      </c>
      <c r="J18" s="59">
        <f t="shared" si="0"/>
        <v>619858.51749999996</v>
      </c>
      <c r="K18" s="16">
        <f t="shared" si="1"/>
        <v>3882271.7675000001</v>
      </c>
      <c r="L18" s="16">
        <f t="shared" si="2"/>
        <v>46587261.210000001</v>
      </c>
      <c r="M18" s="7"/>
    </row>
    <row r="19" spans="1:13" ht="16.5" customHeight="1" x14ac:dyDescent="0.35">
      <c r="A19" s="6"/>
      <c r="B19" s="277">
        <v>4</v>
      </c>
      <c r="C19" s="278" t="s">
        <v>40</v>
      </c>
      <c r="D19" s="54" t="s">
        <v>42</v>
      </c>
      <c r="E19" s="3" t="s">
        <v>8</v>
      </c>
      <c r="F19" s="3" t="s">
        <v>6</v>
      </c>
      <c r="G19" s="3">
        <v>1</v>
      </c>
      <c r="H19" s="3">
        <v>1</v>
      </c>
      <c r="I19" s="15">
        <v>9566700</v>
      </c>
      <c r="J19" s="59">
        <f t="shared" si="0"/>
        <v>1817673</v>
      </c>
      <c r="K19" s="16">
        <f t="shared" si="1"/>
        <v>11384373</v>
      </c>
      <c r="L19" s="16">
        <f t="shared" si="2"/>
        <v>11384373</v>
      </c>
      <c r="M19" s="7"/>
    </row>
    <row r="20" spans="1:13" ht="28" x14ac:dyDescent="0.35">
      <c r="A20" s="6"/>
      <c r="B20" s="274"/>
      <c r="C20" s="269"/>
      <c r="D20" s="54" t="s">
        <v>45</v>
      </c>
      <c r="E20" s="3" t="s">
        <v>8</v>
      </c>
      <c r="F20" s="3" t="s">
        <v>6</v>
      </c>
      <c r="G20" s="3">
        <v>1</v>
      </c>
      <c r="H20" s="3">
        <v>1</v>
      </c>
      <c r="I20" s="15">
        <v>116666667</v>
      </c>
      <c r="J20" s="59">
        <f t="shared" si="0"/>
        <v>22166666.73</v>
      </c>
      <c r="K20" s="16">
        <f t="shared" si="1"/>
        <v>138833333.72999999</v>
      </c>
      <c r="L20" s="16">
        <f t="shared" si="2"/>
        <v>138833333.72999999</v>
      </c>
      <c r="M20" s="7"/>
    </row>
    <row r="21" spans="1:13" ht="28" x14ac:dyDescent="0.35">
      <c r="A21" s="6"/>
      <c r="B21" s="274"/>
      <c r="C21" s="269"/>
      <c r="D21" s="54" t="s">
        <v>47</v>
      </c>
      <c r="E21" s="3" t="s">
        <v>8</v>
      </c>
      <c r="F21" s="3" t="s">
        <v>6</v>
      </c>
      <c r="G21" s="3">
        <v>10</v>
      </c>
      <c r="H21" s="3">
        <v>1</v>
      </c>
      <c r="I21" s="15">
        <v>1333334</v>
      </c>
      <c r="J21" s="59">
        <f t="shared" si="0"/>
        <v>253333.46</v>
      </c>
      <c r="K21" s="16">
        <f t="shared" si="1"/>
        <v>1586667.46</v>
      </c>
      <c r="L21" s="16">
        <f t="shared" si="2"/>
        <v>15866674.6</v>
      </c>
      <c r="M21" s="7"/>
    </row>
    <row r="22" spans="1:13" ht="24" customHeight="1" x14ac:dyDescent="0.35">
      <c r="A22" s="6"/>
      <c r="B22" s="220" t="s">
        <v>78</v>
      </c>
      <c r="C22" s="220"/>
      <c r="D22" s="220"/>
      <c r="E22" s="220"/>
      <c r="F22" s="220"/>
      <c r="G22" s="220"/>
      <c r="H22" s="220"/>
      <c r="I22" s="220"/>
      <c r="J22" s="220"/>
      <c r="K22" s="220"/>
      <c r="L22" s="220"/>
      <c r="M22" s="7"/>
    </row>
    <row r="23" spans="1:13" ht="28" x14ac:dyDescent="0.35">
      <c r="A23" s="6"/>
      <c r="B23" s="2">
        <v>1</v>
      </c>
      <c r="C23" s="263" t="s">
        <v>50</v>
      </c>
      <c r="D23" s="263"/>
      <c r="E23" s="3" t="s">
        <v>8</v>
      </c>
      <c r="F23" s="3" t="s">
        <v>6</v>
      </c>
      <c r="G23" s="3">
        <v>1</v>
      </c>
      <c r="H23" s="3">
        <v>2</v>
      </c>
      <c r="I23" s="15">
        <v>26397232</v>
      </c>
      <c r="J23" s="59">
        <f>I23*19%</f>
        <v>5015474.08</v>
      </c>
      <c r="K23" s="16">
        <f>+J23+I23</f>
        <v>31412706.079999998</v>
      </c>
      <c r="L23" s="16">
        <f>+K23*H23*G23</f>
        <v>62825412.159999996</v>
      </c>
      <c r="M23" s="7"/>
    </row>
    <row r="24" spans="1:13" ht="28" x14ac:dyDescent="0.35">
      <c r="A24" s="6"/>
      <c r="B24" s="277">
        <v>2</v>
      </c>
      <c r="C24" s="278" t="s">
        <v>54</v>
      </c>
      <c r="D24" s="55" t="s">
        <v>55</v>
      </c>
      <c r="E24" s="3" t="s">
        <v>8</v>
      </c>
      <c r="F24" s="3" t="s">
        <v>6</v>
      </c>
      <c r="G24" s="3">
        <v>2</v>
      </c>
      <c r="H24" s="58">
        <v>12</v>
      </c>
      <c r="I24" s="15">
        <v>6743759.5</v>
      </c>
      <c r="J24" s="59">
        <f t="shared" ref="J24:J29" si="3">I24*19%</f>
        <v>1281314.3049999999</v>
      </c>
      <c r="K24" s="16">
        <f t="shared" ref="K24:K29" si="4">+J24+I24</f>
        <v>8025073.8049999997</v>
      </c>
      <c r="L24" s="16">
        <f t="shared" ref="L24:L29" si="5">+K24*H24*G24</f>
        <v>192601771.31999999</v>
      </c>
      <c r="M24" s="7"/>
    </row>
    <row r="25" spans="1:13" ht="28" x14ac:dyDescent="0.35">
      <c r="A25" s="6"/>
      <c r="B25" s="274"/>
      <c r="C25" s="269"/>
      <c r="D25" s="55" t="s">
        <v>58</v>
      </c>
      <c r="E25" s="3" t="s">
        <v>8</v>
      </c>
      <c r="F25" s="3" t="s">
        <v>6</v>
      </c>
      <c r="G25" s="3">
        <v>2</v>
      </c>
      <c r="H25" s="58">
        <v>12</v>
      </c>
      <c r="I25" s="15">
        <v>9816560.5999999996</v>
      </c>
      <c r="J25" s="59">
        <f t="shared" si="3"/>
        <v>1865146.514</v>
      </c>
      <c r="K25" s="16">
        <f t="shared" si="4"/>
        <v>11681707.114</v>
      </c>
      <c r="L25" s="16">
        <f t="shared" si="5"/>
        <v>280360970.736</v>
      </c>
      <c r="M25" s="7"/>
    </row>
    <row r="26" spans="1:13" ht="28" x14ac:dyDescent="0.35">
      <c r="A26" s="6"/>
      <c r="B26" s="274"/>
      <c r="C26" s="269"/>
      <c r="D26" s="55" t="s">
        <v>79</v>
      </c>
      <c r="E26" s="3" t="s">
        <v>8</v>
      </c>
      <c r="F26" s="3" t="s">
        <v>6</v>
      </c>
      <c r="G26" s="3">
        <v>1</v>
      </c>
      <c r="H26" s="58">
        <v>12</v>
      </c>
      <c r="I26" s="15">
        <v>3833896.6</v>
      </c>
      <c r="J26" s="59">
        <f t="shared" si="3"/>
        <v>728440.35400000005</v>
      </c>
      <c r="K26" s="16">
        <f t="shared" si="4"/>
        <v>4562336.9539999999</v>
      </c>
      <c r="L26" s="16">
        <f t="shared" si="5"/>
        <v>54748043.447999999</v>
      </c>
      <c r="M26" s="7"/>
    </row>
    <row r="27" spans="1:13" ht="28" x14ac:dyDescent="0.35">
      <c r="A27" s="6"/>
      <c r="B27" s="275"/>
      <c r="C27" s="276"/>
      <c r="D27" s="55" t="s">
        <v>62</v>
      </c>
      <c r="E27" s="3" t="s">
        <v>8</v>
      </c>
      <c r="F27" s="3" t="s">
        <v>6</v>
      </c>
      <c r="G27" s="3">
        <v>1700</v>
      </c>
      <c r="H27" s="58">
        <v>12</v>
      </c>
      <c r="I27" s="15">
        <v>4097.3999999999996</v>
      </c>
      <c r="J27" s="59">
        <f t="shared" si="3"/>
        <v>778.50599999999997</v>
      </c>
      <c r="K27" s="16">
        <f t="shared" si="4"/>
        <v>4875.9059999999999</v>
      </c>
      <c r="L27" s="16">
        <f t="shared" si="5"/>
        <v>99468482.400000006</v>
      </c>
      <c r="M27" s="7"/>
    </row>
    <row r="28" spans="1:13" ht="28" x14ac:dyDescent="0.35">
      <c r="A28" s="6"/>
      <c r="B28" s="2">
        <v>3</v>
      </c>
      <c r="C28" s="279" t="s">
        <v>64</v>
      </c>
      <c r="D28" s="280"/>
      <c r="E28" s="3" t="s">
        <v>8</v>
      </c>
      <c r="F28" s="3" t="s">
        <v>6</v>
      </c>
      <c r="G28" s="3">
        <v>10</v>
      </c>
      <c r="H28" s="3">
        <v>12</v>
      </c>
      <c r="I28" s="15">
        <v>2402474.0499999998</v>
      </c>
      <c r="J28" s="59">
        <f t="shared" si="3"/>
        <v>456470.06949999998</v>
      </c>
      <c r="K28" s="16">
        <f t="shared" si="4"/>
        <v>2858944.1195</v>
      </c>
      <c r="L28" s="16">
        <f t="shared" si="5"/>
        <v>343073294.34000003</v>
      </c>
      <c r="M28" s="7"/>
    </row>
    <row r="29" spans="1:13" ht="42" x14ac:dyDescent="0.35">
      <c r="A29" s="6"/>
      <c r="B29" s="2">
        <v>4</v>
      </c>
      <c r="C29" s="54" t="s">
        <v>67</v>
      </c>
      <c r="D29" s="54" t="s">
        <v>80</v>
      </c>
      <c r="E29" s="3" t="s">
        <v>8</v>
      </c>
      <c r="F29" s="3" t="s">
        <v>6</v>
      </c>
      <c r="G29" s="3">
        <v>150</v>
      </c>
      <c r="H29" s="3">
        <v>12</v>
      </c>
      <c r="I29" s="15">
        <v>25906.78</v>
      </c>
      <c r="J29" s="59">
        <f t="shared" si="3"/>
        <v>4922.2882</v>
      </c>
      <c r="K29" s="16">
        <f t="shared" si="4"/>
        <v>30829.068199999998</v>
      </c>
      <c r="L29" s="16">
        <f t="shared" si="5"/>
        <v>55492322.759999998</v>
      </c>
      <c r="M29" s="7"/>
    </row>
    <row r="30" spans="1:13" x14ac:dyDescent="0.35">
      <c r="A30" s="6"/>
      <c r="B30" s="220" t="s">
        <v>81</v>
      </c>
      <c r="C30" s="220"/>
      <c r="D30" s="220"/>
      <c r="E30" s="220"/>
      <c r="F30" s="220"/>
      <c r="G30" s="220"/>
      <c r="H30" s="220"/>
      <c r="I30" s="220"/>
      <c r="J30" s="220"/>
      <c r="K30" s="220"/>
      <c r="L30" s="220"/>
      <c r="M30" s="11"/>
    </row>
    <row r="31" spans="1:13" ht="28" x14ac:dyDescent="0.35">
      <c r="A31" s="6"/>
      <c r="B31" s="2">
        <v>1</v>
      </c>
      <c r="C31" s="263" t="s">
        <v>106</v>
      </c>
      <c r="D31" s="263"/>
      <c r="E31" s="3" t="s">
        <v>8</v>
      </c>
      <c r="F31" s="3" t="s">
        <v>6</v>
      </c>
      <c r="G31" s="3">
        <v>1</v>
      </c>
      <c r="H31" s="3">
        <v>12</v>
      </c>
      <c r="I31" s="15">
        <v>11882956.1</v>
      </c>
      <c r="J31" s="59">
        <f>I31*19%</f>
        <v>2257761.659</v>
      </c>
      <c r="K31" s="16">
        <f>+J31+I31</f>
        <v>14140717.759</v>
      </c>
      <c r="L31" s="16">
        <f>+K31*H31*G31</f>
        <v>169688613.10799998</v>
      </c>
      <c r="M31" s="7"/>
    </row>
    <row r="32" spans="1:13" ht="15" thickBot="1" x14ac:dyDescent="0.4">
      <c r="A32" s="6"/>
      <c r="B32" s="264" t="s">
        <v>107</v>
      </c>
      <c r="C32" s="264"/>
      <c r="D32" s="264"/>
      <c r="E32" s="264"/>
      <c r="F32" s="264"/>
      <c r="G32" s="264"/>
      <c r="H32" s="264"/>
      <c r="I32" s="264"/>
      <c r="J32" s="264"/>
      <c r="K32" s="264"/>
      <c r="L32" s="264"/>
      <c r="M32" s="7"/>
    </row>
    <row r="33" spans="1:13" ht="28" x14ac:dyDescent="0.35">
      <c r="A33" s="6"/>
      <c r="B33" s="265">
        <v>1</v>
      </c>
      <c r="C33" s="268" t="s">
        <v>54</v>
      </c>
      <c r="D33" s="75" t="s">
        <v>55</v>
      </c>
      <c r="E33" s="76" t="s">
        <v>8</v>
      </c>
      <c r="F33" s="76" t="s">
        <v>6</v>
      </c>
      <c r="G33" s="76">
        <v>2</v>
      </c>
      <c r="H33" s="77">
        <v>24</v>
      </c>
      <c r="I33" s="15"/>
      <c r="J33" s="59">
        <f>I33*19%</f>
        <v>0</v>
      </c>
      <c r="K33" s="78">
        <f t="shared" ref="K33:K40" si="6">+J33+I33</f>
        <v>0</v>
      </c>
      <c r="L33" s="79">
        <f t="shared" ref="L33:L40" si="7">+K33*H33*G33</f>
        <v>0</v>
      </c>
      <c r="M33" s="271"/>
    </row>
    <row r="34" spans="1:13" ht="28" x14ac:dyDescent="0.35">
      <c r="A34" s="6"/>
      <c r="B34" s="266"/>
      <c r="C34" s="269"/>
      <c r="D34" s="55" t="s">
        <v>58</v>
      </c>
      <c r="E34" s="3" t="s">
        <v>8</v>
      </c>
      <c r="F34" s="3" t="s">
        <v>6</v>
      </c>
      <c r="G34" s="3">
        <v>2</v>
      </c>
      <c r="H34" s="80">
        <v>24</v>
      </c>
      <c r="I34" s="15"/>
      <c r="J34" s="59">
        <f>I34*19%</f>
        <v>0</v>
      </c>
      <c r="K34" s="16">
        <f t="shared" si="6"/>
        <v>0</v>
      </c>
      <c r="L34" s="81">
        <f t="shared" si="7"/>
        <v>0</v>
      </c>
      <c r="M34" s="272"/>
    </row>
    <row r="35" spans="1:13" ht="28" x14ac:dyDescent="0.35">
      <c r="A35" s="6"/>
      <c r="B35" s="266"/>
      <c r="C35" s="269"/>
      <c r="D35" s="55" t="s">
        <v>79</v>
      </c>
      <c r="E35" s="3" t="s">
        <v>8</v>
      </c>
      <c r="F35" s="3" t="s">
        <v>6</v>
      </c>
      <c r="G35" s="3">
        <v>1</v>
      </c>
      <c r="H35" s="80">
        <v>24</v>
      </c>
      <c r="I35" s="15"/>
      <c r="J35" s="59">
        <f>I35*19%</f>
        <v>0</v>
      </c>
      <c r="K35" s="16">
        <f t="shared" si="6"/>
        <v>0</v>
      </c>
      <c r="L35" s="81">
        <f t="shared" si="7"/>
        <v>0</v>
      </c>
      <c r="M35" s="272"/>
    </row>
    <row r="36" spans="1:13" ht="28.5" thickBot="1" x14ac:dyDescent="0.4">
      <c r="A36" s="6"/>
      <c r="B36" s="267"/>
      <c r="C36" s="270"/>
      <c r="D36" s="82" t="s">
        <v>62</v>
      </c>
      <c r="E36" s="83" t="s">
        <v>8</v>
      </c>
      <c r="F36" s="83" t="s">
        <v>6</v>
      </c>
      <c r="G36" s="83">
        <v>1700</v>
      </c>
      <c r="H36" s="84">
        <v>24</v>
      </c>
      <c r="I36" s="15"/>
      <c r="J36" s="59">
        <f>I36*19%</f>
        <v>0</v>
      </c>
      <c r="K36" s="85">
        <f t="shared" si="6"/>
        <v>0</v>
      </c>
      <c r="L36" s="86">
        <f t="shared" si="7"/>
        <v>0</v>
      </c>
      <c r="M36" s="272"/>
    </row>
    <row r="37" spans="1:13" ht="28" x14ac:dyDescent="0.35">
      <c r="A37" s="6"/>
      <c r="B37" s="274">
        <v>2</v>
      </c>
      <c r="C37" s="269" t="s">
        <v>54</v>
      </c>
      <c r="D37" s="87" t="s">
        <v>55</v>
      </c>
      <c r="E37" s="72" t="s">
        <v>8</v>
      </c>
      <c r="F37" s="72" t="s">
        <v>6</v>
      </c>
      <c r="G37" s="72">
        <v>2</v>
      </c>
      <c r="H37" s="88">
        <v>36</v>
      </c>
      <c r="I37" s="15"/>
      <c r="J37" s="59">
        <f t="shared" ref="J37:J40" si="8">I37*19%</f>
        <v>0</v>
      </c>
      <c r="K37" s="89">
        <f t="shared" si="6"/>
        <v>0</v>
      </c>
      <c r="L37" s="89">
        <f t="shared" si="7"/>
        <v>0</v>
      </c>
      <c r="M37" s="272"/>
    </row>
    <row r="38" spans="1:13" ht="28" x14ac:dyDescent="0.35">
      <c r="A38" s="6"/>
      <c r="B38" s="274"/>
      <c r="C38" s="269"/>
      <c r="D38" s="55" t="s">
        <v>58</v>
      </c>
      <c r="E38" s="3" t="s">
        <v>8</v>
      </c>
      <c r="F38" s="3" t="s">
        <v>6</v>
      </c>
      <c r="G38" s="3">
        <v>2</v>
      </c>
      <c r="H38" s="88">
        <v>36</v>
      </c>
      <c r="I38" s="15"/>
      <c r="J38" s="59">
        <f t="shared" si="8"/>
        <v>0</v>
      </c>
      <c r="K38" s="16">
        <f t="shared" si="6"/>
        <v>0</v>
      </c>
      <c r="L38" s="16">
        <f t="shared" si="7"/>
        <v>0</v>
      </c>
      <c r="M38" s="272"/>
    </row>
    <row r="39" spans="1:13" ht="28" x14ac:dyDescent="0.35">
      <c r="A39" s="6"/>
      <c r="B39" s="274"/>
      <c r="C39" s="269"/>
      <c r="D39" s="55" t="s">
        <v>79</v>
      </c>
      <c r="E39" s="3" t="s">
        <v>8</v>
      </c>
      <c r="F39" s="3" t="s">
        <v>6</v>
      </c>
      <c r="G39" s="3">
        <v>1</v>
      </c>
      <c r="H39" s="88">
        <v>36</v>
      </c>
      <c r="I39" s="15"/>
      <c r="J39" s="59">
        <f t="shared" si="8"/>
        <v>0</v>
      </c>
      <c r="K39" s="16">
        <f t="shared" si="6"/>
        <v>0</v>
      </c>
      <c r="L39" s="16">
        <f t="shared" si="7"/>
        <v>0</v>
      </c>
      <c r="M39" s="272"/>
    </row>
    <row r="40" spans="1:13" ht="28" x14ac:dyDescent="0.35">
      <c r="A40" s="6"/>
      <c r="B40" s="275"/>
      <c r="C40" s="276"/>
      <c r="D40" s="55" t="s">
        <v>62</v>
      </c>
      <c r="E40" s="3" t="s">
        <v>8</v>
      </c>
      <c r="F40" s="3" t="s">
        <v>6</v>
      </c>
      <c r="G40" s="3">
        <v>1700</v>
      </c>
      <c r="H40" s="88">
        <v>36</v>
      </c>
      <c r="I40" s="15"/>
      <c r="J40" s="59">
        <f t="shared" si="8"/>
        <v>0</v>
      </c>
      <c r="K40" s="16">
        <f t="shared" si="6"/>
        <v>0</v>
      </c>
      <c r="L40" s="16">
        <f t="shared" si="7"/>
        <v>0</v>
      </c>
      <c r="M40" s="273"/>
    </row>
    <row r="41" spans="1:13" ht="30.5" customHeight="1" x14ac:dyDescent="0.35">
      <c r="B41" s="12"/>
      <c r="C41" s="13"/>
      <c r="D41" s="13"/>
      <c r="E41" s="13"/>
      <c r="F41" s="13"/>
      <c r="G41" s="13"/>
      <c r="H41" s="13"/>
      <c r="I41" s="13"/>
      <c r="J41" s="13"/>
      <c r="K41" s="1" t="s">
        <v>14</v>
      </c>
      <c r="L41" s="17">
        <f>SUM(L16:L21,L23:L29,L31,L33:L40)</f>
        <v>1950951129.6044002</v>
      </c>
      <c r="M41" s="7"/>
    </row>
    <row r="42" spans="1:13" x14ac:dyDescent="0.35">
      <c r="L42" s="9"/>
    </row>
    <row r="43" spans="1:13" x14ac:dyDescent="0.35">
      <c r="B43" s="90" t="s">
        <v>108</v>
      </c>
    </row>
    <row r="44" spans="1:13" x14ac:dyDescent="0.35">
      <c r="B44" s="90"/>
    </row>
    <row r="45" spans="1:13" x14ac:dyDescent="0.35">
      <c r="B45" s="90"/>
    </row>
    <row r="46" spans="1:13" x14ac:dyDescent="0.35">
      <c r="B46" s="91"/>
    </row>
    <row r="47" spans="1:13" x14ac:dyDescent="0.35">
      <c r="B47" s="92" t="s">
        <v>109</v>
      </c>
    </row>
    <row r="48" spans="1:13" x14ac:dyDescent="0.35">
      <c r="B48" s="93" t="s">
        <v>110</v>
      </c>
      <c r="C48" s="93"/>
      <c r="D48" s="4" t="s">
        <v>111</v>
      </c>
    </row>
    <row r="49" spans="2:13" x14ac:dyDescent="0.35">
      <c r="B49" s="93" t="s">
        <v>112</v>
      </c>
      <c r="C49" s="93"/>
      <c r="D49" s="4" t="s">
        <v>113</v>
      </c>
    </row>
    <row r="50" spans="2:13" x14ac:dyDescent="0.35">
      <c r="B50" s="93" t="s">
        <v>114</v>
      </c>
      <c r="C50" s="93"/>
      <c r="D50" s="4" t="s">
        <v>115</v>
      </c>
    </row>
    <row r="51" spans="2:13" x14ac:dyDescent="0.35">
      <c r="B51" s="94" t="s">
        <v>116</v>
      </c>
      <c r="C51" s="93"/>
      <c r="D51" s="4" t="s">
        <v>117</v>
      </c>
      <c r="F51" s="262"/>
      <c r="G51" s="262"/>
      <c r="H51" s="262"/>
      <c r="I51" s="262"/>
      <c r="J51" s="262"/>
      <c r="K51" s="262"/>
      <c r="L51" s="262"/>
      <c r="M51" s="262"/>
    </row>
    <row r="52" spans="2:13" x14ac:dyDescent="0.35">
      <c r="B52" s="95"/>
    </row>
  </sheetData>
  <sheetProtection formatColumns="0" selectLockedCells="1" selectUnlockedCells="1"/>
  <mergeCells count="26">
    <mergeCell ref="C14:D14"/>
    <mergeCell ref="B2:L5"/>
    <mergeCell ref="B8:B9"/>
    <mergeCell ref="C8:L9"/>
    <mergeCell ref="B11:B12"/>
    <mergeCell ref="C11:L12"/>
    <mergeCell ref="B30:L30"/>
    <mergeCell ref="B15:L15"/>
    <mergeCell ref="C16:D16"/>
    <mergeCell ref="C17:D17"/>
    <mergeCell ref="C18:D18"/>
    <mergeCell ref="B19:B21"/>
    <mergeCell ref="C19:C21"/>
    <mergeCell ref="B22:L22"/>
    <mergeCell ref="C23:D23"/>
    <mergeCell ref="B24:B27"/>
    <mergeCell ref="C24:C27"/>
    <mergeCell ref="C28:D28"/>
    <mergeCell ref="F51:M51"/>
    <mergeCell ref="C31:D31"/>
    <mergeCell ref="B32:L32"/>
    <mergeCell ref="B33:B36"/>
    <mergeCell ref="C33:C36"/>
    <mergeCell ref="M33:M40"/>
    <mergeCell ref="B37:B40"/>
    <mergeCell ref="C37:C40"/>
  </mergeCells>
  <pageMargins left="0.7" right="0.7" top="0.75" bottom="0.75" header="0.3" footer="0.3"/>
  <pageSetup orientation="portrait" r:id="rId1"/>
  <headerFooter>
    <oddFooter>&amp;L_x000D_&amp;1#&amp;"Aptos"&amp;10&amp;K000000 Informacion publica</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J2"/>
  <sheetViews>
    <sheetView workbookViewId="0">
      <selection activeCell="K18" sqref="K18"/>
    </sheetView>
  </sheetViews>
  <sheetFormatPr baseColWidth="10" defaultRowHeight="14.5" x14ac:dyDescent="0.35"/>
  <sheetData>
    <row r="2" spans="10:10" x14ac:dyDescent="0.35">
      <c r="J2" t="s">
        <v>118</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8193" r:id="rId4">
          <objectPr defaultSize="0" autoPict="0" r:id="rId5">
            <anchor moveWithCells="1">
              <from>
                <xdr:col>0</xdr:col>
                <xdr:colOff>222250</xdr:colOff>
                <xdr:row>1</xdr:row>
                <xdr:rowOff>6350</xdr:rowOff>
              </from>
              <to>
                <xdr:col>8</xdr:col>
                <xdr:colOff>374650</xdr:colOff>
                <xdr:row>27</xdr:row>
                <xdr:rowOff>139700</xdr:rowOff>
              </to>
            </anchor>
          </objectPr>
        </oleObject>
      </mc:Choice>
      <mc:Fallback>
        <oleObject progId="Acrobat.pdfxml.1" shapeId="819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I2"/>
  <sheetViews>
    <sheetView topLeftCell="A10" workbookViewId="0">
      <selection activeCell="I11" sqref="I11"/>
    </sheetView>
  </sheetViews>
  <sheetFormatPr baseColWidth="10" defaultRowHeight="14.5" x14ac:dyDescent="0.35"/>
  <sheetData>
    <row r="2" spans="9:9" x14ac:dyDescent="0.35">
      <c r="I2" t="s">
        <v>118</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9217" r:id="rId4">
          <objectPr defaultSize="0" autoPict="0" r:id="rId5">
            <anchor moveWithCells="1">
              <from>
                <xdr:col>0</xdr:col>
                <xdr:colOff>444500</xdr:colOff>
                <xdr:row>0</xdr:row>
                <xdr:rowOff>177800</xdr:rowOff>
              </from>
              <to>
                <xdr:col>7</xdr:col>
                <xdr:colOff>711200</xdr:colOff>
                <xdr:row>44</xdr:row>
                <xdr:rowOff>139700</xdr:rowOff>
              </to>
            </anchor>
          </objectPr>
        </oleObject>
      </mc:Choice>
      <mc:Fallback>
        <oleObject progId="Acrobat.pdfxml.1" shapeId="921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H2"/>
  <sheetViews>
    <sheetView zoomScaleNormal="100" workbookViewId="0">
      <selection activeCell="C22" sqref="C22"/>
    </sheetView>
  </sheetViews>
  <sheetFormatPr baseColWidth="10" defaultRowHeight="14.5" x14ac:dyDescent="0.35"/>
  <sheetData>
    <row r="2" spans="8:8" x14ac:dyDescent="0.35">
      <c r="H2" t="s">
        <v>118</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10241" r:id="rId4">
          <objectPr defaultSize="0" r:id="rId5">
            <anchor moveWithCells="1">
              <from>
                <xdr:col>0</xdr:col>
                <xdr:colOff>0</xdr:colOff>
                <xdr:row>0</xdr:row>
                <xdr:rowOff>0</xdr:rowOff>
              </from>
              <to>
                <xdr:col>6</xdr:col>
                <xdr:colOff>457200</xdr:colOff>
                <xdr:row>21</xdr:row>
                <xdr:rowOff>88900</xdr:rowOff>
              </to>
            </anchor>
          </objectPr>
        </oleObject>
      </mc:Choice>
      <mc:Fallback>
        <oleObject progId="Acrobat.pdfxml.1" shapeId="10241"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H2"/>
  <sheetViews>
    <sheetView zoomScale="85" zoomScaleNormal="85" workbookViewId="0">
      <selection activeCell="I7" sqref="I7"/>
    </sheetView>
  </sheetViews>
  <sheetFormatPr baseColWidth="10" defaultRowHeight="14.5" x14ac:dyDescent="0.35"/>
  <sheetData>
    <row r="2" spans="8:8" x14ac:dyDescent="0.35">
      <c r="H2" t="s">
        <v>118</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11265" r:id="rId4">
          <objectPr defaultSize="0" r:id="rId5">
            <anchor moveWithCells="1">
              <from>
                <xdr:col>0</xdr:col>
                <xdr:colOff>0</xdr:colOff>
                <xdr:row>0</xdr:row>
                <xdr:rowOff>0</xdr:rowOff>
              </from>
              <to>
                <xdr:col>6</xdr:col>
                <xdr:colOff>457200</xdr:colOff>
                <xdr:row>21</xdr:row>
                <xdr:rowOff>88900</xdr:rowOff>
              </to>
            </anchor>
          </objectPr>
        </oleObject>
      </mc:Choice>
      <mc:Fallback>
        <oleObject progId="Acrobat.pdfxml.1" shapeId="11265" r:id="rId4"/>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topLeftCell="C29" zoomScale="85" zoomScaleNormal="85" workbookViewId="0">
      <selection activeCell="K41" sqref="K41"/>
    </sheetView>
  </sheetViews>
  <sheetFormatPr baseColWidth="10" defaultColWidth="11.453125" defaultRowHeight="14.5" x14ac:dyDescent="0.35"/>
  <cols>
    <col min="1" max="1" width="2.36328125" style="4" customWidth="1"/>
    <col min="2" max="2" width="7.453125" style="4" customWidth="1"/>
    <col min="3" max="3" width="16" style="4" customWidth="1"/>
    <col min="4" max="4" width="38.36328125" style="4" customWidth="1"/>
    <col min="5" max="5" width="30.453125" style="4" customWidth="1"/>
    <col min="6" max="6" width="10.453125" style="4" customWidth="1"/>
    <col min="7" max="7" width="8.81640625" style="4" bestFit="1" customWidth="1"/>
    <col min="8" max="8" width="8.81640625" style="4" customWidth="1"/>
    <col min="9" max="9" width="19" style="4" customWidth="1"/>
    <col min="10" max="10" width="16.1796875" style="4" bestFit="1" customWidth="1"/>
    <col min="11" max="11" width="18.36328125" style="4" customWidth="1"/>
    <col min="12" max="12" width="22.1796875" style="4" customWidth="1"/>
    <col min="13" max="13" width="25.6328125" style="4" customWidth="1"/>
    <col min="14" max="16384" width="11.453125" style="4"/>
  </cols>
  <sheetData>
    <row r="1" spans="1:13" x14ac:dyDescent="0.35">
      <c r="B1" s="8"/>
      <c r="C1" s="8"/>
      <c r="D1" s="8"/>
      <c r="E1" s="8"/>
      <c r="F1" s="8"/>
      <c r="G1" s="8"/>
      <c r="H1" s="8"/>
      <c r="I1" s="8"/>
      <c r="J1" s="8"/>
      <c r="K1" s="8"/>
      <c r="L1" s="8"/>
    </row>
    <row r="2" spans="1:13" x14ac:dyDescent="0.35">
      <c r="A2" s="6"/>
      <c r="B2" s="281" t="s">
        <v>9</v>
      </c>
      <c r="C2" s="281"/>
      <c r="D2" s="281"/>
      <c r="E2" s="281"/>
      <c r="F2" s="281"/>
      <c r="G2" s="281"/>
      <c r="H2" s="281"/>
      <c r="I2" s="281"/>
      <c r="J2" s="281"/>
      <c r="K2" s="281"/>
      <c r="L2" s="281"/>
      <c r="M2" s="7"/>
    </row>
    <row r="3" spans="1:13" x14ac:dyDescent="0.35">
      <c r="A3" s="6"/>
      <c r="B3" s="281"/>
      <c r="C3" s="281"/>
      <c r="D3" s="281"/>
      <c r="E3" s="281"/>
      <c r="F3" s="281"/>
      <c r="G3" s="281"/>
      <c r="H3" s="281"/>
      <c r="I3" s="281"/>
      <c r="J3" s="281"/>
      <c r="K3" s="281"/>
      <c r="L3" s="281"/>
      <c r="M3" s="7"/>
    </row>
    <row r="4" spans="1:13" x14ac:dyDescent="0.35">
      <c r="A4" s="6"/>
      <c r="B4" s="281"/>
      <c r="C4" s="281"/>
      <c r="D4" s="281"/>
      <c r="E4" s="281"/>
      <c r="F4" s="281"/>
      <c r="G4" s="281"/>
      <c r="H4" s="281"/>
      <c r="I4" s="281"/>
      <c r="J4" s="281"/>
      <c r="K4" s="281"/>
      <c r="L4" s="281"/>
      <c r="M4" s="7"/>
    </row>
    <row r="5" spans="1:13" x14ac:dyDescent="0.35">
      <c r="A5" s="6"/>
      <c r="B5" s="281"/>
      <c r="C5" s="281"/>
      <c r="D5" s="281"/>
      <c r="E5" s="281"/>
      <c r="F5" s="281"/>
      <c r="G5" s="281"/>
      <c r="H5" s="281"/>
      <c r="I5" s="281"/>
      <c r="J5" s="281"/>
      <c r="K5" s="281"/>
      <c r="L5" s="281"/>
      <c r="M5" s="7"/>
    </row>
    <row r="6" spans="1:13" x14ac:dyDescent="0.35">
      <c r="B6" s="9"/>
      <c r="C6" s="9"/>
      <c r="D6" s="9"/>
      <c r="E6" s="9"/>
      <c r="F6" s="9"/>
      <c r="G6" s="9"/>
      <c r="H6" s="9"/>
      <c r="I6" s="9"/>
      <c r="J6" s="9"/>
      <c r="K6" s="9"/>
      <c r="L6" s="9"/>
    </row>
    <row r="7" spans="1:13" x14ac:dyDescent="0.35">
      <c r="B7" s="8"/>
      <c r="C7" s="8"/>
      <c r="D7" s="8"/>
      <c r="E7" s="8"/>
      <c r="F7" s="8"/>
      <c r="G7" s="8"/>
      <c r="H7" s="8"/>
      <c r="I7" s="8"/>
      <c r="J7" s="8"/>
      <c r="K7" s="8"/>
      <c r="L7" s="8"/>
    </row>
    <row r="8" spans="1:13" ht="16.5" customHeight="1" x14ac:dyDescent="0.35">
      <c r="A8" s="6"/>
      <c r="B8" s="206" t="s">
        <v>3</v>
      </c>
      <c r="C8" s="207" t="s">
        <v>83</v>
      </c>
      <c r="D8" s="208"/>
      <c r="E8" s="208"/>
      <c r="F8" s="208"/>
      <c r="G8" s="208"/>
      <c r="H8" s="208"/>
      <c r="I8" s="208"/>
      <c r="J8" s="208"/>
      <c r="K8" s="208"/>
      <c r="L8" s="209"/>
      <c r="M8" s="7"/>
    </row>
    <row r="9" spans="1:13" ht="15" customHeight="1" x14ac:dyDescent="0.35">
      <c r="A9" s="6"/>
      <c r="B9" s="206"/>
      <c r="C9" s="210"/>
      <c r="D9" s="211"/>
      <c r="E9" s="211"/>
      <c r="F9" s="211"/>
      <c r="G9" s="211"/>
      <c r="H9" s="211"/>
      <c r="I9" s="211"/>
      <c r="J9" s="211"/>
      <c r="K9" s="211"/>
      <c r="L9" s="212"/>
      <c r="M9" s="7"/>
    </row>
    <row r="10" spans="1:13" ht="15" customHeight="1" x14ac:dyDescent="0.35">
      <c r="B10" s="14"/>
      <c r="C10" s="9"/>
      <c r="D10" s="9"/>
      <c r="E10" s="9"/>
      <c r="F10" s="9"/>
      <c r="G10" s="9"/>
      <c r="H10" s="9"/>
      <c r="I10" s="9"/>
      <c r="J10" s="9"/>
      <c r="K10" s="9"/>
      <c r="L10" s="9"/>
    </row>
    <row r="11" spans="1:13" ht="66" customHeight="1" x14ac:dyDescent="0.35">
      <c r="B11" s="206" t="s">
        <v>10</v>
      </c>
      <c r="C11" s="213" t="s">
        <v>82</v>
      </c>
      <c r="D11" s="214"/>
      <c r="E11" s="214"/>
      <c r="F11" s="214"/>
      <c r="G11" s="214"/>
      <c r="H11" s="214"/>
      <c r="I11" s="214"/>
      <c r="J11" s="214"/>
      <c r="K11" s="214"/>
      <c r="L11" s="215"/>
    </row>
    <row r="12" spans="1:13" ht="61.5" customHeight="1" x14ac:dyDescent="0.35">
      <c r="B12" s="206"/>
      <c r="C12" s="216"/>
      <c r="D12" s="217"/>
      <c r="E12" s="217"/>
      <c r="F12" s="217"/>
      <c r="G12" s="217"/>
      <c r="H12" s="217"/>
      <c r="I12" s="217"/>
      <c r="J12" s="217"/>
      <c r="K12" s="217"/>
      <c r="L12" s="218"/>
    </row>
    <row r="13" spans="1:13" x14ac:dyDescent="0.35">
      <c r="A13" s="6"/>
      <c r="B13" s="6"/>
      <c r="C13" s="6"/>
      <c r="D13" s="6"/>
      <c r="E13" s="6"/>
      <c r="F13" s="6"/>
      <c r="G13" s="6"/>
      <c r="H13" s="6"/>
      <c r="I13" s="6"/>
      <c r="J13" s="6"/>
      <c r="K13" s="6"/>
      <c r="L13" s="6"/>
      <c r="M13" s="6"/>
    </row>
    <row r="14" spans="1:13" s="5" customFormat="1" ht="47" customHeight="1" x14ac:dyDescent="0.35">
      <c r="A14" s="10"/>
      <c r="B14" s="1" t="s">
        <v>0</v>
      </c>
      <c r="C14" s="220" t="s">
        <v>4</v>
      </c>
      <c r="D14" s="220"/>
      <c r="E14" s="1" t="s">
        <v>5</v>
      </c>
      <c r="F14" s="1" t="s">
        <v>1</v>
      </c>
      <c r="G14" s="1" t="s">
        <v>2</v>
      </c>
      <c r="H14" s="1" t="s">
        <v>7</v>
      </c>
      <c r="I14" s="1" t="s">
        <v>11</v>
      </c>
      <c r="J14" s="1" t="s">
        <v>12</v>
      </c>
      <c r="K14" s="1" t="s">
        <v>13</v>
      </c>
      <c r="L14" s="1" t="s">
        <v>105</v>
      </c>
      <c r="M14" s="11"/>
    </row>
    <row r="15" spans="1:13" ht="26.5" customHeight="1" x14ac:dyDescent="0.35">
      <c r="A15" s="6"/>
      <c r="B15" s="220" t="s">
        <v>15</v>
      </c>
      <c r="C15" s="220"/>
      <c r="D15" s="220"/>
      <c r="E15" s="220"/>
      <c r="F15" s="220"/>
      <c r="G15" s="220"/>
      <c r="H15" s="220"/>
      <c r="I15" s="220"/>
      <c r="J15" s="220"/>
      <c r="K15" s="220"/>
      <c r="L15" s="220"/>
      <c r="M15" s="7"/>
    </row>
    <row r="16" spans="1:13" ht="54.75" customHeight="1" x14ac:dyDescent="0.35">
      <c r="A16" s="6"/>
      <c r="B16" s="2">
        <v>1</v>
      </c>
      <c r="C16" s="263" t="s">
        <v>27</v>
      </c>
      <c r="D16" s="263"/>
      <c r="E16" s="3" t="s">
        <v>8</v>
      </c>
      <c r="F16" s="3" t="s">
        <v>6</v>
      </c>
      <c r="G16" s="3">
        <v>1</v>
      </c>
      <c r="H16" s="3">
        <v>12</v>
      </c>
      <c r="I16" s="15">
        <v>21000000</v>
      </c>
      <c r="J16" s="59">
        <f>I16*19%</f>
        <v>3990000</v>
      </c>
      <c r="K16" s="16">
        <f>+J16+I16</f>
        <v>24990000</v>
      </c>
      <c r="L16" s="16">
        <f>+K16*H16*G16</f>
        <v>299880000</v>
      </c>
      <c r="M16" s="7"/>
    </row>
    <row r="17" spans="1:13" ht="28" x14ac:dyDescent="0.35">
      <c r="A17" s="6"/>
      <c r="B17" s="2">
        <v>2</v>
      </c>
      <c r="C17" s="263" t="s">
        <v>33</v>
      </c>
      <c r="D17" s="263"/>
      <c r="E17" s="3" t="s">
        <v>8</v>
      </c>
      <c r="F17" s="3" t="s">
        <v>6</v>
      </c>
      <c r="G17" s="3">
        <v>1</v>
      </c>
      <c r="H17" s="3">
        <v>12</v>
      </c>
      <c r="I17" s="15">
        <v>3700000</v>
      </c>
      <c r="J17" s="59">
        <f t="shared" ref="J17:J21" si="0">I17*19%</f>
        <v>703000</v>
      </c>
      <c r="K17" s="16">
        <f t="shared" ref="K17:K21" si="1">+J17+I17</f>
        <v>4403000</v>
      </c>
      <c r="L17" s="16">
        <f t="shared" ref="L17:L21" si="2">+K17*H17*G17</f>
        <v>52836000</v>
      </c>
      <c r="M17" s="7"/>
    </row>
    <row r="18" spans="1:13" ht="48" customHeight="1" x14ac:dyDescent="0.35">
      <c r="A18" s="6"/>
      <c r="B18" s="2">
        <v>3</v>
      </c>
      <c r="C18" s="263" t="s">
        <v>37</v>
      </c>
      <c r="D18" s="263"/>
      <c r="E18" s="3" t="s">
        <v>8</v>
      </c>
      <c r="F18" s="3" t="s">
        <v>6</v>
      </c>
      <c r="G18" s="3">
        <v>1</v>
      </c>
      <c r="H18" s="3">
        <v>12</v>
      </c>
      <c r="I18" s="15">
        <v>3600000</v>
      </c>
      <c r="J18" s="59">
        <f t="shared" si="0"/>
        <v>684000</v>
      </c>
      <c r="K18" s="16">
        <f t="shared" si="1"/>
        <v>4284000</v>
      </c>
      <c r="L18" s="16">
        <f t="shared" si="2"/>
        <v>51408000</v>
      </c>
      <c r="M18" s="7"/>
    </row>
    <row r="19" spans="1:13" ht="16.5" customHeight="1" x14ac:dyDescent="0.35">
      <c r="A19" s="6"/>
      <c r="B19" s="277">
        <v>4</v>
      </c>
      <c r="C19" s="278" t="s">
        <v>40</v>
      </c>
      <c r="D19" s="54" t="s">
        <v>42</v>
      </c>
      <c r="E19" s="3" t="s">
        <v>8</v>
      </c>
      <c r="F19" s="3" t="s">
        <v>6</v>
      </c>
      <c r="G19" s="3">
        <v>1</v>
      </c>
      <c r="H19" s="3">
        <v>1</v>
      </c>
      <c r="I19" s="15">
        <v>63000000</v>
      </c>
      <c r="J19" s="59">
        <f t="shared" si="0"/>
        <v>11970000</v>
      </c>
      <c r="K19" s="16">
        <f t="shared" si="1"/>
        <v>74970000</v>
      </c>
      <c r="L19" s="16">
        <f t="shared" si="2"/>
        <v>74970000</v>
      </c>
      <c r="M19" s="7"/>
    </row>
    <row r="20" spans="1:13" ht="28" x14ac:dyDescent="0.35">
      <c r="A20" s="6"/>
      <c r="B20" s="274"/>
      <c r="C20" s="269"/>
      <c r="D20" s="54" t="s">
        <v>45</v>
      </c>
      <c r="E20" s="3" t="s">
        <v>8</v>
      </c>
      <c r="F20" s="3" t="s">
        <v>6</v>
      </c>
      <c r="G20" s="3">
        <v>1</v>
      </c>
      <c r="H20" s="3">
        <v>1</v>
      </c>
      <c r="I20" s="15">
        <v>6500000</v>
      </c>
      <c r="J20" s="59">
        <f t="shared" si="0"/>
        <v>1235000</v>
      </c>
      <c r="K20" s="16">
        <f t="shared" si="1"/>
        <v>7735000</v>
      </c>
      <c r="L20" s="16">
        <f t="shared" si="2"/>
        <v>7735000</v>
      </c>
      <c r="M20" s="7"/>
    </row>
    <row r="21" spans="1:13" ht="28" x14ac:dyDescent="0.35">
      <c r="A21" s="6"/>
      <c r="B21" s="274"/>
      <c r="C21" s="269"/>
      <c r="D21" s="54" t="s">
        <v>47</v>
      </c>
      <c r="E21" s="3" t="s">
        <v>8</v>
      </c>
      <c r="F21" s="3" t="s">
        <v>6</v>
      </c>
      <c r="G21" s="3">
        <v>10</v>
      </c>
      <c r="H21" s="3">
        <v>1</v>
      </c>
      <c r="I21" s="15">
        <v>2430000</v>
      </c>
      <c r="J21" s="59">
        <f t="shared" si="0"/>
        <v>461700</v>
      </c>
      <c r="K21" s="16">
        <f t="shared" si="1"/>
        <v>2891700</v>
      </c>
      <c r="L21" s="16">
        <f t="shared" si="2"/>
        <v>28917000</v>
      </c>
      <c r="M21" s="7"/>
    </row>
    <row r="22" spans="1:13" ht="24" customHeight="1" x14ac:dyDescent="0.35">
      <c r="A22" s="6"/>
      <c r="B22" s="220" t="s">
        <v>78</v>
      </c>
      <c r="C22" s="220"/>
      <c r="D22" s="220"/>
      <c r="E22" s="220"/>
      <c r="F22" s="220"/>
      <c r="G22" s="220"/>
      <c r="H22" s="220"/>
      <c r="I22" s="220"/>
      <c r="J22" s="220"/>
      <c r="K22" s="220"/>
      <c r="L22" s="220"/>
      <c r="M22" s="7"/>
    </row>
    <row r="23" spans="1:13" ht="28" x14ac:dyDescent="0.35">
      <c r="A23" s="6"/>
      <c r="B23" s="2">
        <v>1</v>
      </c>
      <c r="C23" s="263" t="s">
        <v>50</v>
      </c>
      <c r="D23" s="263"/>
      <c r="E23" s="3" t="s">
        <v>8</v>
      </c>
      <c r="F23" s="3" t="s">
        <v>6</v>
      </c>
      <c r="G23" s="3">
        <v>1</v>
      </c>
      <c r="H23" s="3">
        <v>2</v>
      </c>
      <c r="I23" s="15">
        <v>8000000</v>
      </c>
      <c r="J23" s="59">
        <f>I23*19%</f>
        <v>1520000</v>
      </c>
      <c r="K23" s="16">
        <f>+J23+I23</f>
        <v>9520000</v>
      </c>
      <c r="L23" s="16">
        <f>+K23*H23*G23</f>
        <v>19040000</v>
      </c>
      <c r="M23" s="7"/>
    </row>
    <row r="24" spans="1:13" ht="28" x14ac:dyDescent="0.35">
      <c r="A24" s="6"/>
      <c r="B24" s="277">
        <v>2</v>
      </c>
      <c r="C24" s="278" t="s">
        <v>54</v>
      </c>
      <c r="D24" s="55" t="s">
        <v>55</v>
      </c>
      <c r="E24" s="3" t="s">
        <v>8</v>
      </c>
      <c r="F24" s="3" t="s">
        <v>6</v>
      </c>
      <c r="G24" s="3">
        <v>2</v>
      </c>
      <c r="H24" s="3">
        <v>12</v>
      </c>
      <c r="I24" s="15">
        <v>14800000</v>
      </c>
      <c r="J24" s="59">
        <f t="shared" ref="J24:J29" si="3">I24*19%</f>
        <v>2812000</v>
      </c>
      <c r="K24" s="16">
        <f t="shared" ref="K24:K29" si="4">+J24+I24</f>
        <v>17612000</v>
      </c>
      <c r="L24" s="16">
        <f t="shared" ref="L24:L29" si="5">+K24*H24*G24</f>
        <v>422688000</v>
      </c>
      <c r="M24" s="7"/>
    </row>
    <row r="25" spans="1:13" ht="28" x14ac:dyDescent="0.35">
      <c r="A25" s="6"/>
      <c r="B25" s="274"/>
      <c r="C25" s="269"/>
      <c r="D25" s="55" t="s">
        <v>58</v>
      </c>
      <c r="E25" s="3" t="s">
        <v>8</v>
      </c>
      <c r="F25" s="3" t="s">
        <v>6</v>
      </c>
      <c r="G25" s="3">
        <v>2</v>
      </c>
      <c r="H25" s="3">
        <v>12</v>
      </c>
      <c r="I25" s="15">
        <v>14300000</v>
      </c>
      <c r="J25" s="59">
        <f t="shared" si="3"/>
        <v>2717000</v>
      </c>
      <c r="K25" s="16">
        <f t="shared" si="4"/>
        <v>17017000</v>
      </c>
      <c r="L25" s="16">
        <f t="shared" si="5"/>
        <v>408408000</v>
      </c>
      <c r="M25" s="7"/>
    </row>
    <row r="26" spans="1:13" ht="28" x14ac:dyDescent="0.35">
      <c r="A26" s="6"/>
      <c r="B26" s="274"/>
      <c r="C26" s="269"/>
      <c r="D26" s="55" t="s">
        <v>79</v>
      </c>
      <c r="E26" s="3" t="s">
        <v>8</v>
      </c>
      <c r="F26" s="3" t="s">
        <v>6</v>
      </c>
      <c r="G26" s="3">
        <v>1</v>
      </c>
      <c r="H26" s="3">
        <v>12</v>
      </c>
      <c r="I26" s="15">
        <v>6300000</v>
      </c>
      <c r="J26" s="59">
        <f t="shared" si="3"/>
        <v>1197000</v>
      </c>
      <c r="K26" s="16">
        <f t="shared" si="4"/>
        <v>7497000</v>
      </c>
      <c r="L26" s="16">
        <f t="shared" si="5"/>
        <v>89964000</v>
      </c>
      <c r="M26" s="7"/>
    </row>
    <row r="27" spans="1:13" ht="28" x14ac:dyDescent="0.35">
      <c r="A27" s="6"/>
      <c r="B27" s="275"/>
      <c r="C27" s="276"/>
      <c r="D27" s="55" t="s">
        <v>62</v>
      </c>
      <c r="E27" s="3" t="s">
        <v>8</v>
      </c>
      <c r="F27" s="3" t="s">
        <v>6</v>
      </c>
      <c r="G27" s="3">
        <v>1700</v>
      </c>
      <c r="H27" s="3">
        <v>12</v>
      </c>
      <c r="I27" s="15">
        <v>50000</v>
      </c>
      <c r="J27" s="59">
        <f t="shared" si="3"/>
        <v>9500</v>
      </c>
      <c r="K27" s="16">
        <f t="shared" si="4"/>
        <v>59500</v>
      </c>
      <c r="L27" s="16">
        <f t="shared" si="5"/>
        <v>1213800000</v>
      </c>
      <c r="M27" s="7"/>
    </row>
    <row r="28" spans="1:13" ht="28" x14ac:dyDescent="0.35">
      <c r="A28" s="6"/>
      <c r="B28" s="2">
        <v>3</v>
      </c>
      <c r="C28" s="279" t="s">
        <v>64</v>
      </c>
      <c r="D28" s="280"/>
      <c r="E28" s="3" t="s">
        <v>8</v>
      </c>
      <c r="F28" s="3" t="s">
        <v>6</v>
      </c>
      <c r="G28" s="3">
        <v>10</v>
      </c>
      <c r="H28" s="3">
        <v>12</v>
      </c>
      <c r="I28" s="15"/>
      <c r="J28" s="59"/>
      <c r="K28" s="16"/>
      <c r="L28" s="16"/>
      <c r="M28" s="7"/>
    </row>
    <row r="29" spans="1:13" ht="42" x14ac:dyDescent="0.35">
      <c r="A29" s="6"/>
      <c r="B29" s="2">
        <v>4</v>
      </c>
      <c r="C29" s="54" t="s">
        <v>67</v>
      </c>
      <c r="D29" s="54" t="s">
        <v>80</v>
      </c>
      <c r="E29" s="3" t="s">
        <v>8</v>
      </c>
      <c r="F29" s="3" t="s">
        <v>6</v>
      </c>
      <c r="G29" s="3">
        <v>150</v>
      </c>
      <c r="H29" s="3">
        <v>12</v>
      </c>
      <c r="I29" s="15">
        <v>33000</v>
      </c>
      <c r="J29" s="59">
        <f t="shared" si="3"/>
        <v>6270</v>
      </c>
      <c r="K29" s="16">
        <f t="shared" si="4"/>
        <v>39270</v>
      </c>
      <c r="L29" s="16">
        <f t="shared" si="5"/>
        <v>70686000</v>
      </c>
      <c r="M29" s="7"/>
    </row>
    <row r="30" spans="1:13" x14ac:dyDescent="0.35">
      <c r="A30" s="6"/>
      <c r="B30" s="220" t="s">
        <v>81</v>
      </c>
      <c r="C30" s="220"/>
      <c r="D30" s="220"/>
      <c r="E30" s="220"/>
      <c r="F30" s="220"/>
      <c r="G30" s="220"/>
      <c r="H30" s="220"/>
      <c r="I30" s="220"/>
      <c r="J30" s="220"/>
      <c r="K30" s="220"/>
      <c r="L30" s="220"/>
      <c r="M30" s="11"/>
    </row>
    <row r="31" spans="1:13" ht="28" x14ac:dyDescent="0.35">
      <c r="A31" s="6"/>
      <c r="B31" s="2">
        <v>1</v>
      </c>
      <c r="C31" s="263" t="s">
        <v>106</v>
      </c>
      <c r="D31" s="263"/>
      <c r="E31" s="3" t="s">
        <v>8</v>
      </c>
      <c r="F31" s="3" t="s">
        <v>6</v>
      </c>
      <c r="G31" s="3">
        <v>1</v>
      </c>
      <c r="H31" s="3">
        <v>12</v>
      </c>
      <c r="I31" s="15"/>
      <c r="J31" s="59">
        <f>I31*19%</f>
        <v>0</v>
      </c>
      <c r="K31" s="16">
        <f>+J31+I31</f>
        <v>0</v>
      </c>
      <c r="L31" s="16">
        <f>+K31*H31*G31</f>
        <v>0</v>
      </c>
      <c r="M31" s="7"/>
    </row>
    <row r="32" spans="1:13" x14ac:dyDescent="0.35">
      <c r="A32" s="6"/>
      <c r="B32" s="264" t="s">
        <v>107</v>
      </c>
      <c r="C32" s="264"/>
      <c r="D32" s="264"/>
      <c r="E32" s="264"/>
      <c r="F32" s="264"/>
      <c r="G32" s="264"/>
      <c r="H32" s="264"/>
      <c r="I32" s="264"/>
      <c r="J32" s="264"/>
      <c r="K32" s="264"/>
      <c r="L32" s="264"/>
      <c r="M32" s="7"/>
    </row>
    <row r="33" spans="1:13" ht="28" hidden="1" x14ac:dyDescent="0.35">
      <c r="A33" s="6"/>
      <c r="B33" s="265">
        <v>1</v>
      </c>
      <c r="C33" s="268" t="s">
        <v>54</v>
      </c>
      <c r="D33" s="75" t="s">
        <v>55</v>
      </c>
      <c r="E33" s="76" t="s">
        <v>8</v>
      </c>
      <c r="F33" s="76" t="s">
        <v>6</v>
      </c>
      <c r="G33" s="76">
        <v>2</v>
      </c>
      <c r="H33" s="77">
        <v>24</v>
      </c>
      <c r="I33" s="15"/>
      <c r="J33" s="59">
        <f>I33*19%</f>
        <v>0</v>
      </c>
      <c r="K33" s="78">
        <f t="shared" ref="K33:K40" si="6">+J33+I33</f>
        <v>0</v>
      </c>
      <c r="L33" s="79">
        <f t="shared" ref="L33:L40" si="7">+K33*H33*G33</f>
        <v>0</v>
      </c>
      <c r="M33" s="271"/>
    </row>
    <row r="34" spans="1:13" ht="28" hidden="1" x14ac:dyDescent="0.35">
      <c r="A34" s="6"/>
      <c r="B34" s="266"/>
      <c r="C34" s="269"/>
      <c r="D34" s="55" t="s">
        <v>58</v>
      </c>
      <c r="E34" s="3" t="s">
        <v>8</v>
      </c>
      <c r="F34" s="3" t="s">
        <v>6</v>
      </c>
      <c r="G34" s="3">
        <v>2</v>
      </c>
      <c r="H34" s="80">
        <v>24</v>
      </c>
      <c r="I34" s="15"/>
      <c r="J34" s="59">
        <f>I34*19%</f>
        <v>0</v>
      </c>
      <c r="K34" s="16">
        <f t="shared" si="6"/>
        <v>0</v>
      </c>
      <c r="L34" s="81">
        <f t="shared" si="7"/>
        <v>0</v>
      </c>
      <c r="M34" s="272"/>
    </row>
    <row r="35" spans="1:13" ht="28" hidden="1" x14ac:dyDescent="0.35">
      <c r="A35" s="6"/>
      <c r="B35" s="266"/>
      <c r="C35" s="269"/>
      <c r="D35" s="55" t="s">
        <v>79</v>
      </c>
      <c r="E35" s="3" t="s">
        <v>8</v>
      </c>
      <c r="F35" s="3" t="s">
        <v>6</v>
      </c>
      <c r="G35" s="3">
        <v>1</v>
      </c>
      <c r="H35" s="80">
        <v>24</v>
      </c>
      <c r="I35" s="15"/>
      <c r="J35" s="59">
        <f>I35*19%</f>
        <v>0</v>
      </c>
      <c r="K35" s="16">
        <f t="shared" si="6"/>
        <v>0</v>
      </c>
      <c r="L35" s="81">
        <f t="shared" si="7"/>
        <v>0</v>
      </c>
      <c r="M35" s="272"/>
    </row>
    <row r="36" spans="1:13" ht="28.5" hidden="1" thickBot="1" x14ac:dyDescent="0.4">
      <c r="A36" s="6"/>
      <c r="B36" s="267"/>
      <c r="C36" s="270"/>
      <c r="D36" s="82" t="s">
        <v>62</v>
      </c>
      <c r="E36" s="83" t="s">
        <v>8</v>
      </c>
      <c r="F36" s="83" t="s">
        <v>6</v>
      </c>
      <c r="G36" s="83">
        <v>1700</v>
      </c>
      <c r="H36" s="84">
        <v>24</v>
      </c>
      <c r="I36" s="15"/>
      <c r="J36" s="59">
        <f>I36*19%</f>
        <v>0</v>
      </c>
      <c r="K36" s="85">
        <f t="shared" si="6"/>
        <v>0</v>
      </c>
      <c r="L36" s="86">
        <f t="shared" si="7"/>
        <v>0</v>
      </c>
      <c r="M36" s="272"/>
    </row>
    <row r="37" spans="1:13" ht="28" hidden="1" x14ac:dyDescent="0.35">
      <c r="A37" s="6"/>
      <c r="B37" s="274">
        <v>2</v>
      </c>
      <c r="C37" s="269" t="s">
        <v>54</v>
      </c>
      <c r="D37" s="87" t="s">
        <v>55</v>
      </c>
      <c r="E37" s="72" t="s">
        <v>8</v>
      </c>
      <c r="F37" s="72" t="s">
        <v>6</v>
      </c>
      <c r="G37" s="72">
        <v>2</v>
      </c>
      <c r="H37" s="88">
        <v>36</v>
      </c>
      <c r="I37" s="15"/>
      <c r="J37" s="59">
        <f t="shared" ref="J37:J40" si="8">I37*19%</f>
        <v>0</v>
      </c>
      <c r="K37" s="89">
        <f t="shared" si="6"/>
        <v>0</v>
      </c>
      <c r="L37" s="89">
        <f t="shared" si="7"/>
        <v>0</v>
      </c>
      <c r="M37" s="272"/>
    </row>
    <row r="38" spans="1:13" ht="28" hidden="1" x14ac:dyDescent="0.35">
      <c r="A38" s="6"/>
      <c r="B38" s="274"/>
      <c r="C38" s="269"/>
      <c r="D38" s="55" t="s">
        <v>58</v>
      </c>
      <c r="E38" s="3" t="s">
        <v>8</v>
      </c>
      <c r="F38" s="3" t="s">
        <v>6</v>
      </c>
      <c r="G38" s="3">
        <v>2</v>
      </c>
      <c r="H38" s="88">
        <v>36</v>
      </c>
      <c r="I38" s="15"/>
      <c r="J38" s="59">
        <f t="shared" si="8"/>
        <v>0</v>
      </c>
      <c r="K38" s="16">
        <f t="shared" si="6"/>
        <v>0</v>
      </c>
      <c r="L38" s="16">
        <f t="shared" si="7"/>
        <v>0</v>
      </c>
      <c r="M38" s="272"/>
    </row>
    <row r="39" spans="1:13" ht="28" hidden="1" x14ac:dyDescent="0.35">
      <c r="A39" s="6"/>
      <c r="B39" s="274"/>
      <c r="C39" s="269"/>
      <c r="D39" s="55" t="s">
        <v>79</v>
      </c>
      <c r="E39" s="3" t="s">
        <v>8</v>
      </c>
      <c r="F39" s="3" t="s">
        <v>6</v>
      </c>
      <c r="G39" s="3">
        <v>1</v>
      </c>
      <c r="H39" s="88">
        <v>36</v>
      </c>
      <c r="I39" s="15"/>
      <c r="J39" s="59">
        <f t="shared" si="8"/>
        <v>0</v>
      </c>
      <c r="K39" s="16">
        <f t="shared" si="6"/>
        <v>0</v>
      </c>
      <c r="L39" s="16">
        <f t="shared" si="7"/>
        <v>0</v>
      </c>
      <c r="M39" s="272"/>
    </row>
    <row r="40" spans="1:13" ht="28" hidden="1" x14ac:dyDescent="0.35">
      <c r="A40" s="6"/>
      <c r="B40" s="275"/>
      <c r="C40" s="276"/>
      <c r="D40" s="55" t="s">
        <v>62</v>
      </c>
      <c r="E40" s="3" t="s">
        <v>8</v>
      </c>
      <c r="F40" s="3" t="s">
        <v>6</v>
      </c>
      <c r="G40" s="3">
        <v>1700</v>
      </c>
      <c r="H40" s="88">
        <v>36</v>
      </c>
      <c r="I40" s="15"/>
      <c r="J40" s="59">
        <f t="shared" si="8"/>
        <v>0</v>
      </c>
      <c r="K40" s="16">
        <f t="shared" si="6"/>
        <v>0</v>
      </c>
      <c r="L40" s="16">
        <f t="shared" si="7"/>
        <v>0</v>
      </c>
      <c r="M40" s="273"/>
    </row>
    <row r="41" spans="1:13" ht="30.5" customHeight="1" x14ac:dyDescent="0.35">
      <c r="B41" s="12"/>
      <c r="C41" s="13"/>
      <c r="D41" s="13"/>
      <c r="E41" s="13"/>
      <c r="F41" s="13"/>
      <c r="G41" s="13"/>
      <c r="H41" s="13"/>
      <c r="I41" s="13"/>
      <c r="J41" s="13"/>
      <c r="K41" s="1" t="s">
        <v>14</v>
      </c>
      <c r="L41" s="17">
        <f>SUM(L16:L21,L23:L29,L31,L33:L40)</f>
        <v>2740332000</v>
      </c>
      <c r="M41" s="7"/>
    </row>
    <row r="42" spans="1:13" x14ac:dyDescent="0.35">
      <c r="L42" s="9"/>
    </row>
    <row r="43" spans="1:13" x14ac:dyDescent="0.35">
      <c r="B43" s="90" t="s">
        <v>108</v>
      </c>
    </row>
    <row r="44" spans="1:13" x14ac:dyDescent="0.35">
      <c r="B44" s="282" t="e" vm="1">
        <v>#VALUE!</v>
      </c>
      <c r="C44" s="283"/>
    </row>
    <row r="45" spans="1:13" x14ac:dyDescent="0.35">
      <c r="B45" s="284"/>
      <c r="C45" s="285"/>
    </row>
    <row r="46" spans="1:13" x14ac:dyDescent="0.35">
      <c r="B46" s="284"/>
      <c r="C46" s="285"/>
    </row>
    <row r="47" spans="1:13" x14ac:dyDescent="0.35">
      <c r="B47" s="286"/>
      <c r="C47" s="287"/>
    </row>
    <row r="48" spans="1:13" x14ac:dyDescent="0.35">
      <c r="B48" s="93" t="s">
        <v>119</v>
      </c>
      <c r="C48" s="93"/>
    </row>
    <row r="49" spans="2:13" x14ac:dyDescent="0.35">
      <c r="B49" s="93" t="s">
        <v>120</v>
      </c>
      <c r="C49" s="93"/>
    </row>
    <row r="50" spans="2:13" x14ac:dyDescent="0.35">
      <c r="B50" s="93" t="s">
        <v>121</v>
      </c>
      <c r="C50" s="93"/>
    </row>
    <row r="51" spans="2:13" x14ac:dyDescent="0.35">
      <c r="B51" s="94" t="s">
        <v>122</v>
      </c>
      <c r="C51" s="93"/>
      <c r="F51" s="262"/>
      <c r="G51" s="262"/>
      <c r="H51" s="262"/>
      <c r="I51" s="262"/>
      <c r="J51" s="262"/>
      <c r="K51" s="262"/>
      <c r="L51" s="262"/>
      <c r="M51" s="262"/>
    </row>
    <row r="52" spans="2:13" x14ac:dyDescent="0.35">
      <c r="B52" s="95"/>
    </row>
  </sheetData>
  <sheetProtection formatColumns="0" selectLockedCells="1" selectUnlockedCells="1"/>
  <mergeCells count="27">
    <mergeCell ref="C14:D14"/>
    <mergeCell ref="B2:L5"/>
    <mergeCell ref="B8:B9"/>
    <mergeCell ref="C8:L9"/>
    <mergeCell ref="B11:B12"/>
    <mergeCell ref="C11:L12"/>
    <mergeCell ref="B30:L30"/>
    <mergeCell ref="B15:L15"/>
    <mergeCell ref="C16:D16"/>
    <mergeCell ref="C17:D17"/>
    <mergeCell ref="C18:D18"/>
    <mergeCell ref="B19:B21"/>
    <mergeCell ref="C19:C21"/>
    <mergeCell ref="B22:L22"/>
    <mergeCell ref="C23:D23"/>
    <mergeCell ref="B24:B27"/>
    <mergeCell ref="C24:C27"/>
    <mergeCell ref="C28:D28"/>
    <mergeCell ref="B44:C47"/>
    <mergeCell ref="F51:M51"/>
    <mergeCell ref="C31:D31"/>
    <mergeCell ref="B32:L32"/>
    <mergeCell ref="B33:B36"/>
    <mergeCell ref="C33:C36"/>
    <mergeCell ref="M33:M40"/>
    <mergeCell ref="B37:B40"/>
    <mergeCell ref="C37:C40"/>
  </mergeCells>
  <pageMargins left="0.7" right="0.7" top="0.75" bottom="0.75" header="0.3" footer="0.3"/>
  <pageSetup orientation="portrait" r:id="rId1"/>
  <headerFooter>
    <oddFooter>&amp;L_x000D_&amp;1#&amp;"Aptos"&amp;10&amp;K000000 Informacion publica</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A2" sqref="A2"/>
    </sheetView>
  </sheetViews>
  <sheetFormatPr baseColWidth="10" defaultRowHeight="14.5" x14ac:dyDescent="0.35"/>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6" workbookViewId="0">
      <selection activeCell="A2" sqref="A2"/>
    </sheetView>
  </sheetViews>
  <sheetFormatPr baseColWidth="10" defaultRowHeight="14.5" x14ac:dyDescent="0.35"/>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G2"/>
  <sheetViews>
    <sheetView workbookViewId="0">
      <selection activeCell="H8" sqref="H8"/>
    </sheetView>
  </sheetViews>
  <sheetFormatPr baseColWidth="10" defaultRowHeight="14.5" x14ac:dyDescent="0.35"/>
  <sheetData>
    <row r="2" spans="7:7" x14ac:dyDescent="0.35">
      <c r="G2" t="s">
        <v>123</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Acrobat.pdfxml.1" shapeId="16385" r:id="rId4">
          <objectPr defaultSize="0" r:id="rId5">
            <anchor moveWithCells="1">
              <from>
                <xdr:col>0</xdr:col>
                <xdr:colOff>0</xdr:colOff>
                <xdr:row>1</xdr:row>
                <xdr:rowOff>0</xdr:rowOff>
              </from>
              <to>
                <xdr:col>5</xdr:col>
                <xdr:colOff>76200</xdr:colOff>
                <xdr:row>28</xdr:row>
                <xdr:rowOff>63500</xdr:rowOff>
              </to>
            </anchor>
          </objectPr>
        </oleObject>
      </mc:Choice>
      <mc:Fallback>
        <oleObject progId="Acrobat.pdfxml.1" shapeId="16385" r:id="rId4"/>
      </mc:Fallback>
    </mc:AlternateContent>
  </oleObjec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heetViews>
  <sheetFormatPr baseColWidth="10" defaultRowHeight="14.5" x14ac:dyDescent="0.3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ab91004-4f33-45c0-9686-241387b41e7c" xsi:nil="true"/>
    <lcf76f155ced4ddcb4097134ff3c332f xmlns="92a1c345-3758-4b38-95da-fe0f55a4e55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D1A2CB949A4314296A5DCB6A477569C" ma:contentTypeVersion="19" ma:contentTypeDescription="Crear nuevo documento." ma:contentTypeScope="" ma:versionID="fd26ea29526dd08d68c3476bb62eb370">
  <xsd:schema xmlns:xsd="http://www.w3.org/2001/XMLSchema" xmlns:xs="http://www.w3.org/2001/XMLSchema" xmlns:p="http://schemas.microsoft.com/office/2006/metadata/properties" xmlns:ns2="92a1c345-3758-4b38-95da-fe0f55a4e55b" xmlns:ns3="fab91004-4f33-45c0-9686-241387b41e7c" targetNamespace="http://schemas.microsoft.com/office/2006/metadata/properties" ma:root="true" ma:fieldsID="a435ee80205f3a91d527cd2b6248bff8" ns2:_="" ns3:_="">
    <xsd:import namespace="92a1c345-3758-4b38-95da-fe0f55a4e55b"/>
    <xsd:import namespace="fab91004-4f33-45c0-9686-241387b41e7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2a1c345-3758-4b38-95da-fe0f55a4e5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5c98dda9-c6a7-4353-928d-6403415cfdc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ab91004-4f33-45c0-9686-241387b41e7c"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30f9d8a-0430-4e33-a305-cb1098e453fa}" ma:internalName="TaxCatchAll" ma:showField="CatchAllData" ma:web="fab91004-4f33-45c0-9686-241387b41e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961EF-1612-4115-ADB7-ABBF268BB4F2}">
  <ds:schemaRefs>
    <ds:schemaRef ds:uri="http://schemas.microsoft.com/sharepoint/v3/contenttype/forms"/>
  </ds:schemaRefs>
</ds:datastoreItem>
</file>

<file path=customXml/itemProps2.xml><?xml version="1.0" encoding="utf-8"?>
<ds:datastoreItem xmlns:ds="http://schemas.openxmlformats.org/officeDocument/2006/customXml" ds:itemID="{4894ACFA-1107-49BF-8C60-B66AE1959800}">
  <ds:schemaRefs>
    <ds:schemaRef ds:uri="http://purl.org/dc/dcmitype/"/>
    <ds:schemaRef ds:uri="http://schemas.microsoft.com/office/2006/documentManagement/types"/>
    <ds:schemaRef ds:uri="http://www.w3.org/XML/1998/namespace"/>
    <ds:schemaRef ds:uri="http://schemas.openxmlformats.org/package/2006/metadata/core-properties"/>
    <ds:schemaRef ds:uri="92a1c345-3758-4b38-95da-fe0f55a4e55b"/>
    <ds:schemaRef ds:uri="http://schemas.microsoft.com/office/2006/metadata/properties"/>
    <ds:schemaRef ds:uri="fab91004-4f33-45c0-9686-241387b41e7c"/>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1D526879-88F1-4E32-9984-AD5C86E0BC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a1c345-3758-4b38-95da-fe0f55a4e55b"/>
    <ds:schemaRef ds:uri="fab91004-4f33-45c0-9686-241387b41e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ASPECTOS A TENER EN CUENTA</vt:lpstr>
      <vt:lpstr>ANALISIS INICIAL DISPERSION</vt:lpstr>
      <vt:lpstr>PPTO DEFINITIVO SIN ATIPICOS</vt:lpstr>
      <vt:lpstr>ESTUDIO DE MERCADO</vt:lpstr>
      <vt:lpstr>GAMMA INGENIEROS</vt:lpstr>
      <vt:lpstr>INTERNEXA</vt:lpstr>
      <vt:lpstr>e&amp;C ING</vt:lpstr>
      <vt:lpstr>DATASEC</vt:lpstr>
      <vt:lpstr>WEXLER</vt:lpstr>
      <vt:lpstr>REAL TIME</vt:lpstr>
      <vt:lpstr>PAM WEXLER</vt:lpstr>
      <vt:lpstr>PAM REAL TIME</vt:lpstr>
      <vt:lpstr>PAM INTERNEXA</vt:lpstr>
      <vt:lpstr>PAM FORTINET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Alexander Pena Ocampo</dc:creator>
  <cp:lastModifiedBy>LUIS</cp:lastModifiedBy>
  <dcterms:created xsi:type="dcterms:W3CDTF">2026-01-22T14:45:35Z</dcterms:created>
  <dcterms:modified xsi:type="dcterms:W3CDTF">2026-07-27T21:50:12Z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0x0101005D1A2CB949A4314296A5DCB6A477569C</vt:lpwstr>
  </property>
</Properties>
</file>