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3"/>
  <workbookPr/>
  <mc:AlternateContent xmlns:mc="http://schemas.openxmlformats.org/markup-compatibility/2006">
    <mc:Choice Requires="x15">
      <x15ac:absPath xmlns:x15ac="http://schemas.microsoft.com/office/spreadsheetml/2010/11/ac" url="Y:\323-I-Padel\2. Docs Ejecución\2.4 Correspondencia\2.4.1 Enviada\Anexos CDP-323-133-2026\"/>
    </mc:Choice>
  </mc:AlternateContent>
  <xr:revisionPtr revIDLastSave="0" documentId="8_{4DCA7A59-E600-D84A-B320-B6C9EE971C8A}" xr6:coauthVersionLast="47" xr6:coauthVersionMax="47" xr10:uidLastSave="{00000000-0000-0000-0000-000000000000}"/>
  <bookViews>
    <workbookView xWindow="-120" yWindow="-120" windowWidth="24240" windowHeight="13140" xr2:uid="{DB22E23F-51D8-4A26-AEE3-3D58F2312478}"/>
  </bookViews>
  <sheets>
    <sheet name="PROPUESTA_CRIT_interventorV2" sheetId="1" r:id="rId1"/>
  </sheets>
  <externalReferences>
    <externalReference r:id="rId2"/>
    <externalReference r:id="rId3"/>
  </externalReferences>
  <definedNames>
    <definedName name="____R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" hidden="1">#REF!</definedName>
    <definedName name="_Sort" hidden="1">#REF!</definedName>
    <definedName name="A" hidden="1">{#N/A,#N/A,FALSE,"GRAFICO";#N/A,#N/A,FALSE,"CAJA (2)";#N/A,#N/A,FALSE,"TERCEROS-PROMEDIO";#N/A,#N/A,FALSE,"CAJA";#N/A,#N/A,FALSE,"INGRESOS1995-2003";#N/A,#N/A,FALSE,"GASTOS1995-2003"}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_xlnm.Print_Area" localSheetId="0">PROPUESTA_CRIT_interventorV2!$B$1:$H$71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B" hidden="1">{"PYGS",#N/A,FALSE,"PYG";"ACTIS",#N/A,FALSE,"BCE_GRAL-ACTIVO";"PASIS",#N/A,FALSE,"BCE_GRAL-PASIVO-PATRIM";"CAJAS",#N/A,FALSE,"CAJA"}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D" hidden="1">{"PYGT",#N/A,FALSE,"PYG";"ACTIT",#N/A,FALSE,"BCE_GRAL-ACTIVO";"PASIT",#N/A,FALSE,"BCE_GRAL-PASIVO-PATRIM";"CAJAT",#N/A,FALSE,"CAJA"}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hidden="1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xcel_BuiltIn_Print_Titles_3">'[1]COSTOS OFICINA'!#REF!</definedName>
    <definedName name="Excel_BuiltIn_Print_Titles_4">'[1]COSTOS CAMPAMENTO'!#REF!</definedName>
    <definedName name="FIDUCIASOCTUBRE" hidden="1">{#N/A,#N/A,FALSE,"Aging Summary";#N/A,#N/A,FALSE,"Ratio Analysis";#N/A,#N/A,FALSE,"Test 120 Day Accts";#N/A,#N/A,FALSE,"Tickmarks"}</definedName>
    <definedName name="FREV" hidden="1">{"PYGT",#N/A,FALSE,"PYG";"ACTIT",#N/A,FALSE,"BCE_GRAL-ACTIVO";"PASIT",#N/A,FALSE,"BCE_GRAL-PASIVO-PATRIM";"CAJAT",#N/A,FALSE,"CAJA"}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hoha" hidden="1">{"PYGT",#N/A,FALSE,"PYG";"ACTIT",#N/A,FALSE,"BCE_GRAL-ACTIVO";"PASIT",#N/A,FALSE,"BCE_GRAL-PASIVO-PATRIM";"CAJAT",#N/A,FALSE,"CAJA"}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O" hidden="1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NO" hidden="1">{"PYGT",#N/A,FALSE,"PYG";"ACTIT",#N/A,FALSE,"BCE_GRAL-ACTIVO";"PASIT",#N/A,FALSE,"BCE_GRAL-PASIVO-PATRIM";"CAJAT",#N/A,FALSE,"CAJA"}</definedName>
    <definedName name="oera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res" hidden="1">{#N/A,#N/A,FALSE,"GRAFICO";#N/A,#N/A,FALSE,"CAJA (2)";#N/A,#N/A,FALSE,"TERCEROS-PROMEDIO";#N/A,#N/A,FALSE,"CAJA";#N/A,#N/A,FALSE,"INGRESOS1995-2003";#N/A,#N/A,FALSE,"GASTOS1995-2003"}</definedName>
    <definedName name="sss" localSheetId="0">IF(ISEVEN(COLUMN()),CANT_Z_PPTO,SUB_TOT)</definedName>
    <definedName name="sss">IF(ISEVEN(COLUMN()),CANT_Z_PPTO,SUB_TOT)</definedName>
    <definedName name="TC" hidden="1">{#N/A,#N/A,FALSE,"GRAFICO";#N/A,#N/A,FALSE,"CAJA (2)";#N/A,#N/A,FALSE,"TERCEROS-PROMEDIO";#N/A,#N/A,FALSE,"CAJA";#N/A,#N/A,FALSE,"INGRESOS1995-2003";#N/A,#N/A,FALSE,"GASTOS1995-2003"}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O" hidden="1">{#N/A,#N/A,FALSE,"GRAFICO";#N/A,#N/A,FALSE,"CAJA (2)";#N/A,#N/A,FALSE,"TERCEROS-PROMEDIO";#N/A,#N/A,FALSE,"CAJA";#N/A,#N/A,FALSE,"INGRESOS1995-2003";#N/A,#N/A,FALSE,"GASTOS1995-2003"}</definedName>
    <definedName name="ZONA_PPTO" localSheetId="0">IF(ISEVEN(COLUMN()),CANT_Z_PPTO,SUB_TOT)</definedName>
    <definedName name="ZONA_PPTO">IF(ISEVEN(COLUMN()),CANT_Z_PPTO,SUB_TOT)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9" i="1" l="1"/>
  <c r="D58" i="1"/>
  <c r="D48" i="1"/>
  <c r="M46" i="1"/>
  <c r="D46" i="1"/>
  <c r="W38" i="1"/>
  <c r="Q37" i="1"/>
  <c r="Q36" i="1"/>
  <c r="Q35" i="1"/>
  <c r="Q39" i="1"/>
  <c r="M25" i="1"/>
  <c r="Q25" i="1"/>
  <c r="D25" i="1"/>
  <c r="M24" i="1"/>
  <c r="Q24" i="1"/>
  <c r="D24" i="1"/>
  <c r="M23" i="1"/>
  <c r="Q23" i="1"/>
  <c r="D23" i="1"/>
  <c r="M22" i="1"/>
  <c r="Q22" i="1"/>
  <c r="Q21" i="1"/>
  <c r="D22" i="1"/>
  <c r="M18" i="1"/>
  <c r="Q18" i="1"/>
  <c r="D18" i="1"/>
  <c r="M15" i="1"/>
  <c r="D15" i="1"/>
  <c r="M12" i="1"/>
  <c r="D12" i="1"/>
  <c r="P3" i="1"/>
  <c r="G3" i="1"/>
  <c r="P47" i="1"/>
  <c r="Q47" i="1"/>
  <c r="P46" i="1"/>
  <c r="Q46" i="1"/>
  <c r="Q45" i="1"/>
  <c r="Q50" i="1"/>
  <c r="Q52" i="1"/>
  <c r="Q54" i="1"/>
  <c r="P19" i="1"/>
  <c r="Q19" i="1"/>
  <c r="Q17" i="1"/>
  <c r="P15" i="1"/>
  <c r="Q15" i="1"/>
  <c r="Q14" i="1"/>
  <c r="P12" i="1"/>
  <c r="Q12" i="1"/>
  <c r="Q11" i="1"/>
  <c r="Q27" i="1"/>
  <c r="Q29" i="1"/>
  <c r="G48" i="1"/>
  <c r="H48" i="1"/>
  <c r="G47" i="1"/>
  <c r="H47" i="1"/>
  <c r="G19" i="1"/>
  <c r="H19" i="1"/>
  <c r="G15" i="1"/>
  <c r="H15" i="1"/>
  <c r="H14" i="1"/>
  <c r="G12" i="1"/>
  <c r="H12" i="1"/>
  <c r="H11" i="1"/>
  <c r="G46" i="1"/>
  <c r="H46" i="1"/>
  <c r="H45" i="1"/>
  <c r="H50" i="1"/>
  <c r="H52" i="1"/>
  <c r="H54" i="1"/>
  <c r="G37" i="1"/>
  <c r="H37" i="1"/>
  <c r="G36" i="1"/>
  <c r="H36" i="1"/>
  <c r="G25" i="1"/>
  <c r="H25" i="1"/>
  <c r="G24" i="1"/>
  <c r="H24" i="1"/>
  <c r="G23" i="1"/>
  <c r="H23" i="1"/>
  <c r="G22" i="1"/>
  <c r="H22" i="1"/>
  <c r="G18" i="1"/>
  <c r="H18" i="1"/>
  <c r="H17" i="1"/>
  <c r="Q41" i="1"/>
  <c r="Q56" i="1"/>
  <c r="H35" i="1"/>
  <c r="H39" i="1"/>
  <c r="H21" i="1"/>
  <c r="Q59" i="1"/>
  <c r="Q58" i="1"/>
  <c r="H27" i="1"/>
  <c r="H29" i="1"/>
  <c r="H41" i="1"/>
  <c r="H56" i="1"/>
  <c r="H59" i="1"/>
  <c r="H58" i="1"/>
  <c r="Q61" i="1"/>
  <c r="Q60" i="1"/>
  <c r="R71" i="1"/>
  <c r="R63" i="1"/>
  <c r="H60" i="1"/>
  <c r="H61" i="1"/>
  <c r="I73" i="1"/>
  <c r="I74" i="1"/>
  <c r="I63" i="1"/>
</calcChain>
</file>

<file path=xl/sharedStrings.xml><?xml version="1.0" encoding="utf-8"?>
<sst xmlns="http://schemas.openxmlformats.org/spreadsheetml/2006/main" count="147" uniqueCount="73">
  <si>
    <t>TIEMPO DE PRORROGA DE EJECUCION 
CON PERSONAL COMPLETO</t>
  </si>
  <si>
    <t>mes</t>
  </si>
  <si>
    <t>dias</t>
  </si>
  <si>
    <t>TIEMPO DE PRORROGA DE LIQUIDACION
 CON PERSONAL SELECCIONADO</t>
  </si>
  <si>
    <t>,</t>
  </si>
  <si>
    <t>FORMULARIO No 1 - FORMULARIO DE PRESUPUESTO OFICIAL</t>
  </si>
  <si>
    <r>
      <t>4162.010.32.1.2046</t>
    </r>
    <r>
      <rPr>
        <b/>
        <sz val="11"/>
        <color rgb="FFEE0000"/>
        <rFont val="Arial"/>
        <family val="2"/>
      </rPr>
      <t>-</t>
    </r>
    <r>
      <rPr>
        <b/>
        <sz val="11"/>
        <color theme="1"/>
        <rFont val="Arial"/>
        <family val="2"/>
      </rPr>
      <t>2025</t>
    </r>
  </si>
  <si>
    <t>CANT.
(1)</t>
  </si>
  <si>
    <t>CARGO / OFICIO</t>
  </si>
  <si>
    <t>SUELDO Y/O
JORNAL MENSUAL
(2)</t>
  </si>
  <si>
    <t>PRIMA
REGIONAL
(3)</t>
  </si>
  <si>
    <t>DEDICACIÓN
(h-mes)
(4)</t>
  </si>
  <si>
    <t>PARTICIPACIÓN
TOTAL (mes)
(5)</t>
  </si>
  <si>
    <t>VALOR
PARCIAL ($)
(1)*((2)+(3))*(4)*(5) = (6)</t>
  </si>
  <si>
    <t>COSTOS DIRECTOS DE PERSONAL OPERATIVO OBRA</t>
  </si>
  <si>
    <t>PERSONAL PROFESIONAL PERMANENTE</t>
  </si>
  <si>
    <t>Dirección Proyecto</t>
  </si>
  <si>
    <t>Director General</t>
  </si>
  <si>
    <t>Residentes</t>
  </si>
  <si>
    <t>RESIDENTE 1 - Profesional - Arquitecto y/o Ing. Civil</t>
  </si>
  <si>
    <t>Gestión Obra</t>
  </si>
  <si>
    <t>INSPECTORES</t>
  </si>
  <si>
    <t>PROFESIONAL DE SEGURIDAD INDUSTRIAL Y SALUD OCUPACIONAL - SISO</t>
  </si>
  <si>
    <t>Levantamiento Topográfico</t>
  </si>
  <si>
    <t>Topografo - Inspector</t>
  </si>
  <si>
    <t>Cadenero</t>
  </si>
  <si>
    <t>Laboratorista Inspector</t>
  </si>
  <si>
    <t>Laboratorista Auxiliar</t>
  </si>
  <si>
    <t>SUBTOTAL COSTOS DE PERSONAL = SUMATORIA DE (5) = (6)</t>
  </si>
  <si>
    <t>FACTOR MULTIPLICADOR (7)</t>
  </si>
  <si>
    <t xml:space="preserve">TOTAL COSTOS DE PERSONAL = (6) * (7) = (A) </t>
  </si>
  <si>
    <t>COSTO</t>
  </si>
  <si>
    <t>TIEMPO DE</t>
  </si>
  <si>
    <t>VALOR</t>
  </si>
  <si>
    <t>CANT.</t>
  </si>
  <si>
    <t>CONCEPTO</t>
  </si>
  <si>
    <t>UNIDAD</t>
  </si>
  <si>
    <t>($)</t>
  </si>
  <si>
    <t>UTILIZACIÓN</t>
  </si>
  <si>
    <t>PARCIAL ($)</t>
  </si>
  <si>
    <t>(8)</t>
  </si>
  <si>
    <t>(9)</t>
  </si>
  <si>
    <t>TOTAL (10)</t>
  </si>
  <si>
    <t>(8) * (9) * (10) = (11)</t>
  </si>
  <si>
    <t>OTROS COSTOS DIRECTOS</t>
  </si>
  <si>
    <t xml:space="preserve"> ALQUILER DE EQUIPOS</t>
  </si>
  <si>
    <t xml:space="preserve">Equipo completo de Topografía </t>
  </si>
  <si>
    <t>Ensayos laboratorio</t>
  </si>
  <si>
    <t>TOTAL OTROS COSTOS DIRECTOS = SUMATORIA DE (11) = (B)</t>
  </si>
  <si>
    <t>TOTAL OPERACIÓN PERMANENTE FIJA</t>
  </si>
  <si>
    <t>ESPECIALISTAS POR DEMANDA</t>
  </si>
  <si>
    <t xml:space="preserve">PERSONAL PROFESIONAL POR DEMANDA </t>
  </si>
  <si>
    <t>Especialistas</t>
  </si>
  <si>
    <t xml:space="preserve">CONTADOR PÚBLICO </t>
  </si>
  <si>
    <t>ABOGADO EXPERTO EN CONTRATACIÓN ESTATAL</t>
  </si>
  <si>
    <t>INGENIERO ELECTRICISTA</t>
  </si>
  <si>
    <t>TOTAL OPERACIÓN VARIABLE  POR DEMANDA</t>
  </si>
  <si>
    <t>COSTO BÁSICO = (A) + (B) = (C)</t>
  </si>
  <si>
    <t>Pólizas, Impuestos y Estampillas</t>
  </si>
  <si>
    <t>(%) Nominal</t>
  </si>
  <si>
    <t>(%) Costo Básico</t>
  </si>
  <si>
    <t>Polizas</t>
  </si>
  <si>
    <t>Impuestos y Estampillas</t>
  </si>
  <si>
    <t>IVA = 19% * (C) = (D)</t>
  </si>
  <si>
    <t>COSTO TOTAL = (C) + (D)</t>
  </si>
  <si>
    <t>REPRESENTANTE LEGAL</t>
  </si>
  <si>
    <t>CONTRATISTA</t>
  </si>
  <si>
    <t>Valor Publicado</t>
  </si>
  <si>
    <t>PROPUESTA</t>
  </si>
  <si>
    <t>VALOR DIA</t>
  </si>
  <si>
    <t>TOPE</t>
  </si>
  <si>
    <t>PROPUESTA 1+2</t>
  </si>
  <si>
    <t>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</si>
</sst>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(* #,##0.00_);_(* \(#,##0.00\);_(* &quot;-&quot;??_);_(@_)"/>
    <numFmt numFmtId="166" formatCode="[$$-240A]\ #,##0"/>
    <numFmt numFmtId="167" formatCode="#,##0.0000\ _€"/>
    <numFmt numFmtId="168" formatCode="&quot;$&quot;\ #,##0.00"/>
    <numFmt numFmtId="169" formatCode="[$$-240A]\ #,##0.00"/>
    <numFmt numFmtId="170" formatCode="#,##0.000"/>
    <numFmt numFmtId="171" formatCode="&quot;$&quot;\ #,##0"/>
    <numFmt numFmtId="172" formatCode="#,##0.0\ _€"/>
    <numFmt numFmtId="173" formatCode="0.000%"/>
    <numFmt numFmtId="174" formatCode="0.0000000%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rgb="FFEE0000"/>
      <name val="Arial"/>
      <family val="2"/>
    </font>
    <font>
      <b/>
      <sz val="14"/>
      <color theme="1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 style="hair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/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7">
    <xf numFmtId="0" fontId="0" fillId="0" borderId="0" xfId="0"/>
    <xf numFmtId="10" fontId="3" fillId="0" borderId="2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10" fontId="3" fillId="0" borderId="7" xfId="3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wrapText="1"/>
    </xf>
    <xf numFmtId="0" fontId="4" fillId="0" borderId="9" xfId="0" applyFont="1" applyBorder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4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3" fontId="3" fillId="0" borderId="17" xfId="0" applyNumberFormat="1" applyFont="1" applyBorder="1" applyAlignment="1">
      <alignment horizontal="center" vertical="center" wrapText="1"/>
    </xf>
    <xf numFmtId="0" fontId="4" fillId="3" borderId="21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164" fontId="4" fillId="3" borderId="23" xfId="0" applyNumberFormat="1" applyFont="1" applyFill="1" applyBorder="1" applyAlignment="1">
      <alignment vertical="center" wrapText="1"/>
    </xf>
    <xf numFmtId="165" fontId="4" fillId="3" borderId="23" xfId="0" applyNumberFormat="1" applyFont="1" applyFill="1" applyBorder="1" applyAlignment="1">
      <alignment vertical="center" wrapText="1"/>
    </xf>
    <xf numFmtId="3" fontId="3" fillId="3" borderId="24" xfId="0" applyNumberFormat="1" applyFont="1" applyFill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166" fontId="4" fillId="0" borderId="26" xfId="0" applyNumberFormat="1" applyFont="1" applyBorder="1" applyAlignment="1">
      <alignment vertical="center" wrapText="1"/>
    </xf>
    <xf numFmtId="9" fontId="4" fillId="0" borderId="26" xfId="0" applyNumberFormat="1" applyFont="1" applyBorder="1" applyAlignment="1">
      <alignment horizontal="center" vertical="center" wrapText="1"/>
    </xf>
    <xf numFmtId="167" fontId="4" fillId="0" borderId="26" xfId="0" applyNumberFormat="1" applyFont="1" applyBorder="1" applyAlignment="1">
      <alignment horizontal="center" vertical="center" wrapText="1"/>
    </xf>
    <xf numFmtId="3" fontId="4" fillId="0" borderId="27" xfId="0" applyNumberFormat="1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166" fontId="4" fillId="0" borderId="29" xfId="0" applyNumberFormat="1" applyFont="1" applyBorder="1" applyAlignment="1">
      <alignment vertical="center" wrapText="1"/>
    </xf>
    <xf numFmtId="9" fontId="4" fillId="0" borderId="29" xfId="0" applyNumberFormat="1" applyFont="1" applyBorder="1" applyAlignment="1">
      <alignment horizontal="center" vertical="center" wrapText="1"/>
    </xf>
    <xf numFmtId="167" fontId="4" fillId="0" borderId="29" xfId="0" applyNumberFormat="1" applyFont="1" applyBorder="1" applyAlignment="1">
      <alignment horizontal="center" vertical="center" wrapText="1"/>
    </xf>
    <xf numFmtId="168" fontId="3" fillId="0" borderId="30" xfId="0" applyNumberFormat="1" applyFont="1" applyBorder="1" applyAlignment="1">
      <alignment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vertical="center" wrapText="1"/>
    </xf>
    <xf numFmtId="166" fontId="4" fillId="0" borderId="32" xfId="0" applyNumberFormat="1" applyFont="1" applyBorder="1" applyAlignment="1">
      <alignment vertical="center" wrapText="1"/>
    </xf>
    <xf numFmtId="9" fontId="4" fillId="0" borderId="32" xfId="0" applyNumberFormat="1" applyFont="1" applyBorder="1" applyAlignment="1">
      <alignment horizontal="center" vertical="center" wrapText="1"/>
    </xf>
    <xf numFmtId="167" fontId="4" fillId="0" borderId="32" xfId="0" applyNumberFormat="1" applyFont="1" applyBorder="1" applyAlignment="1">
      <alignment horizontal="center" vertical="center" wrapText="1"/>
    </xf>
    <xf numFmtId="168" fontId="4" fillId="0" borderId="33" xfId="0" applyNumberFormat="1" applyFont="1" applyBorder="1" applyAlignment="1">
      <alignment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 wrapText="1"/>
    </xf>
    <xf numFmtId="166" fontId="4" fillId="0" borderId="35" xfId="0" applyNumberFormat="1" applyFont="1" applyBorder="1" applyAlignment="1">
      <alignment vertical="center" wrapText="1"/>
    </xf>
    <xf numFmtId="9" fontId="4" fillId="0" borderId="35" xfId="0" applyNumberFormat="1" applyFont="1" applyBorder="1" applyAlignment="1">
      <alignment horizontal="center" vertical="center" wrapText="1"/>
    </xf>
    <xf numFmtId="167" fontId="4" fillId="0" borderId="35" xfId="0" applyNumberFormat="1" applyFont="1" applyBorder="1" applyAlignment="1">
      <alignment horizontal="center" vertical="center" wrapText="1"/>
    </xf>
    <xf numFmtId="168" fontId="4" fillId="0" borderId="36" xfId="0" applyNumberFormat="1" applyFont="1" applyBorder="1" applyAlignment="1">
      <alignment vertical="center" wrapText="1"/>
    </xf>
    <xf numFmtId="166" fontId="4" fillId="0" borderId="37" xfId="0" applyNumberFormat="1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167" fontId="1" fillId="0" borderId="39" xfId="0" applyNumberFormat="1" applyFont="1" applyBorder="1" applyAlignment="1">
      <alignment vertical="center" wrapText="1"/>
    </xf>
    <xf numFmtId="3" fontId="4" fillId="0" borderId="33" xfId="0" applyNumberFormat="1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164" fontId="3" fillId="0" borderId="41" xfId="0" applyNumberFormat="1" applyFont="1" applyBorder="1" applyAlignment="1">
      <alignment vertical="center" wrapText="1"/>
    </xf>
    <xf numFmtId="165" fontId="3" fillId="0" borderId="41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169" fontId="3" fillId="0" borderId="0" xfId="0" applyNumberFormat="1" applyFont="1" applyAlignment="1">
      <alignment vertical="center" wrapText="1"/>
    </xf>
    <xf numFmtId="170" fontId="3" fillId="0" borderId="42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3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" fillId="0" borderId="44" xfId="0" applyFont="1" applyBorder="1" applyAlignment="1">
      <alignment vertical="center" wrapText="1"/>
    </xf>
    <xf numFmtId="3" fontId="3" fillId="0" borderId="45" xfId="0" applyNumberFormat="1" applyFont="1" applyBorder="1" applyAlignment="1">
      <alignment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5" fontId="4" fillId="0" borderId="16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65" fontId="4" fillId="0" borderId="48" xfId="0" applyNumberFormat="1" applyFont="1" applyBorder="1" applyAlignment="1">
      <alignment horizontal="center" vertical="center" wrapText="1"/>
    </xf>
    <xf numFmtId="3" fontId="4" fillId="0" borderId="49" xfId="0" applyNumberFormat="1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3" fontId="4" fillId="0" borderId="51" xfId="0" applyNumberFormat="1" applyFont="1" applyBorder="1" applyAlignment="1">
      <alignment horizontal="center" vertical="center" wrapText="1"/>
    </xf>
    <xf numFmtId="168" fontId="3" fillId="3" borderId="24" xfId="0" applyNumberFormat="1" applyFont="1" applyFill="1" applyBorder="1" applyAlignment="1">
      <alignment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3" fontId="4" fillId="0" borderId="54" xfId="0" applyNumberFormat="1" applyFont="1" applyBorder="1" applyAlignment="1">
      <alignment horizontal="center" vertical="center" wrapText="1"/>
    </xf>
    <xf numFmtId="0" fontId="4" fillId="0" borderId="55" xfId="0" applyFont="1" applyBorder="1" applyAlignment="1">
      <alignment vertical="center" wrapText="1"/>
    </xf>
    <xf numFmtId="0" fontId="4" fillId="0" borderId="55" xfId="0" applyFont="1" applyBorder="1" applyAlignment="1">
      <alignment horizontal="center" vertical="center" wrapText="1"/>
    </xf>
    <xf numFmtId="172" fontId="4" fillId="0" borderId="55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3" fillId="0" borderId="50" xfId="0" applyFont="1" applyBorder="1" applyAlignment="1">
      <alignment vertical="center" wrapText="1"/>
    </xf>
    <xf numFmtId="164" fontId="4" fillId="0" borderId="23" xfId="0" applyNumberFormat="1" applyFont="1" applyBorder="1" applyAlignment="1">
      <alignment vertical="center" wrapText="1"/>
    </xf>
    <xf numFmtId="164" fontId="4" fillId="0" borderId="41" xfId="0" applyNumberFormat="1" applyFont="1" applyBorder="1" applyAlignment="1">
      <alignment vertical="center" wrapText="1"/>
    </xf>
    <xf numFmtId="165" fontId="4" fillId="0" borderId="23" xfId="0" applyNumberFormat="1" applyFont="1" applyBorder="1" applyAlignment="1">
      <alignment vertical="center" wrapText="1"/>
    </xf>
    <xf numFmtId="43" fontId="4" fillId="0" borderId="0" xfId="0" applyNumberFormat="1" applyFont="1" applyAlignment="1">
      <alignment horizontal="left"/>
    </xf>
    <xf numFmtId="168" fontId="3" fillId="3" borderId="45" xfId="0" applyNumberFormat="1" applyFont="1" applyFill="1" applyBorder="1" applyAlignment="1">
      <alignment vertical="center" wrapText="1"/>
    </xf>
    <xf numFmtId="172" fontId="4" fillId="0" borderId="29" xfId="0" applyNumberFormat="1" applyFont="1" applyBorder="1" applyAlignment="1">
      <alignment horizontal="center" vertical="center" wrapText="1"/>
    </xf>
    <xf numFmtId="168" fontId="4" fillId="0" borderId="30" xfId="2" applyNumberFormat="1" applyFont="1" applyBorder="1" applyAlignment="1">
      <alignment vertical="center" wrapText="1"/>
    </xf>
    <xf numFmtId="172" fontId="4" fillId="0" borderId="32" xfId="0" applyNumberFormat="1" applyFont="1" applyBorder="1" applyAlignment="1">
      <alignment horizontal="center" vertical="center" wrapText="1"/>
    </xf>
    <xf numFmtId="4" fontId="3" fillId="0" borderId="42" xfId="0" applyNumberFormat="1" applyFont="1" applyBorder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8" fillId="0" borderId="0" xfId="0" applyFont="1"/>
    <xf numFmtId="168" fontId="3" fillId="3" borderId="56" xfId="0" applyNumberFormat="1" applyFont="1" applyFill="1" applyBorder="1" applyAlignment="1">
      <alignment vertical="center" wrapText="1"/>
    </xf>
    <xf numFmtId="0" fontId="3" fillId="0" borderId="46" xfId="0" applyFont="1" applyBorder="1" applyAlignment="1">
      <alignment vertical="center" wrapText="1"/>
    </xf>
    <xf numFmtId="168" fontId="3" fillId="0" borderId="17" xfId="0" applyNumberFormat="1" applyFont="1" applyBorder="1" applyAlignment="1">
      <alignment vertical="center" wrapText="1"/>
    </xf>
    <xf numFmtId="0" fontId="3" fillId="0" borderId="47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8" fontId="3" fillId="0" borderId="49" xfId="0" applyNumberFormat="1" applyFont="1" applyBorder="1" applyAlignment="1">
      <alignment vertical="center" wrapText="1"/>
    </xf>
    <xf numFmtId="173" fontId="4" fillId="0" borderId="0" xfId="0" applyNumberFormat="1" applyFont="1" applyAlignment="1">
      <alignment vertical="center" wrapText="1"/>
    </xf>
    <xf numFmtId="174" fontId="4" fillId="0" borderId="0" xfId="4" applyNumberFormat="1" applyFont="1" applyBorder="1" applyAlignment="1">
      <alignment vertical="center" wrapText="1"/>
    </xf>
    <xf numFmtId="10" fontId="4" fillId="0" borderId="0" xfId="0" applyNumberFormat="1" applyFont="1" applyAlignment="1">
      <alignment vertical="center" wrapText="1"/>
    </xf>
    <xf numFmtId="0" fontId="4" fillId="0" borderId="57" xfId="0" applyFont="1" applyBorder="1" applyAlignment="1">
      <alignment vertical="center" wrapText="1"/>
    </xf>
    <xf numFmtId="0" fontId="3" fillId="0" borderId="58" xfId="0" applyFont="1" applyBorder="1" applyAlignment="1">
      <alignment vertical="center" wrapText="1"/>
    </xf>
    <xf numFmtId="10" fontId="4" fillId="0" borderId="59" xfId="3" applyNumberFormat="1" applyFont="1" applyBorder="1" applyAlignment="1">
      <alignment vertical="center" wrapText="1"/>
    </xf>
    <xf numFmtId="174" fontId="4" fillId="0" borderId="59" xfId="4" applyNumberFormat="1" applyFont="1" applyBorder="1" applyAlignment="1">
      <alignment vertical="center" wrapText="1"/>
    </xf>
    <xf numFmtId="0" fontId="4" fillId="0" borderId="59" xfId="0" applyFont="1" applyBorder="1" applyAlignment="1">
      <alignment vertical="center" wrapText="1"/>
    </xf>
    <xf numFmtId="0" fontId="4" fillId="0" borderId="60" xfId="0" applyFont="1" applyBorder="1" applyAlignment="1">
      <alignment vertical="center" wrapText="1"/>
    </xf>
    <xf numFmtId="168" fontId="3" fillId="0" borderId="61" xfId="0" applyNumberFormat="1" applyFont="1" applyBorder="1" applyAlignment="1">
      <alignment vertical="center" wrapText="1"/>
    </xf>
    <xf numFmtId="0" fontId="4" fillId="0" borderId="62" xfId="0" applyFont="1" applyBorder="1" applyAlignment="1">
      <alignment vertical="center" wrapText="1"/>
    </xf>
    <xf numFmtId="0" fontId="3" fillId="0" borderId="63" xfId="0" applyFont="1" applyBorder="1" applyAlignment="1">
      <alignment vertical="center" wrapText="1"/>
    </xf>
    <xf numFmtId="0" fontId="4" fillId="0" borderId="64" xfId="0" applyFont="1" applyBorder="1" applyAlignment="1">
      <alignment vertical="center" wrapText="1"/>
    </xf>
    <xf numFmtId="168" fontId="8" fillId="4" borderId="65" xfId="0" applyNumberFormat="1" applyFont="1" applyFill="1" applyBorder="1" applyAlignment="1">
      <alignment vertical="center" wrapText="1"/>
    </xf>
    <xf numFmtId="3" fontId="4" fillId="0" borderId="0" xfId="0" applyNumberFormat="1" applyFont="1" applyAlignment="1">
      <alignment horizontal="right" vertical="center" wrapText="1"/>
    </xf>
    <xf numFmtId="0" fontId="4" fillId="2" borderId="0" xfId="0" applyFont="1" applyFill="1"/>
    <xf numFmtId="168" fontId="8" fillId="2" borderId="66" xfId="0" applyNumberFormat="1" applyFont="1" applyFill="1" applyBorder="1" applyAlignment="1">
      <alignment vertical="center" wrapText="1"/>
    </xf>
    <xf numFmtId="0" fontId="4" fillId="0" borderId="9" xfId="0" applyFont="1" applyBorder="1"/>
    <xf numFmtId="3" fontId="4" fillId="0" borderId="0" xfId="0" applyNumberFormat="1" applyFont="1"/>
    <xf numFmtId="0" fontId="3" fillId="0" borderId="44" xfId="0" applyFont="1" applyBorder="1" applyAlignment="1">
      <alignment horizontal="center" vertical="center" wrapText="1"/>
    </xf>
    <xf numFmtId="3" fontId="9" fillId="5" borderId="0" xfId="0" applyNumberFormat="1" applyFont="1" applyFill="1"/>
    <xf numFmtId="43" fontId="4" fillId="0" borderId="0" xfId="1" applyFont="1"/>
    <xf numFmtId="168" fontId="8" fillId="4" borderId="56" xfId="0" applyNumberFormat="1" applyFont="1" applyFill="1" applyBorder="1" applyAlignment="1">
      <alignment vertical="center" wrapText="1"/>
    </xf>
    <xf numFmtId="0" fontId="8" fillId="6" borderId="67" xfId="0" applyFont="1" applyFill="1" applyBorder="1" applyAlignment="1">
      <alignment horizontal="center" vertical="center" wrapText="1"/>
    </xf>
    <xf numFmtId="0" fontId="4" fillId="7" borderId="68" xfId="0" applyFont="1" applyFill="1" applyBorder="1"/>
    <xf numFmtId="168" fontId="8" fillId="7" borderId="67" xfId="0" applyNumberFormat="1" applyFont="1" applyFill="1" applyBorder="1" applyAlignment="1">
      <alignment vertical="center" wrapText="1"/>
    </xf>
    <xf numFmtId="168" fontId="4" fillId="0" borderId="0" xfId="0" applyNumberFormat="1" applyFont="1"/>
    <xf numFmtId="0" fontId="4" fillId="0" borderId="62" xfId="0" applyFont="1" applyBorder="1"/>
    <xf numFmtId="0" fontId="3" fillId="0" borderId="64" xfId="0" applyFont="1" applyBorder="1"/>
    <xf numFmtId="0" fontId="4" fillId="0" borderId="64" xfId="0" applyFont="1" applyBorder="1"/>
    <xf numFmtId="0" fontId="3" fillId="0" borderId="3" xfId="0" applyFont="1" applyBorder="1" applyAlignment="1">
      <alignment horizontal="center"/>
    </xf>
    <xf numFmtId="171" fontId="4" fillId="0" borderId="32" xfId="0" applyNumberFormat="1" applyFont="1" applyBorder="1" applyAlignment="1">
      <alignment vertical="center" wrapText="1"/>
    </xf>
    <xf numFmtId="171" fontId="4" fillId="0" borderId="55" xfId="0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/>
    </xf>
    <xf numFmtId="168" fontId="8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68" xfId="0" applyFont="1" applyBorder="1" applyAlignment="1">
      <alignment horizontal="center"/>
    </xf>
    <xf numFmtId="0" fontId="4" fillId="0" borderId="69" xfId="0" applyFont="1" applyBorder="1" applyAlignment="1">
      <alignment horizontal="center"/>
    </xf>
    <xf numFmtId="168" fontId="3" fillId="0" borderId="70" xfId="0" applyNumberFormat="1" applyFont="1" applyBorder="1" applyAlignment="1">
      <alignment horizontal="center" vertical="center" wrapText="1"/>
    </xf>
    <xf numFmtId="168" fontId="3" fillId="0" borderId="69" xfId="0" applyNumberFormat="1" applyFont="1" applyBorder="1" applyAlignment="1">
      <alignment horizontal="center" vertical="center" wrapText="1"/>
    </xf>
    <xf numFmtId="168" fontId="3" fillId="0" borderId="71" xfId="0" applyNumberFormat="1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/>
    </xf>
    <xf numFmtId="168" fontId="4" fillId="0" borderId="68" xfId="0" applyNumberFormat="1" applyFont="1" applyBorder="1" applyAlignment="1">
      <alignment horizontal="center"/>
    </xf>
    <xf numFmtId="168" fontId="4" fillId="0" borderId="71" xfId="0" applyNumberFormat="1" applyFont="1" applyBorder="1" applyAlignment="1">
      <alignment horizontal="center"/>
    </xf>
    <xf numFmtId="168" fontId="4" fillId="0" borderId="69" xfId="0" applyNumberFormat="1" applyFont="1" applyBorder="1" applyAlignment="1">
      <alignment horizontal="center"/>
    </xf>
    <xf numFmtId="0" fontId="3" fillId="3" borderId="18" xfId="0" applyFont="1" applyFill="1" applyBorder="1" applyAlignment="1">
      <alignment horizontal="center" vertical="center" wrapText="1"/>
    </xf>
    <xf numFmtId="0" fontId="5" fillId="0" borderId="19" xfId="0" applyFont="1" applyBorder="1"/>
    <xf numFmtId="0" fontId="5" fillId="0" borderId="20" xfId="0" applyFont="1" applyBorder="1"/>
    <xf numFmtId="0" fontId="3" fillId="3" borderId="28" xfId="0" applyFont="1" applyFill="1" applyBorder="1" applyAlignment="1">
      <alignment horizontal="center" vertical="center" wrapText="1"/>
    </xf>
    <xf numFmtId="0" fontId="5" fillId="0" borderId="41" xfId="0" applyFont="1" applyBorder="1"/>
    <xf numFmtId="0" fontId="9" fillId="5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shrinkToFit="1"/>
    </xf>
    <xf numFmtId="0" fontId="5" fillId="0" borderId="0" xfId="0" applyFont="1"/>
    <xf numFmtId="0" fontId="5" fillId="0" borderId="11" xfId="0" applyFont="1" applyBorder="1"/>
    <xf numFmtId="0" fontId="6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5">
    <cellStyle name="Millares" xfId="1" builtinId="3"/>
    <cellStyle name="Moneda" xfId="2" builtinId="4"/>
    <cellStyle name="Normal" xfId="0" builtinId="0"/>
    <cellStyle name="Porcentaje" xfId="3" builtinId="5"/>
    <cellStyle name="Porcentaje 2" xfId="4" xr:uid="{6844384C-E669-4274-9EF5-BADFF8716F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 /><Relationship Id="rId7" Type="http://schemas.openxmlformats.org/officeDocument/2006/relationships/calcChain" Target="calcChain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192.168.10.50/Proyectos/INVIAS-FA/Puentes%20Mochilero%20Quebradon/TCC%20Obra%20definitivos/AIU%20Mochilero%20Quebradon.xls" TargetMode="External" 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f87aa2675663743/VARIOS-ONEDRIVE/Desktop/Interventoria%20padel/FORMULARIO%201%20-%20INTERVENTORIA%20PADEL%202046-2025%20REV-ADICION.xlsx" TargetMode="External" /><Relationship Id="rId1" Type="http://schemas.openxmlformats.org/officeDocument/2006/relationships/externalLinkPath" Target="https://d.docs.live.net/7f87aa2675663743/VARIOS-ONEDRIVE/Desktop/Interventoria%20padel/FORMULARIO%201%20-%20INTERVENTORIA%20PADEL%202046-2025%20REV-ADICION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2"/>
      <sheetName val="RES 747 TARIFAS PROF."/>
      <sheetName val="SALARIO CELADOR 2012"/>
      <sheetName val="TARIFAS REGISTRO DISTRITAL 2012"/>
      <sheetName val="COSTOS OFICINA"/>
      <sheetName val="Media M2 oficina 2012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quidacion 22 dias (2)"/>
      <sheetName val="PRESUPUESTO OFICIAL"/>
      <sheetName val="FactorMultiplicador "/>
      <sheetName val="Polizas_Impuestos"/>
      <sheetName val="15 dias"/>
      <sheetName val="liquidacion 22 dias"/>
      <sheetName val="PRESUPUESTO OFICIAL 1 mes"/>
      <sheetName val="PRESUPUESTO OFICIAL 1 dia"/>
      <sheetName val="PRESUPUESTO ACTUAL_HONOR 1 mes"/>
      <sheetName val="PRESUPUESTOACTUL_HONO  1 dia"/>
      <sheetName val="PROPUESTA_ COSTOS ACTUALES"/>
      <sheetName val="PROPUESTA_CRITERIOS  (2)"/>
      <sheetName val="TABLA DE SALARIOS"/>
      <sheetName val="PROPUESTA_CRIT_interventor "/>
      <sheetName val="PROPUESTA_CRIT_interventorV2"/>
    </sheetNames>
    <sheetDataSet>
      <sheetData sheetId="0"/>
      <sheetData sheetId="1"/>
      <sheetData sheetId="2"/>
      <sheetData sheetId="3">
        <row r="10">
          <cell r="I10">
            <v>9.5700000000000004E-3</v>
          </cell>
        </row>
        <row r="20">
          <cell r="I20">
            <v>0.1366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27E8-83EC-46A6-ABF4-25294CFE7732}">
  <sheetPr>
    <tabColor rgb="FFFF0000"/>
  </sheetPr>
  <dimension ref="B1:Y74"/>
  <sheetViews>
    <sheetView tabSelected="1" view="pageBreakPreview" topLeftCell="A43" zoomScale="70" zoomScaleNormal="70" zoomScaleSheetLayoutView="70" workbookViewId="0">
      <selection activeCell="V44" sqref="V44"/>
    </sheetView>
  </sheetViews>
  <sheetFormatPr defaultColWidth="14.390625" defaultRowHeight="15" customHeight="1" x14ac:dyDescent="0.15"/>
  <cols>
    <col min="1" max="2" width="11.43359375" style="3" customWidth="1"/>
    <col min="3" max="3" width="60.9375" style="3" customWidth="1"/>
    <col min="4" max="4" width="18.16015625" style="3" customWidth="1"/>
    <col min="5" max="5" width="14.390625" style="3" customWidth="1"/>
    <col min="6" max="6" width="18.5625" style="3" customWidth="1"/>
    <col min="7" max="7" width="15.6015625" style="3" customWidth="1"/>
    <col min="8" max="8" width="23.67578125" style="3" customWidth="1"/>
    <col min="9" max="9" width="1.61328125" style="3" customWidth="1"/>
    <col min="10" max="10" width="2.28515625" style="3" hidden="1" customWidth="1"/>
    <col min="11" max="11" width="13.31640625" style="3" hidden="1" customWidth="1"/>
    <col min="12" max="12" width="60.9375" style="3" hidden="1" customWidth="1"/>
    <col min="13" max="13" width="18.16015625" style="3" hidden="1" customWidth="1"/>
    <col min="14" max="14" width="0" style="3" hidden="1" customWidth="1"/>
    <col min="15" max="15" width="18.5625" style="3" hidden="1" customWidth="1"/>
    <col min="16" max="16" width="15.6015625" style="3" hidden="1" customWidth="1"/>
    <col min="17" max="17" width="22.328125" style="3" hidden="1" customWidth="1"/>
    <col min="18" max="18" width="1.61328125" style="3" hidden="1" customWidth="1"/>
    <col min="19" max="19" width="11.296875" style="6" hidden="1" customWidth="1"/>
    <col min="20" max="20" width="19.90625" style="6" hidden="1" customWidth="1"/>
    <col min="21" max="21" width="15.6015625" style="3" customWidth="1"/>
    <col min="22" max="22" width="14.390625" style="3"/>
    <col min="23" max="23" width="0" style="3" hidden="1" customWidth="1"/>
    <col min="24" max="24" width="17.890625" style="3" customWidth="1"/>
    <col min="25" max="16384" width="14.390625" style="3"/>
  </cols>
  <sheetData>
    <row r="1" spans="2:20" ht="15" customHeight="1" x14ac:dyDescent="0.15">
      <c r="B1" s="165" t="s">
        <v>0</v>
      </c>
      <c r="C1" s="165"/>
      <c r="D1" s="165"/>
      <c r="E1" s="165"/>
      <c r="F1" s="166"/>
      <c r="G1" s="1" t="s">
        <v>1</v>
      </c>
      <c r="H1" s="2" t="s">
        <v>2</v>
      </c>
      <c r="K1" s="167" t="s">
        <v>3</v>
      </c>
      <c r="L1" s="168"/>
      <c r="M1" s="168"/>
      <c r="N1" s="168"/>
      <c r="O1" s="169"/>
      <c r="P1" s="4" t="s">
        <v>1</v>
      </c>
      <c r="Q1" s="5" t="s">
        <v>2</v>
      </c>
    </row>
    <row r="2" spans="2:20" ht="15" customHeight="1" x14ac:dyDescent="0.15">
      <c r="B2" s="165"/>
      <c r="C2" s="165"/>
      <c r="D2" s="165"/>
      <c r="E2" s="165"/>
      <c r="F2" s="166"/>
      <c r="G2" s="7">
        <v>1</v>
      </c>
      <c r="H2" s="2">
        <v>30</v>
      </c>
      <c r="K2" s="170"/>
      <c r="L2" s="165"/>
      <c r="M2" s="165"/>
      <c r="N2" s="165"/>
      <c r="O2" s="166"/>
      <c r="P2" s="7">
        <v>1</v>
      </c>
      <c r="Q2" s="8">
        <v>30</v>
      </c>
    </row>
    <row r="3" spans="2:20" ht="14.45" customHeight="1" x14ac:dyDescent="0.15">
      <c r="B3" s="165"/>
      <c r="C3" s="165"/>
      <c r="D3" s="165"/>
      <c r="E3" s="165"/>
      <c r="F3" s="166"/>
      <c r="G3" s="9">
        <f>G2*H3/H2</f>
        <v>1.5666666666666667</v>
      </c>
      <c r="H3" s="144">
        <v>47</v>
      </c>
      <c r="K3" s="170"/>
      <c r="L3" s="165"/>
      <c r="M3" s="165"/>
      <c r="N3" s="165"/>
      <c r="O3" s="166"/>
      <c r="P3" s="9">
        <f>P2*Q3/Q2</f>
        <v>0.53333333333333333</v>
      </c>
      <c r="Q3" s="147">
        <v>16</v>
      </c>
    </row>
    <row r="4" spans="2:20" ht="29.25" customHeight="1" x14ac:dyDescent="0.15">
      <c r="B4" s="171" t="s">
        <v>4</v>
      </c>
      <c r="C4" s="172"/>
      <c r="D4" s="172"/>
      <c r="E4" s="172"/>
      <c r="F4" s="172"/>
      <c r="G4" s="172"/>
      <c r="H4" s="172"/>
      <c r="I4" s="10"/>
      <c r="K4" s="171" t="s">
        <v>5</v>
      </c>
      <c r="L4" s="172"/>
      <c r="M4" s="172"/>
      <c r="N4" s="172"/>
      <c r="O4" s="172"/>
      <c r="P4" s="172"/>
      <c r="Q4" s="173"/>
      <c r="R4" s="10"/>
      <c r="S4" s="3"/>
      <c r="T4" s="3"/>
    </row>
    <row r="5" spans="2:20" ht="24.6" customHeight="1" x14ac:dyDescent="0.15">
      <c r="B5" s="174" t="s">
        <v>6</v>
      </c>
      <c r="C5" s="175"/>
      <c r="D5" s="175"/>
      <c r="E5" s="175"/>
      <c r="F5" s="175"/>
      <c r="G5" s="175"/>
      <c r="H5" s="175"/>
      <c r="I5" s="11"/>
      <c r="K5" s="174" t="s">
        <v>6</v>
      </c>
      <c r="L5" s="175"/>
      <c r="M5" s="175"/>
      <c r="N5" s="175"/>
      <c r="O5" s="175"/>
      <c r="P5" s="175"/>
      <c r="Q5" s="176"/>
      <c r="R5" s="11"/>
      <c r="S5" s="3"/>
      <c r="T5" s="3"/>
    </row>
    <row r="6" spans="2:20" ht="13.5" thickBot="1" x14ac:dyDescent="0.2">
      <c r="B6" s="12"/>
      <c r="C6" s="11"/>
      <c r="D6" s="11"/>
      <c r="E6" s="11"/>
      <c r="F6" s="11"/>
      <c r="G6" s="11"/>
      <c r="H6" s="13"/>
      <c r="I6" s="11"/>
      <c r="K6" s="12"/>
      <c r="L6" s="11"/>
      <c r="M6" s="11"/>
      <c r="N6" s="11"/>
      <c r="O6" s="11"/>
      <c r="P6" s="11"/>
      <c r="Q6" s="14"/>
      <c r="R6" s="11"/>
      <c r="S6" s="3"/>
      <c r="T6" s="3"/>
    </row>
    <row r="7" spans="2:20" ht="59.25" customHeight="1" thickBot="1" x14ac:dyDescent="0.2">
      <c r="B7" s="15" t="s">
        <v>7</v>
      </c>
      <c r="C7" s="16" t="s">
        <v>8</v>
      </c>
      <c r="D7" s="16" t="s">
        <v>9</v>
      </c>
      <c r="E7" s="16" t="s">
        <v>10</v>
      </c>
      <c r="F7" s="16" t="s">
        <v>11</v>
      </c>
      <c r="G7" s="16" t="s">
        <v>12</v>
      </c>
      <c r="H7" s="17" t="s">
        <v>13</v>
      </c>
      <c r="I7" s="11"/>
      <c r="K7" s="18" t="s">
        <v>7</v>
      </c>
      <c r="L7" s="19" t="s">
        <v>8</v>
      </c>
      <c r="M7" s="19" t="s">
        <v>9</v>
      </c>
      <c r="N7" s="19" t="s">
        <v>10</v>
      </c>
      <c r="O7" s="19" t="s">
        <v>11</v>
      </c>
      <c r="P7" s="19" t="s">
        <v>12</v>
      </c>
      <c r="Q7" s="20" t="s">
        <v>13</v>
      </c>
      <c r="R7" s="11"/>
    </row>
    <row r="8" spans="2:20" ht="24" customHeight="1" x14ac:dyDescent="0.15">
      <c r="B8" s="159" t="s">
        <v>14</v>
      </c>
      <c r="C8" s="160"/>
      <c r="D8" s="160"/>
      <c r="E8" s="160"/>
      <c r="F8" s="160"/>
      <c r="G8" s="160"/>
      <c r="H8" s="161"/>
      <c r="K8" s="159" t="s">
        <v>14</v>
      </c>
      <c r="L8" s="160"/>
      <c r="M8" s="160"/>
      <c r="N8" s="160"/>
      <c r="O8" s="160"/>
      <c r="P8" s="160"/>
      <c r="Q8" s="161"/>
    </row>
    <row r="9" spans="2:20" ht="32.450000000000003" customHeight="1" thickBot="1" x14ac:dyDescent="0.2">
      <c r="B9" s="21"/>
      <c r="C9" s="22" t="s">
        <v>15</v>
      </c>
      <c r="D9" s="23"/>
      <c r="E9" s="23"/>
      <c r="F9" s="23"/>
      <c r="G9" s="24"/>
      <c r="H9" s="25"/>
      <c r="K9" s="21"/>
      <c r="L9" s="22" t="s">
        <v>15</v>
      </c>
      <c r="M9" s="23"/>
      <c r="N9" s="23"/>
      <c r="O9" s="23"/>
      <c r="P9" s="24"/>
      <c r="Q9" s="25"/>
    </row>
    <row r="10" spans="2:20" ht="13.5" thickBot="1" x14ac:dyDescent="0.2">
      <c r="B10" s="26"/>
      <c r="C10" s="27"/>
      <c r="D10" s="28"/>
      <c r="E10" s="28"/>
      <c r="F10" s="29"/>
      <c r="G10" s="30"/>
      <c r="H10" s="31"/>
      <c r="K10" s="26"/>
      <c r="L10" s="27"/>
      <c r="M10" s="28"/>
      <c r="N10" s="28"/>
      <c r="O10" s="29"/>
      <c r="P10" s="30"/>
      <c r="Q10" s="31"/>
    </row>
    <row r="11" spans="2:20" ht="13.5" thickBot="1" x14ac:dyDescent="0.2">
      <c r="B11" s="32"/>
      <c r="C11" s="33" t="s">
        <v>16</v>
      </c>
      <c r="D11" s="34"/>
      <c r="E11" s="34"/>
      <c r="F11" s="35"/>
      <c r="G11" s="36"/>
      <c r="H11" s="37">
        <f>SUM(H12:H13)</f>
        <v>4969942</v>
      </c>
      <c r="K11" s="32"/>
      <c r="L11" s="33" t="s">
        <v>16</v>
      </c>
      <c r="M11" s="34"/>
      <c r="N11" s="34"/>
      <c r="O11" s="35"/>
      <c r="P11" s="36"/>
      <c r="Q11" s="37">
        <f>SUM(Q12:Q13)</f>
        <v>3383791</v>
      </c>
    </row>
    <row r="12" spans="2:20" ht="12.75" x14ac:dyDescent="0.15">
      <c r="B12" s="38">
        <v>1</v>
      </c>
      <c r="C12" s="39" t="s">
        <v>17</v>
      </c>
      <c r="D12" s="40">
        <f>6100584*1.04</f>
        <v>6344607.3600000003</v>
      </c>
      <c r="E12" s="40"/>
      <c r="F12" s="41">
        <v>0.5</v>
      </c>
      <c r="G12" s="42">
        <f>$G$3</f>
        <v>1.5666666666666667</v>
      </c>
      <c r="H12" s="43">
        <f>ROUND(B12*(D12+E12)*F12*G12,0)</f>
        <v>4969942</v>
      </c>
      <c r="K12" s="38">
        <v>1</v>
      </c>
      <c r="L12" s="39" t="s">
        <v>17</v>
      </c>
      <c r="M12" s="40">
        <f>6100584*1.04</f>
        <v>6344607.3600000003</v>
      </c>
      <c r="N12" s="40"/>
      <c r="O12" s="41">
        <v>1</v>
      </c>
      <c r="P12" s="42">
        <f>$P$3</f>
        <v>0.53333333333333333</v>
      </c>
      <c r="Q12" s="43">
        <f>ROUND(K12*(M12+N12)*O12*P12,0)</f>
        <v>3383791</v>
      </c>
    </row>
    <row r="13" spans="2:20" ht="13.5" thickBot="1" x14ac:dyDescent="0.2">
      <c r="B13" s="44"/>
      <c r="C13" s="45"/>
      <c r="D13" s="46"/>
      <c r="E13" s="46"/>
      <c r="F13" s="47"/>
      <c r="G13" s="48"/>
      <c r="H13" s="49"/>
      <c r="K13" s="44"/>
      <c r="L13" s="45"/>
      <c r="M13" s="46"/>
      <c r="N13" s="46"/>
      <c r="O13" s="47"/>
      <c r="P13" s="48"/>
      <c r="Q13" s="49"/>
    </row>
    <row r="14" spans="2:20" ht="13.5" thickBot="1" x14ac:dyDescent="0.2">
      <c r="B14" s="32"/>
      <c r="C14" s="33" t="s">
        <v>18</v>
      </c>
      <c r="D14" s="34"/>
      <c r="E14" s="34"/>
      <c r="F14" s="35"/>
      <c r="G14" s="36"/>
      <c r="H14" s="37">
        <f>SUM(H15:H16)</f>
        <v>5425832</v>
      </c>
      <c r="K14" s="32"/>
      <c r="L14" s="33" t="s">
        <v>18</v>
      </c>
      <c r="M14" s="34"/>
      <c r="N14" s="34"/>
      <c r="O14" s="35"/>
      <c r="P14" s="36"/>
      <c r="Q14" s="37">
        <f>SUM(Q15:Q16)</f>
        <v>1847092</v>
      </c>
    </row>
    <row r="15" spans="2:20" ht="27" customHeight="1" x14ac:dyDescent="0.15">
      <c r="B15" s="38">
        <v>1</v>
      </c>
      <c r="C15" s="39" t="s">
        <v>19</v>
      </c>
      <c r="D15" s="50">
        <f>3330093*1.04</f>
        <v>3463296.72</v>
      </c>
      <c r="E15" s="40"/>
      <c r="F15" s="41">
        <v>1</v>
      </c>
      <c r="G15" s="42">
        <f>$G$3</f>
        <v>1.5666666666666667</v>
      </c>
      <c r="H15" s="43">
        <f>ROUND(B15*(D15+E15)*G15*F15,0)</f>
        <v>5425832</v>
      </c>
      <c r="K15" s="38">
        <v>1</v>
      </c>
      <c r="L15" s="39" t="s">
        <v>19</v>
      </c>
      <c r="M15" s="50">
        <f>3330093*1.04</f>
        <v>3463296.72</v>
      </c>
      <c r="N15" s="40"/>
      <c r="O15" s="41">
        <v>1</v>
      </c>
      <c r="P15" s="42">
        <f>$P$3</f>
        <v>0.53333333333333333</v>
      </c>
      <c r="Q15" s="43">
        <f>ROUND(K15*(M15+N15)*P15*O15,0)</f>
        <v>1847092</v>
      </c>
    </row>
    <row r="16" spans="2:20" ht="13.5" thickBot="1" x14ac:dyDescent="0.2">
      <c r="B16" s="38"/>
      <c r="C16" s="39"/>
      <c r="D16" s="40"/>
      <c r="E16" s="40"/>
      <c r="F16" s="41"/>
      <c r="G16" s="42"/>
      <c r="H16" s="43"/>
      <c r="K16" s="38"/>
      <c r="L16" s="39"/>
      <c r="M16" s="40"/>
      <c r="N16" s="40"/>
      <c r="O16" s="41"/>
      <c r="P16" s="42"/>
      <c r="Q16" s="43"/>
    </row>
    <row r="17" spans="2:20" ht="13.5" thickBot="1" x14ac:dyDescent="0.2">
      <c r="B17" s="32"/>
      <c r="C17" s="33" t="s">
        <v>20</v>
      </c>
      <c r="D17" s="34"/>
      <c r="E17" s="34"/>
      <c r="F17" s="35"/>
      <c r="G17" s="36"/>
      <c r="H17" s="37">
        <f>SUM(H18:H19)</f>
        <v>8827813</v>
      </c>
      <c r="K17" s="32"/>
      <c r="L17" s="33" t="s">
        <v>20</v>
      </c>
      <c r="M17" s="34"/>
      <c r="N17" s="34"/>
      <c r="O17" s="35"/>
      <c r="P17" s="36"/>
      <c r="Q17" s="37">
        <f>SUM(Q18:Q19)</f>
        <v>1847092</v>
      </c>
    </row>
    <row r="18" spans="2:20" ht="12.75" x14ac:dyDescent="0.15">
      <c r="B18" s="38">
        <v>1</v>
      </c>
      <c r="C18" s="39" t="s">
        <v>21</v>
      </c>
      <c r="D18" s="50">
        <f>2087959*1.04</f>
        <v>2171477.36</v>
      </c>
      <c r="E18" s="40"/>
      <c r="F18" s="41">
        <v>1</v>
      </c>
      <c r="G18" s="42">
        <f>$G$3</f>
        <v>1.5666666666666667</v>
      </c>
      <c r="H18" s="43">
        <f>ROUND(+B18*(D18+E18)*F18*G18,0)</f>
        <v>3401981</v>
      </c>
      <c r="K18" s="38">
        <v>1</v>
      </c>
      <c r="L18" s="39" t="s">
        <v>21</v>
      </c>
      <c r="M18" s="50">
        <f>2087959*1.04</f>
        <v>2171477.36</v>
      </c>
      <c r="N18" s="40"/>
      <c r="O18" s="41">
        <v>1</v>
      </c>
      <c r="P18" s="42"/>
      <c r="Q18" s="43">
        <f>ROUND(+K18*(M18+N18)*O18*P18,0)</f>
        <v>0</v>
      </c>
    </row>
    <row r="19" spans="2:20" ht="24" customHeight="1" x14ac:dyDescent="0.15">
      <c r="B19" s="38">
        <v>1</v>
      </c>
      <c r="C19" s="39" t="s">
        <v>22</v>
      </c>
      <c r="D19" s="50">
        <v>3463296.72</v>
      </c>
      <c r="E19" s="40"/>
      <c r="F19" s="41">
        <v>1</v>
      </c>
      <c r="G19" s="42">
        <f>$G$3</f>
        <v>1.5666666666666667</v>
      </c>
      <c r="H19" s="43">
        <f>ROUND(+B19*(D19+E19)*F19*G19,0)</f>
        <v>5425832</v>
      </c>
      <c r="K19" s="38">
        <v>1</v>
      </c>
      <c r="L19" s="39" t="s">
        <v>22</v>
      </c>
      <c r="M19" s="50">
        <v>3463296.72</v>
      </c>
      <c r="N19" s="40"/>
      <c r="O19" s="41">
        <v>1</v>
      </c>
      <c r="P19" s="42">
        <f>$P$3</f>
        <v>0.53333333333333333</v>
      </c>
      <c r="Q19" s="43">
        <f>ROUND(+K19*(M19+N19)*O19*P19,0)</f>
        <v>1847092</v>
      </c>
    </row>
    <row r="20" spans="2:20" ht="24" customHeight="1" thickBot="1" x14ac:dyDescent="0.2">
      <c r="B20" s="38"/>
      <c r="C20" s="39"/>
      <c r="D20" s="50"/>
      <c r="E20" s="40"/>
      <c r="F20" s="41"/>
      <c r="G20" s="42"/>
      <c r="H20" s="43"/>
      <c r="K20" s="38"/>
      <c r="L20" s="39"/>
      <c r="M20" s="50"/>
      <c r="N20" s="40"/>
      <c r="O20" s="41"/>
      <c r="P20" s="42"/>
      <c r="Q20" s="43"/>
    </row>
    <row r="21" spans="2:20" ht="15.75" thickBot="1" x14ac:dyDescent="0.2">
      <c r="B21" s="51"/>
      <c r="C21" s="52" t="s">
        <v>23</v>
      </c>
      <c r="D21" s="53"/>
      <c r="E21" s="53"/>
      <c r="F21" s="53"/>
      <c r="G21" s="54"/>
      <c r="H21" s="37">
        <f>SUM(H22:H25)</f>
        <v>2288536</v>
      </c>
      <c r="K21" s="51"/>
      <c r="L21" s="52" t="s">
        <v>23</v>
      </c>
      <c r="M21" s="53"/>
      <c r="N21" s="53"/>
      <c r="O21" s="53"/>
      <c r="P21" s="54"/>
      <c r="Q21" s="37">
        <f>SUM(Q22:Q25)</f>
        <v>0</v>
      </c>
    </row>
    <row r="22" spans="2:20" ht="12.75" x14ac:dyDescent="0.15">
      <c r="B22" s="38">
        <v>1</v>
      </c>
      <c r="C22" s="39" t="s">
        <v>24</v>
      </c>
      <c r="D22" s="50">
        <f>2087960*1.04</f>
        <v>2171478.4</v>
      </c>
      <c r="E22" s="40"/>
      <c r="F22" s="41">
        <v>0.2</v>
      </c>
      <c r="G22" s="42">
        <f>$G$3</f>
        <v>1.5666666666666667</v>
      </c>
      <c r="H22" s="43">
        <f>ROUND(+B22*(D22+E22)*F22*G22,0)</f>
        <v>680397</v>
      </c>
      <c r="K22" s="38">
        <v>1</v>
      </c>
      <c r="L22" s="39" t="s">
        <v>24</v>
      </c>
      <c r="M22" s="50">
        <f>2087960*1.04</f>
        <v>2171478.4</v>
      </c>
      <c r="N22" s="40"/>
      <c r="O22" s="41">
        <v>0.2</v>
      </c>
      <c r="P22" s="42"/>
      <c r="Q22" s="43">
        <f>ROUND(+K22*(M22+N22)*O22*P22,0)</f>
        <v>0</v>
      </c>
    </row>
    <row r="23" spans="2:20" ht="12.75" x14ac:dyDescent="0.15">
      <c r="B23" s="38">
        <v>1</v>
      </c>
      <c r="C23" s="39" t="s">
        <v>25</v>
      </c>
      <c r="D23" s="50">
        <f>1423500*1.04</f>
        <v>1480440</v>
      </c>
      <c r="E23" s="40"/>
      <c r="F23" s="41">
        <v>0.2</v>
      </c>
      <c r="G23" s="42">
        <f>$G$3</f>
        <v>1.5666666666666667</v>
      </c>
      <c r="H23" s="43">
        <f>ROUND(+B23*(D23+E23)*F23*G23,0)</f>
        <v>463871</v>
      </c>
      <c r="K23" s="38">
        <v>1</v>
      </c>
      <c r="L23" s="39" t="s">
        <v>25</v>
      </c>
      <c r="M23" s="50">
        <f>1423500*1.04</f>
        <v>1480440</v>
      </c>
      <c r="N23" s="40"/>
      <c r="O23" s="41">
        <v>0.2</v>
      </c>
      <c r="P23" s="42"/>
      <c r="Q23" s="43">
        <f>ROUND(+K23*(M23+N23)*O23*P23,0)</f>
        <v>0</v>
      </c>
    </row>
    <row r="24" spans="2:20" ht="12.75" x14ac:dyDescent="0.15">
      <c r="B24" s="38">
        <v>1</v>
      </c>
      <c r="C24" s="39" t="s">
        <v>26</v>
      </c>
      <c r="D24" s="50">
        <f>2087960*1.04</f>
        <v>2171478.4</v>
      </c>
      <c r="E24" s="40"/>
      <c r="F24" s="41">
        <v>0.2</v>
      </c>
      <c r="G24" s="42">
        <f>$G$3</f>
        <v>1.5666666666666667</v>
      </c>
      <c r="H24" s="43">
        <f>ROUND(+B24*(D24+E24)*F24*G24,0)</f>
        <v>680397</v>
      </c>
      <c r="K24" s="38">
        <v>1</v>
      </c>
      <c r="L24" s="39" t="s">
        <v>26</v>
      </c>
      <c r="M24" s="50">
        <f>2087960*1.04</f>
        <v>2171478.4</v>
      </c>
      <c r="N24" s="40"/>
      <c r="O24" s="41">
        <v>0.2</v>
      </c>
      <c r="P24" s="42"/>
      <c r="Q24" s="43">
        <f>ROUND(+K24*(M24+N24)*O24*P24,0)</f>
        <v>0</v>
      </c>
    </row>
    <row r="25" spans="2:20" ht="12.75" x14ac:dyDescent="0.15">
      <c r="B25" s="38">
        <v>1</v>
      </c>
      <c r="C25" s="39" t="s">
        <v>27</v>
      </c>
      <c r="D25" s="50">
        <f>1423500*1.04</f>
        <v>1480440</v>
      </c>
      <c r="E25" s="40"/>
      <c r="F25" s="41">
        <v>0.2</v>
      </c>
      <c r="G25" s="42">
        <f>$G$3</f>
        <v>1.5666666666666667</v>
      </c>
      <c r="H25" s="43">
        <f>ROUND(+B25*(D25+E25)*F25*G25,0)</f>
        <v>463871</v>
      </c>
      <c r="K25" s="38">
        <v>1</v>
      </c>
      <c r="L25" s="39" t="s">
        <v>27</v>
      </c>
      <c r="M25" s="50">
        <f>1423500*1.04</f>
        <v>1480440</v>
      </c>
      <c r="N25" s="40"/>
      <c r="O25" s="41">
        <v>0.2</v>
      </c>
      <c r="P25" s="42"/>
      <c r="Q25" s="43">
        <f>ROUND(+K25*(M25+N25)*O25*P25,0)</f>
        <v>0</v>
      </c>
    </row>
    <row r="26" spans="2:20" ht="15.75" customHeight="1" thickBot="1" x14ac:dyDescent="0.2">
      <c r="B26" s="38"/>
      <c r="C26" s="39"/>
      <c r="D26" s="50"/>
      <c r="E26" s="40"/>
      <c r="F26" s="41"/>
      <c r="G26" s="42"/>
      <c r="H26" s="55"/>
      <c r="K26" s="38"/>
      <c r="L26" s="39"/>
      <c r="M26" s="50"/>
      <c r="N26" s="40"/>
      <c r="O26" s="41"/>
      <c r="P26" s="42"/>
      <c r="Q26" s="55"/>
    </row>
    <row r="27" spans="2:20" ht="15.75" customHeight="1" thickBot="1" x14ac:dyDescent="0.2">
      <c r="B27" s="56"/>
      <c r="C27" s="57" t="s">
        <v>28</v>
      </c>
      <c r="D27" s="58"/>
      <c r="E27" s="58"/>
      <c r="F27" s="58"/>
      <c r="G27" s="59"/>
      <c r="H27" s="37">
        <f>H11+H14+H17+H21</f>
        <v>21512123</v>
      </c>
      <c r="I27" s="11"/>
      <c r="K27" s="56"/>
      <c r="L27" s="57" t="s">
        <v>28</v>
      </c>
      <c r="M27" s="58"/>
      <c r="N27" s="58"/>
      <c r="O27" s="58"/>
      <c r="P27" s="59"/>
      <c r="Q27" s="37">
        <f>Q11+Q14+Q17+Q21</f>
        <v>7077975</v>
      </c>
      <c r="R27" s="11"/>
      <c r="S27" s="60"/>
      <c r="T27" s="61"/>
    </row>
    <row r="28" spans="2:20" ht="15.75" customHeight="1" thickBot="1" x14ac:dyDescent="0.2">
      <c r="B28" s="56"/>
      <c r="C28" s="57" t="s">
        <v>29</v>
      </c>
      <c r="D28" s="58"/>
      <c r="E28" s="58"/>
      <c r="F28" s="58"/>
      <c r="G28" s="59"/>
      <c r="H28" s="62">
        <v>1.97</v>
      </c>
      <c r="I28" s="11"/>
      <c r="K28" s="56"/>
      <c r="L28" s="57" t="s">
        <v>29</v>
      </c>
      <c r="M28" s="58"/>
      <c r="N28" s="58"/>
      <c r="O28" s="58"/>
      <c r="P28" s="59"/>
      <c r="Q28" s="62">
        <v>1.97</v>
      </c>
      <c r="R28" s="11"/>
      <c r="S28" s="63"/>
      <c r="T28" s="63"/>
    </row>
    <row r="29" spans="2:20" ht="15.75" customHeight="1" thickBot="1" x14ac:dyDescent="0.2">
      <c r="B29" s="64"/>
      <c r="C29" s="57" t="s">
        <v>30</v>
      </c>
      <c r="D29" s="65"/>
      <c r="E29" s="65"/>
      <c r="F29" s="65"/>
      <c r="G29" s="65"/>
      <c r="H29" s="37">
        <f>ROUND(+H27*H28,0)</f>
        <v>42378882</v>
      </c>
      <c r="I29" s="11"/>
      <c r="K29" s="64"/>
      <c r="L29" s="57" t="s">
        <v>30</v>
      </c>
      <c r="M29" s="65"/>
      <c r="N29" s="65"/>
      <c r="O29" s="65"/>
      <c r="P29" s="65"/>
      <c r="Q29" s="37">
        <f>ROUND(+Q27*Q28,0)</f>
        <v>13943611</v>
      </c>
      <c r="R29" s="11"/>
      <c r="S29" s="63"/>
      <c r="T29" s="63"/>
    </row>
    <row r="30" spans="2:20" ht="15.75" customHeight="1" thickBot="1" x14ac:dyDescent="0.2">
      <c r="B30" s="66"/>
      <c r="C30" s="67"/>
      <c r="D30" s="68"/>
      <c r="E30" s="68"/>
      <c r="F30" s="68"/>
      <c r="G30" s="68"/>
      <c r="H30" s="69"/>
      <c r="I30" s="13"/>
      <c r="K30" s="66"/>
      <c r="L30" s="67"/>
      <c r="M30" s="68"/>
      <c r="N30" s="68"/>
      <c r="O30" s="68"/>
      <c r="P30" s="68"/>
      <c r="Q30" s="69"/>
      <c r="R30" s="13"/>
      <c r="S30" s="63"/>
      <c r="T30" s="63"/>
    </row>
    <row r="31" spans="2:20" ht="15.75" customHeight="1" x14ac:dyDescent="0.15">
      <c r="B31" s="70"/>
      <c r="C31" s="71"/>
      <c r="D31" s="72"/>
      <c r="E31" s="72" t="s">
        <v>31</v>
      </c>
      <c r="F31" s="72"/>
      <c r="G31" s="73" t="s">
        <v>32</v>
      </c>
      <c r="H31" s="74" t="s">
        <v>33</v>
      </c>
      <c r="I31" s="11"/>
      <c r="K31" s="70"/>
      <c r="L31" s="71"/>
      <c r="M31" s="72"/>
      <c r="N31" s="72" t="s">
        <v>31</v>
      </c>
      <c r="O31" s="72"/>
      <c r="P31" s="73" t="s">
        <v>32</v>
      </c>
      <c r="Q31" s="74" t="s">
        <v>33</v>
      </c>
      <c r="R31" s="11"/>
      <c r="S31" s="63"/>
      <c r="T31" s="63"/>
    </row>
    <row r="32" spans="2:20" ht="15.75" customHeight="1" x14ac:dyDescent="0.15">
      <c r="B32" s="75" t="s">
        <v>34</v>
      </c>
      <c r="C32" s="76" t="s">
        <v>35</v>
      </c>
      <c r="D32" s="77" t="s">
        <v>36</v>
      </c>
      <c r="E32" s="77" t="s">
        <v>37</v>
      </c>
      <c r="F32" s="77"/>
      <c r="G32" s="78" t="s">
        <v>38</v>
      </c>
      <c r="H32" s="79" t="s">
        <v>39</v>
      </c>
      <c r="K32" s="75" t="s">
        <v>34</v>
      </c>
      <c r="L32" s="76" t="s">
        <v>35</v>
      </c>
      <c r="M32" s="77" t="s">
        <v>36</v>
      </c>
      <c r="N32" s="77" t="s">
        <v>37</v>
      </c>
      <c r="O32" s="77"/>
      <c r="P32" s="78" t="s">
        <v>38</v>
      </c>
      <c r="Q32" s="79" t="s">
        <v>39</v>
      </c>
    </row>
    <row r="33" spans="2:23" ht="15.75" customHeight="1" thickBot="1" x14ac:dyDescent="0.2">
      <c r="B33" s="80" t="s">
        <v>40</v>
      </c>
      <c r="C33" s="81"/>
      <c r="D33" s="82"/>
      <c r="E33" s="83" t="s">
        <v>41</v>
      </c>
      <c r="F33" s="82"/>
      <c r="G33" s="84" t="s">
        <v>42</v>
      </c>
      <c r="H33" s="85" t="s">
        <v>43</v>
      </c>
      <c r="K33" s="80" t="s">
        <v>40</v>
      </c>
      <c r="L33" s="81"/>
      <c r="M33" s="82"/>
      <c r="N33" s="83" t="s">
        <v>41</v>
      </c>
      <c r="O33" s="82"/>
      <c r="P33" s="84" t="s">
        <v>42</v>
      </c>
      <c r="Q33" s="85" t="s">
        <v>43</v>
      </c>
    </row>
    <row r="34" spans="2:23" ht="24.75" customHeight="1" x14ac:dyDescent="0.15">
      <c r="B34" s="159" t="s">
        <v>44</v>
      </c>
      <c r="C34" s="160"/>
      <c r="D34" s="160"/>
      <c r="E34" s="160"/>
      <c r="F34" s="160"/>
      <c r="G34" s="160"/>
      <c r="H34" s="161"/>
      <c r="K34" s="159" t="s">
        <v>44</v>
      </c>
      <c r="L34" s="160"/>
      <c r="M34" s="160"/>
      <c r="N34" s="160"/>
      <c r="O34" s="160"/>
      <c r="P34" s="160"/>
      <c r="Q34" s="161"/>
    </row>
    <row r="35" spans="2:23" ht="23.25" customHeight="1" thickBot="1" x14ac:dyDescent="0.2">
      <c r="B35" s="21"/>
      <c r="C35" s="22" t="s">
        <v>45</v>
      </c>
      <c r="D35" s="23"/>
      <c r="E35" s="23"/>
      <c r="F35" s="23"/>
      <c r="G35" s="24"/>
      <c r="H35" s="86">
        <f>SUM(H36:H38)</f>
        <v>3526494</v>
      </c>
      <c r="K35" s="21"/>
      <c r="L35" s="22" t="s">
        <v>45</v>
      </c>
      <c r="M35" s="23"/>
      <c r="N35" s="23"/>
      <c r="O35" s="23"/>
      <c r="P35" s="24"/>
      <c r="Q35" s="86">
        <f>SUM(Q36:Q38)</f>
        <v>0</v>
      </c>
    </row>
    <row r="36" spans="2:23" ht="15.75" customHeight="1" x14ac:dyDescent="0.15">
      <c r="B36" s="87">
        <v>1</v>
      </c>
      <c r="C36" s="39" t="s">
        <v>46</v>
      </c>
      <c r="D36" s="88" t="s">
        <v>1</v>
      </c>
      <c r="E36" s="145">
        <v>11154538</v>
      </c>
      <c r="F36" s="41">
        <v>0.1</v>
      </c>
      <c r="G36" s="42">
        <f>$G$3</f>
        <v>1.5666666666666667</v>
      </c>
      <c r="H36" s="43">
        <f>ROUND(+B36*(0+E36)*G36*F36,0)</f>
        <v>1747544</v>
      </c>
      <c r="K36" s="87">
        <v>1</v>
      </c>
      <c r="L36" s="39" t="s">
        <v>46</v>
      </c>
      <c r="M36" s="88" t="s">
        <v>1</v>
      </c>
      <c r="N36" s="145">
        <v>11154538</v>
      </c>
      <c r="O36" s="41">
        <v>0.1</v>
      </c>
      <c r="P36" s="42"/>
      <c r="Q36" s="43">
        <f>ROUND(+K36*(0+N36)*P36*O36,0)</f>
        <v>0</v>
      </c>
    </row>
    <row r="37" spans="2:23" ht="15.75" customHeight="1" x14ac:dyDescent="0.15">
      <c r="B37" s="89">
        <v>1</v>
      </c>
      <c r="C37" s="27" t="s">
        <v>47</v>
      </c>
      <c r="D37" s="88" t="s">
        <v>1</v>
      </c>
      <c r="E37" s="145">
        <v>11355000</v>
      </c>
      <c r="F37" s="41">
        <v>0.1</v>
      </c>
      <c r="G37" s="42">
        <f>$G$3</f>
        <v>1.5666666666666667</v>
      </c>
      <c r="H37" s="43">
        <f>ROUND(+B37*(0+E37)*G37*F37,0)</f>
        <v>1778950</v>
      </c>
      <c r="K37" s="89">
        <v>1</v>
      </c>
      <c r="L37" s="27" t="s">
        <v>47</v>
      </c>
      <c r="M37" s="88" t="s">
        <v>1</v>
      </c>
      <c r="N37" s="145">
        <v>11355000</v>
      </c>
      <c r="O37" s="41">
        <v>0.1</v>
      </c>
      <c r="P37" s="42"/>
      <c r="Q37" s="43">
        <f>ROUND(+K37*(0+N37)*P37*O37,0)</f>
        <v>0</v>
      </c>
      <c r="V37" s="90"/>
    </row>
    <row r="38" spans="2:23" ht="15.75" customHeight="1" thickBot="1" x14ac:dyDescent="0.2">
      <c r="B38" s="91"/>
      <c r="C38" s="92"/>
      <c r="D38" s="93"/>
      <c r="E38" s="146"/>
      <c r="F38" s="29"/>
      <c r="G38" s="94"/>
      <c r="H38" s="31"/>
      <c r="K38" s="91"/>
      <c r="L38" s="92"/>
      <c r="M38" s="93"/>
      <c r="N38" s="146"/>
      <c r="O38" s="29"/>
      <c r="P38" s="94"/>
      <c r="Q38" s="31"/>
      <c r="V38" s="90"/>
      <c r="W38" s="3">
        <f>SUM(W36:W36)</f>
        <v>0</v>
      </c>
    </row>
    <row r="39" spans="2:23" ht="20.25" customHeight="1" thickBot="1" x14ac:dyDescent="0.2">
      <c r="B39" s="95"/>
      <c r="C39" s="96" t="s">
        <v>48</v>
      </c>
      <c r="D39" s="97"/>
      <c r="E39" s="97"/>
      <c r="F39" s="98"/>
      <c r="G39" s="99"/>
      <c r="H39" s="37">
        <f>H35</f>
        <v>3526494</v>
      </c>
      <c r="K39" s="95"/>
      <c r="L39" s="96" t="s">
        <v>48</v>
      </c>
      <c r="M39" s="97"/>
      <c r="N39" s="97"/>
      <c r="O39" s="98"/>
      <c r="P39" s="99"/>
      <c r="Q39" s="37">
        <f>Q35</f>
        <v>0</v>
      </c>
      <c r="V39" s="90"/>
      <c r="W39" s="100"/>
    </row>
    <row r="40" spans="2:23" ht="15.75" customHeight="1" thickBot="1" x14ac:dyDescent="0.2">
      <c r="B40" s="66"/>
      <c r="C40" s="67"/>
      <c r="D40" s="68"/>
      <c r="E40" s="68"/>
      <c r="F40" s="68"/>
      <c r="G40" s="68"/>
      <c r="H40" s="69"/>
      <c r="K40" s="66"/>
      <c r="L40" s="67"/>
      <c r="M40" s="68"/>
      <c r="N40" s="68"/>
      <c r="O40" s="68"/>
      <c r="P40" s="68"/>
      <c r="Q40" s="69"/>
    </row>
    <row r="41" spans="2:23" ht="26.25" customHeight="1" thickBot="1" x14ac:dyDescent="0.2">
      <c r="B41" s="162" t="s">
        <v>49</v>
      </c>
      <c r="C41" s="163"/>
      <c r="D41" s="163"/>
      <c r="E41" s="163"/>
      <c r="F41" s="163"/>
      <c r="G41" s="163"/>
      <c r="H41" s="101">
        <f>H39+H29</f>
        <v>45905376</v>
      </c>
      <c r="K41" s="162" t="s">
        <v>49</v>
      </c>
      <c r="L41" s="163"/>
      <c r="M41" s="163"/>
      <c r="N41" s="163"/>
      <c r="O41" s="163"/>
      <c r="P41" s="163"/>
      <c r="Q41" s="101">
        <f>Q39+Q29</f>
        <v>13943611</v>
      </c>
    </row>
    <row r="42" spans="2:23" ht="15.75" customHeight="1" thickBot="1" x14ac:dyDescent="0.2">
      <c r="B42" s="66"/>
      <c r="C42" s="67"/>
      <c r="D42" s="68"/>
      <c r="E42" s="68"/>
      <c r="F42" s="68"/>
      <c r="G42" s="68"/>
      <c r="H42" s="69"/>
      <c r="K42" s="66"/>
      <c r="L42" s="67"/>
      <c r="M42" s="68"/>
      <c r="N42" s="68"/>
      <c r="O42" s="68"/>
      <c r="P42" s="68"/>
      <c r="Q42" s="69"/>
    </row>
    <row r="43" spans="2:23" ht="24.75" customHeight="1" x14ac:dyDescent="0.15">
      <c r="B43" s="159" t="s">
        <v>50</v>
      </c>
      <c r="C43" s="160"/>
      <c r="D43" s="160"/>
      <c r="E43" s="160"/>
      <c r="F43" s="160"/>
      <c r="G43" s="160"/>
      <c r="H43" s="161"/>
      <c r="K43" s="159" t="s">
        <v>50</v>
      </c>
      <c r="L43" s="160"/>
      <c r="M43" s="160"/>
      <c r="N43" s="160"/>
      <c r="O43" s="160"/>
      <c r="P43" s="160"/>
      <c r="Q43" s="161"/>
    </row>
    <row r="44" spans="2:23" ht="23.25" customHeight="1" thickBot="1" x14ac:dyDescent="0.2">
      <c r="B44" s="21"/>
      <c r="C44" s="22" t="s">
        <v>51</v>
      </c>
      <c r="D44" s="23"/>
      <c r="E44" s="23"/>
      <c r="F44" s="23"/>
      <c r="G44" s="24"/>
      <c r="H44" s="25"/>
      <c r="K44" s="21"/>
      <c r="L44" s="22" t="s">
        <v>51</v>
      </c>
      <c r="M44" s="23"/>
      <c r="N44" s="23"/>
      <c r="O44" s="23"/>
      <c r="P44" s="24"/>
      <c r="Q44" s="25"/>
    </row>
    <row r="45" spans="2:23" ht="15.75" customHeight="1" thickBot="1" x14ac:dyDescent="0.2">
      <c r="B45" s="32"/>
      <c r="C45" s="33" t="s">
        <v>52</v>
      </c>
      <c r="D45" s="34"/>
      <c r="E45" s="34"/>
      <c r="F45" s="35"/>
      <c r="G45" s="102"/>
      <c r="H45" s="103">
        <f>SUM(H46:H49)</f>
        <v>7773144</v>
      </c>
      <c r="K45" s="32"/>
      <c r="L45" s="33" t="s">
        <v>52</v>
      </c>
      <c r="M45" s="34"/>
      <c r="N45" s="34"/>
      <c r="O45" s="35"/>
      <c r="P45" s="102"/>
      <c r="Q45" s="103">
        <f>SUM(Q46:Q49)</f>
        <v>799086</v>
      </c>
    </row>
    <row r="46" spans="2:23" ht="15.75" customHeight="1" x14ac:dyDescent="0.15">
      <c r="B46" s="38">
        <v>1</v>
      </c>
      <c r="C46" s="39" t="s">
        <v>53</v>
      </c>
      <c r="D46" s="40">
        <f>4802195*1.04</f>
        <v>4994282.8</v>
      </c>
      <c r="E46" s="40"/>
      <c r="F46" s="41">
        <v>0.15</v>
      </c>
      <c r="G46" s="42">
        <f>$G$3</f>
        <v>1.5666666666666667</v>
      </c>
      <c r="H46" s="43">
        <f t="shared" ref="H46:H48" si="0">ROUND(+B46*(D46+E46)*F46*G46,0)</f>
        <v>1173656</v>
      </c>
      <c r="I46" s="11"/>
      <c r="K46" s="38">
        <v>1</v>
      </c>
      <c r="L46" s="39" t="s">
        <v>53</v>
      </c>
      <c r="M46" s="40">
        <f>4802195*1.04</f>
        <v>4994282.8</v>
      </c>
      <c r="N46" s="40"/>
      <c r="O46" s="41">
        <v>0.15</v>
      </c>
      <c r="P46" s="42">
        <f>$P$3</f>
        <v>0.53333333333333333</v>
      </c>
      <c r="Q46" s="43">
        <f t="shared" ref="Q46:Q47" si="1">ROUND(+K46*(M46+N46)*O46*P46,0)</f>
        <v>399543</v>
      </c>
      <c r="R46" s="11"/>
    </row>
    <row r="47" spans="2:23" ht="15.75" customHeight="1" x14ac:dyDescent="0.15">
      <c r="B47" s="26">
        <v>1</v>
      </c>
      <c r="C47" s="27" t="s">
        <v>54</v>
      </c>
      <c r="D47" s="40">
        <v>4994282.8</v>
      </c>
      <c r="E47" s="40"/>
      <c r="F47" s="41">
        <v>0.15</v>
      </c>
      <c r="G47" s="42">
        <f>$G$3</f>
        <v>1.5666666666666667</v>
      </c>
      <c r="H47" s="43">
        <f>ROUND(+B47*(D47+E47)*F47*G47,0)</f>
        <v>1173656</v>
      </c>
      <c r="I47" s="11"/>
      <c r="K47" s="26">
        <v>1</v>
      </c>
      <c r="L47" s="27" t="s">
        <v>54</v>
      </c>
      <c r="M47" s="40">
        <v>4994282.8</v>
      </c>
      <c r="N47" s="40"/>
      <c r="O47" s="41">
        <v>0.15</v>
      </c>
      <c r="P47" s="42">
        <f>$P$3</f>
        <v>0.53333333333333333</v>
      </c>
      <c r="Q47" s="43">
        <f t="shared" si="1"/>
        <v>399543</v>
      </c>
      <c r="R47" s="11"/>
    </row>
    <row r="48" spans="2:23" ht="15.75" customHeight="1" x14ac:dyDescent="0.15">
      <c r="B48" s="38">
        <v>1</v>
      </c>
      <c r="C48" s="39" t="s">
        <v>55</v>
      </c>
      <c r="D48" s="50">
        <f t="shared" ref="D48" si="2">3330093*1.04</f>
        <v>3463296.72</v>
      </c>
      <c r="E48" s="40"/>
      <c r="F48" s="41">
        <v>1</v>
      </c>
      <c r="G48" s="42">
        <f t="shared" ref="G48" si="3">$G$3</f>
        <v>1.5666666666666667</v>
      </c>
      <c r="H48" s="43">
        <f t="shared" si="0"/>
        <v>5425832</v>
      </c>
      <c r="I48" s="11"/>
      <c r="K48" s="26"/>
      <c r="L48" s="27"/>
      <c r="M48" s="28"/>
      <c r="N48" s="28"/>
      <c r="O48" s="41"/>
      <c r="P48" s="42"/>
      <c r="Q48" s="43"/>
      <c r="R48" s="11"/>
    </row>
    <row r="49" spans="2:25" ht="15.75" customHeight="1" thickBot="1" x14ac:dyDescent="0.2">
      <c r="B49" s="26"/>
      <c r="C49" s="27"/>
      <c r="D49" s="28"/>
      <c r="E49" s="28"/>
      <c r="F49" s="41"/>
      <c r="G49" s="104"/>
      <c r="H49" s="55"/>
      <c r="I49" s="11"/>
      <c r="K49" s="26"/>
      <c r="L49" s="27"/>
      <c r="M49" s="28"/>
      <c r="N49" s="28"/>
      <c r="O49" s="41"/>
      <c r="P49" s="104"/>
      <c r="Q49" s="55"/>
      <c r="R49" s="11"/>
    </row>
    <row r="50" spans="2:25" ht="31.5" customHeight="1" thickBot="1" x14ac:dyDescent="0.2">
      <c r="B50" s="56"/>
      <c r="C50" s="57" t="s">
        <v>28</v>
      </c>
      <c r="D50" s="58"/>
      <c r="E50" s="58"/>
      <c r="F50" s="58"/>
      <c r="G50" s="59"/>
      <c r="H50" s="37">
        <f>H45</f>
        <v>7773144</v>
      </c>
      <c r="I50" s="13"/>
      <c r="K50" s="56"/>
      <c r="L50" s="57" t="s">
        <v>28</v>
      </c>
      <c r="M50" s="58"/>
      <c r="N50" s="58"/>
      <c r="O50" s="58"/>
      <c r="P50" s="59"/>
      <c r="Q50" s="37">
        <f>Q45</f>
        <v>799086</v>
      </c>
      <c r="R50" s="13"/>
    </row>
    <row r="51" spans="2:25" ht="15.75" customHeight="1" thickBot="1" x14ac:dyDescent="0.2">
      <c r="B51" s="56"/>
      <c r="C51" s="57" t="s">
        <v>29</v>
      </c>
      <c r="D51" s="58"/>
      <c r="E51" s="58"/>
      <c r="F51" s="58"/>
      <c r="G51" s="59"/>
      <c r="H51" s="105">
        <v>1.97</v>
      </c>
      <c r="I51" s="106"/>
      <c r="K51" s="56"/>
      <c r="L51" s="57" t="s">
        <v>29</v>
      </c>
      <c r="M51" s="58"/>
      <c r="N51" s="58"/>
      <c r="O51" s="58"/>
      <c r="P51" s="59"/>
      <c r="Q51" s="105">
        <v>1.97</v>
      </c>
      <c r="R51" s="106"/>
    </row>
    <row r="52" spans="2:25" ht="15.75" customHeight="1" thickBot="1" x14ac:dyDescent="0.2">
      <c r="B52" s="64"/>
      <c r="C52" s="57" t="s">
        <v>30</v>
      </c>
      <c r="D52" s="65"/>
      <c r="E52" s="65"/>
      <c r="F52" s="65"/>
      <c r="G52" s="65"/>
      <c r="H52" s="37">
        <f>ROUND(+H50*H51,0)</f>
        <v>15313094</v>
      </c>
      <c r="I52" s="106"/>
      <c r="K52" s="64"/>
      <c r="L52" s="57" t="s">
        <v>30</v>
      </c>
      <c r="M52" s="65"/>
      <c r="N52" s="65"/>
      <c r="O52" s="65"/>
      <c r="P52" s="65"/>
      <c r="Q52" s="37">
        <f>ROUND(+Q50*Q51,0)</f>
        <v>1574199</v>
      </c>
      <c r="R52" s="106"/>
    </row>
    <row r="53" spans="2:25" ht="15.75" customHeight="1" thickBot="1" x14ac:dyDescent="0.25">
      <c r="B53" s="12"/>
      <c r="C53" s="63"/>
      <c r="D53" s="11"/>
      <c r="E53" s="11"/>
      <c r="F53" s="11"/>
      <c r="G53" s="11"/>
      <c r="H53" s="14"/>
      <c r="I53" s="11"/>
      <c r="K53" s="12"/>
      <c r="L53" s="63"/>
      <c r="M53" s="11"/>
      <c r="N53" s="11"/>
      <c r="O53" s="11"/>
      <c r="P53" s="11"/>
      <c r="Q53" s="14"/>
      <c r="R53" s="11"/>
      <c r="Y53" s="107"/>
    </row>
    <row r="54" spans="2:25" ht="26.25" customHeight="1" thickBot="1" x14ac:dyDescent="0.2">
      <c r="B54" s="162" t="s">
        <v>56</v>
      </c>
      <c r="C54" s="163"/>
      <c r="D54" s="163"/>
      <c r="E54" s="163"/>
      <c r="F54" s="163"/>
      <c r="G54" s="163"/>
      <c r="H54" s="108">
        <f>H52</f>
        <v>15313094</v>
      </c>
      <c r="I54" s="13"/>
      <c r="K54" s="162" t="s">
        <v>56</v>
      </c>
      <c r="L54" s="163"/>
      <c r="M54" s="163"/>
      <c r="N54" s="163"/>
      <c r="O54" s="163"/>
      <c r="P54" s="163"/>
      <c r="Q54" s="108">
        <f>Q52</f>
        <v>1574199</v>
      </c>
      <c r="R54" s="13"/>
    </row>
    <row r="55" spans="2:25" ht="15.75" customHeight="1" thickBot="1" x14ac:dyDescent="0.2">
      <c r="B55" s="12"/>
      <c r="C55" s="63"/>
      <c r="D55" s="11"/>
      <c r="E55" s="11"/>
      <c r="F55" s="11"/>
      <c r="G55" s="11"/>
      <c r="H55" s="14"/>
      <c r="I55" s="11"/>
      <c r="K55" s="12"/>
      <c r="L55" s="63"/>
      <c r="M55" s="11"/>
      <c r="N55" s="11"/>
      <c r="O55" s="11"/>
      <c r="P55" s="11"/>
      <c r="Q55" s="14"/>
      <c r="R55" s="11"/>
    </row>
    <row r="56" spans="2:25" ht="15.75" customHeight="1" x14ac:dyDescent="0.15">
      <c r="B56" s="66"/>
      <c r="C56" s="109" t="s">
        <v>57</v>
      </c>
      <c r="D56" s="68"/>
      <c r="E56" s="68"/>
      <c r="F56" s="68"/>
      <c r="G56" s="68"/>
      <c r="H56" s="110">
        <f>H41+H54</f>
        <v>61218470</v>
      </c>
      <c r="I56" s="13"/>
      <c r="K56" s="66"/>
      <c r="L56" s="109" t="s">
        <v>57</v>
      </c>
      <c r="M56" s="68"/>
      <c r="N56" s="68"/>
      <c r="O56" s="68"/>
      <c r="P56" s="68"/>
      <c r="Q56" s="110">
        <f>Q41+Q54</f>
        <v>15517810</v>
      </c>
      <c r="R56" s="13"/>
    </row>
    <row r="57" spans="2:25" ht="31.35" customHeight="1" x14ac:dyDescent="0.15">
      <c r="B57" s="12"/>
      <c r="C57" s="111" t="s">
        <v>58</v>
      </c>
      <c r="D57" s="112" t="s">
        <v>59</v>
      </c>
      <c r="E57" s="112" t="s">
        <v>60</v>
      </c>
      <c r="F57" s="11"/>
      <c r="G57" s="11"/>
      <c r="H57" s="113"/>
      <c r="I57" s="13"/>
      <c r="K57" s="12"/>
      <c r="L57" s="111" t="s">
        <v>58</v>
      </c>
      <c r="M57" s="112" t="s">
        <v>59</v>
      </c>
      <c r="N57" s="112" t="s">
        <v>60</v>
      </c>
      <c r="O57" s="11"/>
      <c r="P57" s="11"/>
      <c r="Q57" s="113"/>
      <c r="R57" s="13"/>
    </row>
    <row r="58" spans="2:25" ht="33" customHeight="1" x14ac:dyDescent="0.15">
      <c r="B58" s="12"/>
      <c r="C58" s="111" t="s">
        <v>61</v>
      </c>
      <c r="D58" s="114">
        <f>[2]Polizas_Impuestos!I10</f>
        <v>9.5700000000000004E-3</v>
      </c>
      <c r="E58" s="115">
        <v>7.6677999999999998E-3</v>
      </c>
      <c r="F58" s="11"/>
      <c r="H58" s="113">
        <f>ROUND(H56*D58,0)</f>
        <v>585861</v>
      </c>
      <c r="I58" s="13"/>
      <c r="K58" s="12"/>
      <c r="L58" s="111" t="s">
        <v>61</v>
      </c>
      <c r="M58" s="114">
        <v>9.5700000000000004E-3</v>
      </c>
      <c r="N58" s="115">
        <v>7.6677999999999998E-3</v>
      </c>
      <c r="O58" s="11"/>
      <c r="Q58" s="113">
        <f>ROUND(Q56*M58,0)</f>
        <v>148505</v>
      </c>
      <c r="R58" s="13"/>
    </row>
    <row r="59" spans="2:25" ht="30.6" customHeight="1" x14ac:dyDescent="0.15">
      <c r="B59" s="12"/>
      <c r="C59" s="111" t="s">
        <v>62</v>
      </c>
      <c r="D59" s="116">
        <f>[2]Polizas_Impuestos!I20</f>
        <v>0.1366</v>
      </c>
      <c r="E59" s="115">
        <v>0.15942486</v>
      </c>
      <c r="F59" s="11"/>
      <c r="H59" s="113">
        <f>ROUND(H56*D59,0)</f>
        <v>8362443</v>
      </c>
      <c r="I59" s="13"/>
      <c r="K59" s="12"/>
      <c r="L59" s="111" t="s">
        <v>62</v>
      </c>
      <c r="M59" s="116">
        <v>0.1366</v>
      </c>
      <c r="N59" s="115">
        <v>0.15942486</v>
      </c>
      <c r="O59" s="11"/>
      <c r="Q59" s="113">
        <f>ROUND(Q56*M59,0)</f>
        <v>2119733</v>
      </c>
      <c r="R59" s="13"/>
    </row>
    <row r="60" spans="2:25" ht="15.75" customHeight="1" x14ac:dyDescent="0.15">
      <c r="B60" s="117"/>
      <c r="C60" s="118" t="s">
        <v>63</v>
      </c>
      <c r="D60" s="119">
        <v>0.19</v>
      </c>
      <c r="E60" s="120">
        <v>0.22174759999999999</v>
      </c>
      <c r="F60" s="121"/>
      <c r="G60" s="122"/>
      <c r="H60" s="123">
        <f>ROUND(D60*SUM(H56:H59),0)</f>
        <v>13331687</v>
      </c>
      <c r="I60" s="13"/>
      <c r="K60" s="117"/>
      <c r="L60" s="118" t="s">
        <v>63</v>
      </c>
      <c r="M60" s="119">
        <v>0.19</v>
      </c>
      <c r="N60" s="120">
        <v>0.22174759999999999</v>
      </c>
      <c r="O60" s="121"/>
      <c r="P60" s="122"/>
      <c r="Q60" s="123">
        <f>ROUND(M60*SUM(Q56:Q59),0)</f>
        <v>3379349</v>
      </c>
      <c r="R60" s="13"/>
    </row>
    <row r="61" spans="2:25" ht="15.75" customHeight="1" thickBot="1" x14ac:dyDescent="0.25">
      <c r="B61" s="124"/>
      <c r="C61" s="125" t="s">
        <v>64</v>
      </c>
      <c r="D61" s="126"/>
      <c r="E61" s="126"/>
      <c r="F61" s="126"/>
      <c r="G61" s="126"/>
      <c r="H61" s="127">
        <f>SUM(H56+H58+H59+H60)</f>
        <v>83498461</v>
      </c>
      <c r="I61" s="128"/>
      <c r="K61" s="124"/>
      <c r="L61" s="125" t="s">
        <v>64</v>
      </c>
      <c r="M61" s="126"/>
      <c r="N61" s="126"/>
      <c r="O61" s="126"/>
      <c r="P61" s="126"/>
      <c r="Q61" s="127">
        <f>SUM(Q56+Q58+Q59+Q60)</f>
        <v>21165397</v>
      </c>
      <c r="S61" s="129"/>
      <c r="T61" s="130"/>
    </row>
    <row r="62" spans="2:25" ht="15" customHeight="1" thickBot="1" x14ac:dyDescent="0.2">
      <c r="B62" s="131"/>
    </row>
    <row r="63" spans="2:25" ht="15" hidden="1" customHeight="1" x14ac:dyDescent="0.15">
      <c r="B63" s="131"/>
      <c r="I63" s="132">
        <f>I61-H61</f>
        <v>-83498461</v>
      </c>
      <c r="R63" s="132" t="e">
        <f>#REF!-Q61</f>
        <v>#REF!</v>
      </c>
    </row>
    <row r="64" spans="2:25" ht="15" hidden="1" customHeight="1" x14ac:dyDescent="0.15">
      <c r="B64" s="131"/>
    </row>
    <row r="65" spans="2:24" ht="15" hidden="1" customHeight="1" x14ac:dyDescent="0.15">
      <c r="B65" s="131"/>
    </row>
    <row r="66" spans="2:24" ht="15.75" hidden="1" customHeight="1" x14ac:dyDescent="0.15">
      <c r="B66" s="131"/>
      <c r="C66" s="133" t="s">
        <v>65</v>
      </c>
      <c r="L66" s="133" t="s">
        <v>65</v>
      </c>
    </row>
    <row r="67" spans="2:24" ht="15.75" hidden="1" customHeight="1" x14ac:dyDescent="0.15">
      <c r="B67" s="131"/>
      <c r="C67" s="112" t="s">
        <v>66</v>
      </c>
      <c r="L67" s="112" t="s">
        <v>66</v>
      </c>
    </row>
    <row r="68" spans="2:24" ht="15" hidden="1" customHeight="1" x14ac:dyDescent="0.15">
      <c r="B68" s="131"/>
    </row>
    <row r="69" spans="2:24" ht="15" hidden="1" customHeight="1" x14ac:dyDescent="0.15">
      <c r="B69" s="131"/>
      <c r="D69" s="164" t="s">
        <v>67</v>
      </c>
      <c r="E69" s="164"/>
      <c r="F69" s="164"/>
      <c r="G69" s="164"/>
      <c r="H69" s="134">
        <v>403637903</v>
      </c>
      <c r="M69" s="164" t="s">
        <v>67</v>
      </c>
      <c r="N69" s="164"/>
      <c r="O69" s="164"/>
      <c r="P69" s="164"/>
      <c r="Q69" s="134">
        <v>403637903</v>
      </c>
      <c r="W69" s="132"/>
      <c r="X69" s="135"/>
    </row>
    <row r="70" spans="2:24" ht="15" customHeight="1" thickBot="1" x14ac:dyDescent="0.25">
      <c r="B70" s="131"/>
      <c r="D70" s="148"/>
      <c r="E70" s="149"/>
      <c r="G70" s="138" t="s">
        <v>69</v>
      </c>
      <c r="H70" s="139">
        <v>1466374</v>
      </c>
      <c r="M70" s="136" t="s">
        <v>68</v>
      </c>
      <c r="N70" s="137">
        <v>2</v>
      </c>
      <c r="P70" s="138" t="s">
        <v>69</v>
      </c>
      <c r="Q70" s="139">
        <v>1322835</v>
      </c>
    </row>
    <row r="71" spans="2:24" ht="15" customHeight="1" x14ac:dyDescent="0.15">
      <c r="B71" s="131"/>
      <c r="M71" s="140"/>
      <c r="R71" s="140">
        <f>T61/Q61</f>
        <v>0</v>
      </c>
    </row>
    <row r="72" spans="2:24" ht="15" hidden="1" customHeight="1" thickBot="1" x14ac:dyDescent="0.2">
      <c r="B72" s="131"/>
      <c r="C72" s="6"/>
      <c r="G72" s="150" t="s">
        <v>70</v>
      </c>
      <c r="H72" s="151"/>
      <c r="I72" s="152">
        <v>83891331</v>
      </c>
      <c r="J72" s="153"/>
      <c r="K72" s="154"/>
      <c r="L72" s="6"/>
      <c r="M72" s="140"/>
      <c r="Q72" s="140"/>
    </row>
    <row r="73" spans="2:24" ht="15" hidden="1" customHeight="1" thickBot="1" x14ac:dyDescent="0.2">
      <c r="B73" s="131"/>
      <c r="C73" s="6"/>
      <c r="G73" s="150" t="s">
        <v>71</v>
      </c>
      <c r="H73" s="155"/>
      <c r="I73" s="156">
        <f>H61+Q61</f>
        <v>104663858</v>
      </c>
      <c r="J73" s="151"/>
      <c r="K73" s="155"/>
      <c r="L73" s="6"/>
    </row>
    <row r="74" spans="2:24" ht="15" hidden="1" customHeight="1" thickBot="1" x14ac:dyDescent="0.2">
      <c r="B74" s="141"/>
      <c r="C74" s="142"/>
      <c r="D74" s="143"/>
      <c r="E74" s="143"/>
      <c r="F74" s="143"/>
      <c r="G74" s="156" t="s">
        <v>72</v>
      </c>
      <c r="H74" s="157"/>
      <c r="I74" s="156">
        <f>I72-I73</f>
        <v>-20772527</v>
      </c>
      <c r="J74" s="158"/>
      <c r="K74" s="157"/>
      <c r="L74" s="6"/>
    </row>
  </sheetData>
  <mergeCells count="24">
    <mergeCell ref="B1:F3"/>
    <mergeCell ref="K1:O3"/>
    <mergeCell ref="B4:H4"/>
    <mergeCell ref="K4:Q4"/>
    <mergeCell ref="B5:H5"/>
    <mergeCell ref="K5:Q5"/>
    <mergeCell ref="B8:H8"/>
    <mergeCell ref="K8:Q8"/>
    <mergeCell ref="B34:H34"/>
    <mergeCell ref="K34:Q34"/>
    <mergeCell ref="B41:G41"/>
    <mergeCell ref="K41:P41"/>
    <mergeCell ref="B43:H43"/>
    <mergeCell ref="K43:Q43"/>
    <mergeCell ref="B54:G54"/>
    <mergeCell ref="K54:P54"/>
    <mergeCell ref="D69:G69"/>
    <mergeCell ref="M69:P69"/>
    <mergeCell ref="G72:H72"/>
    <mergeCell ref="I72:K72"/>
    <mergeCell ref="G73:H73"/>
    <mergeCell ref="I73:K73"/>
    <mergeCell ref="G74:H74"/>
    <mergeCell ref="I74:K74"/>
  </mergeCells>
  <printOptions horizontalCentered="1"/>
  <pageMargins left="0.19685039370078741" right="0.31496062992125984" top="0.39370078740157483" bottom="0.19685039370078741" header="0.39370078740157483" footer="0.39370078740157483"/>
  <pageSetup scale="55" orientation="portrait" r:id="rId1"/>
  <headerFooter>
    <oddHeader>&amp;L&amp;G&amp;C&amp;"-,Negrita"&amp;18SECRETARIA DEL DEPORTE Y LA RECREACION
CONCURSO DE MERITOS No.4162.010.32.1.1094-2025
PRESUPUESTO OFICIAL</oddHeader>
    <oddFooter>&amp;C&amp;12REALIZAR LA INTERVENTORÍA INTEGRAL: TÉCNICA, ADMINISTRATIVA, FINANCIERA, JURÍDICA, SOCIAL Y AMBIENTAL AL CONTRATO DE OBRA DERIVADO DEL PROCESO LICITATORIO No. 4162.010.32.1.1058-2025, CON RECURSOS DEL EMPRÉSTITO&amp;14.&amp;R&amp;N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PROPUESTA_CRIT_interventorV2</vt:lpstr>
      <vt:lpstr>PROPUESTA_CRIT_interventorV2!Área_de_impresión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Fabian Tejada Cardona</dc:creator>
  <cp:lastModifiedBy>user</cp:lastModifiedBy>
  <cp:lastPrinted>2026-10-02T19:03:55Z</cp:lastPrinted>
  <dcterms:created xsi:type="dcterms:W3CDTF">2026-09-16T01:49:23Z</dcterms:created>
  <dcterms:modified xsi:type="dcterms:W3CDTF">2026-10-02T19:18:16Z</dcterms:modified>
</cp:coreProperties>
</file>